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 state="visible" name="Starter Deck 1" sheetId="7" r:id="rId10"/>
    <sheet state="visible" name="Starter Deck 2" sheetId="8" r:id="rId11"/>
    <sheet state="visible" name="Starter Deck 3" sheetId="9" r:id="rId12"/>
    <sheet state="visible" name="Starter Deck 4" sheetId="10" r:id="rId13"/>
  </sheets>
  <definedNames>
    <definedName hidden="1" localSheetId="0" name="_xlnm._FilterDatabase">'1. Karten'!$A$1:$AB$348</definedName>
    <definedName hidden="1" localSheetId="6" name="_xlnm._FilterDatabase">'Starter Deck 1'!$A$2:$K$24</definedName>
    <definedName hidden="1" localSheetId="7" name="_xlnm._FilterDatabase">'Starter Deck 2'!$A$2:$AB$24</definedName>
    <definedName hidden="1" localSheetId="8" name="_xlnm._FilterDatabase">'Starter Deck 3'!$A$2:$AB$24</definedName>
    <definedName hidden="1" localSheetId="9" name="_xlnm._FilterDatabase">'Starter Deck 4'!$A$2:$AB$24</definedName>
  </definedNames>
  <calcPr/>
</workbook>
</file>

<file path=xl/sharedStrings.xml><?xml version="1.0" encoding="utf-8"?>
<sst xmlns="http://schemas.openxmlformats.org/spreadsheetml/2006/main" count="4000" uniqueCount="2039">
  <si>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</si>
  <si>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</si>
  <si>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</si>
  <si>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</si>
  <si>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</si>
  <si>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</si>
  <si>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</si>
  <si>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</si>
  <si>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</si>
  <si>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</si>
  <si>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</si>
  <si>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</si>
  <si>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</si>
  <si>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</si>
  <si>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</si>
  <si>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</si>
  <si>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</si>
  <si>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</si>
  <si>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</si>
  <si>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</si>
  <si>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</si>
  <si>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</si>
  <si>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</si>
  <si>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</si>
  <si>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</si>
  <si>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</si>
  <si>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</si>
  <si>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</si>
  <si>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</si>
  <si>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</si>
  <si>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</si>
  <si>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</si>
  <si>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</si>
  <si>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</si>
  <si>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</si>
  <si>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</si>
  <si>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</si>
  <si>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</si>
  <si>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</si>
  <si>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</si>
  <si>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</si>
  <si>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</si>
  <si>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</si>
  <si>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</si>
  <si>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</si>
  <si>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</si>
  <si>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</si>
  <si>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</si>
  <si>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</si>
  <si>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</si>
  <si>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</si>
  <si>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</si>
  <si>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</si>
  <si>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</si>
  <si>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</si>
  <si>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</si>
  <si>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</si>
  <si>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</si>
  <si>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</si>
  <si>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</si>
  <si>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</si>
  <si>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</si>
  <si>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</si>
  <si>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</si>
  <si>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</si>
  <si>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</si>
  <si>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</si>
  <si>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</si>
  <si>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</si>
  <si>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</si>
  <si>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</si>
  <si>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</si>
  <si>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</si>
  <si>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</si>
  <si>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</si>
  <si>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</si>
  <si>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</si>
  <si>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</si>
  <si>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</si>
  <si>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</si>
  <si>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</si>
  <si>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</si>
  <si>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</si>
  <si>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</si>
  <si>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</si>
  <si>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</si>
  <si>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</si>
  <si>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</si>
  <si>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</si>
  <si>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</si>
  <si>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</si>
  <si>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</si>
  <si>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</si>
  <si>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</si>
  <si>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</si>
  <si>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</si>
  <si>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</si>
  <si>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</si>
  <si>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</si>
  <si>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</si>
  <si>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</si>
  <si>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</si>
  <si>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</si>
  <si>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</si>
  <si>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</si>
  <si>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</si>
  <si>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</si>
  <si>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</si>
  <si>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</si>
  <si>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</si>
  <si>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</si>
  <si>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</si>
  <si>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</si>
  <si>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</si>
  <si>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</si>
  <si>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</si>
  <si>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</si>
  <si>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</si>
  <si>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</si>
  <si>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</si>
  <si>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</si>
  <si>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</si>
  <si>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</si>
  <si>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</si>
  <si>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</si>
  <si>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</si>
  <si>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</si>
  <si>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</si>
  <si>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</si>
  <si>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</si>
  <si>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</si>
  <si>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Guardian Angel</t>
  </si>
  <si>
    <t>Deploy: Gain Ward. Start of your Turn: You may bury this to unearth a friendly Unit. It gains Ward.</t>
  </si>
  <si>
    <t>Silent sentry of the skies, shielding the innocent with unseen wings.</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</si>
  <si>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</si>
  <si>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</si>
  <si>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</si>
  <si>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</si>
  <si>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</si>
  <si>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</si>
  <si>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</si>
  <si>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</si>
  <si>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</si>
  <si>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</si>
  <si>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</si>
  <si>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</si>
  <si>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</si>
  <si>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</si>
  <si>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</si>
  <si>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</si>
  <si>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</si>
  <si>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</si>
  <si>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Herald of Eternal Grace</t>
  </si>
  <si>
    <t>Crystallize: Unleash &lt;D&gt;&lt;D&gt;&lt;D&gt;: Cleanse a Unit or give a Unit Ward.</t>
  </si>
  <si>
    <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</si>
  <si>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</si>
  <si>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</si>
  <si>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</si>
  <si>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</si>
  <si>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</si>
  <si>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</si>
  <si>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</si>
  <si>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</si>
  <si>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</si>
  <si>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</si>
  <si>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</si>
  <si>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</si>
  <si>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</si>
  <si>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</si>
  <si>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</si>
  <si>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</si>
  <si>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</si>
  <si>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</si>
  <si>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</si>
  <si>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</si>
  <si>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</si>
  <si>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Monolith of Meditation</t>
  </si>
  <si>
    <t>Deploy and Conquer: Cleanse a Unit in this Lane.</t>
  </si>
  <si>
    <t>Unmoving and serene, it stands as a testament to the quiet power of thought over turmoil.</t>
  </si>
  <si>
    <t>D, ?, ?, ?, ?, ?</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</si>
  <si>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</si>
  <si>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</si>
  <si>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</si>
  <si>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</si>
  <si>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</si>
  <si>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</si>
  <si>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</si>
  <si>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</si>
  <si>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</si>
  <si>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</si>
  <si>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</si>
  <si>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</si>
  <si>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</si>
  <si>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</si>
  <si>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</si>
  <si>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</si>
  <si>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</si>
  <si>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Pyramidion</t>
  </si>
  <si>
    <t>Whenever a friendly Construct is deployed adjacently, all friendly Construct Units in this Lane gain +1 Power.</t>
  </si>
  <si>
    <t>Remote</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</si>
  <si>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</si>
  <si>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</si>
  <si>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</si>
  <si>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</si>
  <si>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</si>
  <si>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</si>
  <si>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</si>
  <si>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</si>
  <si>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</si>
  <si>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</si>
  <si>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</si>
  <si>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</si>
  <si>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</si>
  <si>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</si>
  <si>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</si>
  <si>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</si>
  <si>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</si>
  <si>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</si>
  <si>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</si>
  <si>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</si>
  <si>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</si>
  <si>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</si>
  <si>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</si>
  <si>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</si>
  <si>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</si>
  <si>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</si>
  <si>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</si>
  <si>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</si>
  <si>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</si>
  <si>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</si>
  <si>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</si>
  <si>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</si>
  <si>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</si>
  <si>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</si>
  <si>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</si>
  <si>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</si>
  <si>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</si>
  <si>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Towering Obelisk of Xi</t>
  </si>
  <si>
    <t>Ascend: Construct. When this ascends, all friendly Units with Ascend gain +2 Power.</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</si>
  <si>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</si>
  <si>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</si>
  <si>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</si>
  <si>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</si>
  <si>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</si>
  <si>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Winged Ushabti</t>
  </si>
  <si>
    <t>Construct Insect</t>
  </si>
  <si>
    <t>Crystallize: This Turn, you may bury this to give a friendly Unit Ascend.</t>
  </si>
  <si>
    <t>Found more insect statuettes, remarkably detailed. Purpose? Unknown, but likely venerating ancient, lost species.</t>
  </si>
  <si>
    <t>Obsidian Scarab</t>
  </si>
  <si>
    <t>Born from the darkest sands, its shell holds the secrets of eternity.</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</si>
  <si>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</si>
  <si>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</si>
  <si>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</si>
  <si>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</si>
  <si>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</si>
  <si>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</si>
  <si>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</si>
  <si>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</si>
  <si>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</si>
  <si>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</si>
  <si>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</si>
  <si>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</si>
  <si>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</si>
  <si>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</si>
  <si>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</si>
  <si>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</si>
  <si>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</si>
  <si>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</si>
  <si>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</si>
  <si>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</si>
  <si>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</si>
  <si>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</si>
  <si>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</si>
  <si>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</si>
  <si>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</si>
  <si>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</si>
  <si>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</si>
  <si>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</si>
  <si>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</si>
  <si>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</si>
  <si>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</si>
  <si>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</si>
  <si>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</si>
  <si>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</si>
  <si>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</si>
  <si>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</si>
  <si>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</si>
  <si>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</si>
  <si>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</si>
  <si>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</si>
  <si>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</si>
  <si>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</si>
  <si>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</si>
  <si>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</si>
  <si>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</si>
  <si>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</si>
  <si>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</si>
  <si>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</si>
  <si>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</si>
  <si>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</si>
  <si>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</si>
  <si>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</si>
  <si>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</si>
  <si>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</si>
  <si>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</si>
  <si>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</si>
  <si>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</si>
  <si>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</si>
  <si>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</si>
  <si>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</si>
  <si>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</si>
  <si>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</si>
  <si>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</si>
  <si>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</si>
  <si>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</si>
  <si>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</si>
  <si>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</si>
  <si>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</si>
  <si>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</si>
  <si>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</si>
  <si>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</si>
  <si>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</si>
  <si>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</si>
  <si>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</si>
  <si>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</si>
  <si>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</si>
  <si>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</si>
  <si>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</si>
  <si>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</si>
  <si>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</si>
  <si>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</si>
  <si>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</si>
  <si>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</si>
  <si>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</si>
  <si>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</si>
  <si>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</si>
  <si>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</si>
  <si>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</si>
  <si>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</si>
  <si>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</si>
  <si>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</si>
  <si>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</si>
  <si>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</si>
  <si>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</si>
  <si>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</si>
  <si>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</si>
  <si>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</si>
  <si>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</si>
  <si>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</si>
  <si>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</si>
  <si>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</si>
  <si>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</si>
  <si>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</si>
  <si>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</si>
  <si>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</si>
  <si>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</si>
  <si>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</si>
  <si>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</si>
  <si>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</si>
  <si>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</si>
  <si>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</si>
  <si>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</si>
  <si>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</si>
  <si>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</si>
  <si>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</si>
  <si>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</si>
  <si>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</si>
  <si>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</si>
  <si>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</si>
  <si>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</si>
  <si>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</si>
  <si>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</si>
  <si>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</si>
  <si>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</si>
  <si>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</si>
  <si>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</si>
  <si>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</si>
  <si>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</si>
  <si>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</si>
  <si>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</si>
  <si>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</si>
  <si>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</si>
  <si>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</si>
  <si>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</si>
  <si>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</si>
  <si>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</si>
  <si>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</si>
  <si>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</si>
  <si>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</si>
  <si>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</si>
  <si>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</si>
  <si>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</si>
  <si>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</si>
  <si>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</si>
  <si>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</si>
  <si>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</si>
  <si>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</si>
  <si>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</si>
  <si>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</si>
  <si>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</si>
  <si>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</si>
  <si>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</si>
  <si>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</si>
  <si>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</si>
  <si>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</si>
  <si>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</si>
  <si>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</si>
  <si>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</si>
  <si>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</si>
  <si>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</si>
  <si>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</si>
  <si>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</si>
  <si>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</si>
  <si>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</si>
  <si>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</si>
  <si>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</si>
  <si>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</si>
  <si>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</si>
  <si>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</si>
  <si>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</si>
  <si>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</si>
  <si>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</si>
  <si>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</si>
  <si>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</si>
  <si>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</si>
  <si>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</si>
  <si>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</si>
  <si>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Cavern Lindwurm</t>
  </si>
  <si>
    <t>Dragon</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</si>
  <si>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</si>
  <si>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</si>
  <si>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</si>
  <si>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</si>
  <si>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</si>
  <si>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</si>
  <si>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</si>
  <si>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</si>
  <si>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</si>
  <si>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</si>
  <si>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</si>
  <si>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</si>
  <si>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</si>
  <si>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</si>
  <si>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</si>
  <si>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</si>
  <si>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</si>
  <si>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</si>
  <si>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</si>
  <si>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</si>
  <si>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</si>
  <si>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</si>
  <si>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</si>
  <si>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</si>
  <si>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</si>
  <si>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</si>
  <si>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</si>
  <si>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</si>
  <si>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</si>
  <si>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</si>
  <si>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</si>
  <si>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</si>
  <si>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</si>
  <si>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</si>
  <si>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</si>
  <si>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</si>
  <si>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</si>
  <si>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</si>
  <si>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</si>
  <si>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</si>
  <si>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Boiling Blood Berserker</t>
  </si>
  <si>
    <t>Human Warrior</t>
  </si>
  <si>
    <t>Deploy: Gain Fear. Ascend: Dragon.</t>
  </si>
  <si>
    <t>His battle cry, a dragon's fury given voice.</t>
  </si>
  <si>
    <t>Cinderguard Irregulars</t>
  </si>
  <si>
    <t>In the ember's glow, hooded rebels rise, defying orders with fire in their eyes.</t>
  </si>
  <si>
    <t>E, ?</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</si>
  <si>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</si>
  <si>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</si>
  <si>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</si>
  <si>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</si>
  <si>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</si>
  <si>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</si>
  <si>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</si>
  <si>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</si>
  <si>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</si>
  <si>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</si>
  <si>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</si>
  <si>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</si>
  <si>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</si>
  <si>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</si>
  <si>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</si>
  <si>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</si>
  <si>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</si>
  <si>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</si>
  <si>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</si>
  <si>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</si>
  <si>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</si>
  <si>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</si>
  <si>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</si>
  <si>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</si>
  <si>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</si>
  <si>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</si>
  <si>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</si>
  <si>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</si>
  <si>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</si>
  <si>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</si>
  <si>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</si>
  <si>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</si>
  <si>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</si>
  <si>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</si>
  <si>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</si>
  <si>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</si>
  <si>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</si>
  <si>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</si>
  <si>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</si>
  <si>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</si>
  <si>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</si>
  <si>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</si>
  <si>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</si>
  <si>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</si>
  <si>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</si>
  <si>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</si>
  <si>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</si>
  <si>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</si>
  <si>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</si>
  <si>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</si>
  <si>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</si>
  <si>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</si>
  <si>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</si>
  <si>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</si>
  <si>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</si>
  <si>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</si>
  <si>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</si>
  <si>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</si>
  <si>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</si>
  <si>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</si>
  <si>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</si>
  <si>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</si>
  <si>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</si>
  <si>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Dustdance Efreet</t>
  </si>
  <si>
    <t>Deploy: You may swap this with an adjacent enemy Unit.</t>
  </si>
  <si>
    <t>A sinister waltz in the dust, its dance is a trap for the unwary, a lure into the endless, shifting dunes.</t>
  </si>
  <si>
    <t>E, E, ?, ?</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</si>
  <si>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</si>
  <si>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</si>
  <si>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</si>
  <si>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</si>
  <si>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</si>
  <si>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</si>
  <si>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</si>
  <si>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</si>
  <si>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</si>
  <si>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</si>
  <si>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</si>
  <si>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</si>
  <si>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</si>
  <si>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</si>
  <si>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</si>
  <si>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</si>
  <si>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</si>
  <si>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</si>
  <si>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</si>
  <si>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</si>
  <si>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Roughlands Scourge</t>
  </si>
  <si>
    <t>Dragon Spirit</t>
  </si>
  <si>
    <t>Deploy: Gain Fear.</t>
  </si>
  <si>
    <t>Where its shadow falls, terror takes root, a draconic tyrant of the barren lands.</t>
  </si>
  <si>
    <t>E, ?, ?, ?</t>
  </si>
  <si>
    <t>dragon, red body, black quills with white tips, wasteland, porcupine, cruel, fierce</t>
  </si>
  <si>
    <t>https://alpha.midjourney.com/jobs/30dad8d4-0f43-43a0-b5ad-94bc8b2c85d6?index=2</t>
  </si>
  <si>
    <t>https://alpha.midjourney.com/jobs/6cad6adc-2697-4145-bdf0-efa0bf788436?index=2</t>
  </si>
  <si>
    <t>https://alpha.midjourney.com/jobs/6cad6adc-2697-4145-bdf0-efa0bf788436?index=0</t>
  </si>
  <si>
    <t>https://alpha.midjourney.com/jobs/3583175b-766d-4e6f-b226-cb8e97cd3444?index=2</t>
  </si>
  <si>
    <t>https://alpha.midjourney.com/jobs/9d3996dd-4cd9-4c61-9f0b-73b38822ab56?index=1</t>
  </si>
  <si>
    <t>https://alpha.midjourney.com/jobs/26ae93ba-7660-44de-bc98-ff1f7b0710bb?index=0</t>
  </si>
  <si>
    <t>https://alpha.midjourney.com/jobs/add90753-1409-4816-a77b-7200b76c544f?index=3</t>
  </si>
  <si>
    <t>https://alpha.midjourney.com/jobs/dc135f3d-8b66-4450-857e-ed4b64a3e949?index=1</t>
  </si>
  <si>
    <t>https://alpha.midjourney.com/jobs/f552819f-bae0-4fdc-aec9-3c948fadca96?index=0</t>
  </si>
  <si>
    <t>https://alpha.midjourney.com/jobs/93fb8cdb-1f21-49e7-be26-dc8ba099f499?index=3</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</si>
  <si>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</si>
  <si>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</si>
  <si>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</si>
  <si>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</si>
  <si>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</si>
  <si>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</si>
  <si>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</si>
  <si>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</si>
  <si>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</si>
  <si>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</si>
  <si>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</si>
  <si>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</si>
  <si>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</si>
  <si>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</si>
  <si>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</si>
  <si>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</si>
  <si>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shifting sands, mystical, ephemeral energies, dustdevil, desert elemental, whirlwind</t>
  </si>
  <si>
    <t>https://alpha.midjourney.com/jobs/8b1af36f-4004-4f76-8321-39eadf6994de?index=1</t>
  </si>
  <si>
    <t>https://alpha.midjourney.com/jobs/6b2dd4db-47bc-4351-b9cb-56165501015d?index=0</t>
  </si>
  <si>
    <t>https://alpha.midjourney.com/jobs/04b6c714-4150-4b67-bc7b-3b77d214c80e?index=1</t>
  </si>
  <si>
    <t>https://alpha.midjourney.com/jobs/fef152fe-a54f-4993-8c0b-bdc6b255ff50?index=1</t>
  </si>
  <si>
    <t>https://alpha.midjourney.com/jobs/a3b699ae-45ef-4e90-9cb6-6448c1dd6ef3?index=3</t>
  </si>
  <si>
    <t>https://alpha.midjourney.com/jobs/a3b699ae-45ef-4e90-9cb6-6448c1dd6ef3?index=2</t>
  </si>
  <si>
    <t>https://alpha.midjourney.com/jobs/f4b87c3a-3e3c-48fa-b94a-c0514613a2cd?index=3</t>
  </si>
  <si>
    <t>https://alpha.midjourney.com/jobs/cea0e01e-1930-45b5-b5c8-3ad52ddb3142?index=3</t>
  </si>
  <si>
    <t>https://alpha.midjourney.com/jobs/ca73b5bd-6fc1-4339-9285-ae03c13a5f5d?index=0</t>
  </si>
  <si>
    <t>https://alpha.midjourney.com/jobs/f43fb0f9-219d-46ea-84e7-cebd02ca67fd?index=3</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</si>
  <si>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</si>
  <si>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</si>
  <si>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</si>
  <si>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</si>
  <si>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</si>
  <si>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</si>
  <si>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</si>
  <si>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</si>
  <si>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</si>
  <si>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</si>
  <si>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</si>
  <si>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</si>
  <si>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</si>
  <si>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Echo Beetle</t>
  </si>
  <si>
    <t>Whenever a Unit is deployed adjacently, swap it with that Unit.</t>
  </si>
  <si>
    <t>Note: Observing the beetle, I feel observed in return. Its awareness hints at unseen depths in insect cognition.</t>
  </si>
  <si>
    <t>Ember Whelp</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</si>
  <si>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</si>
  <si>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</si>
  <si>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</si>
  <si>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</si>
  <si>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</si>
  <si>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Volcano Embodiment</t>
  </si>
  <si>
    <t>Born from molten fury, it stands as both creator and destroyer of lands.</t>
  </si>
  <si>
    <t>volcano embodiment, volcano elemental, made of lava and obsidian, dynamic, action shot</t>
  </si>
  <si>
    <t>https://alpha.midjourney.com/jobs/b3f1d5b4-d271-4bb7-9615-dec247ec2937?index=0</t>
  </si>
  <si>
    <t>https://alpha.midjourney.com/jobs/13f74e45-15bf-4673-a15e-3672c00526da?index=2</t>
  </si>
  <si>
    <t>https://alpha.midjourney.com/jobs/710d0cf8-ce38-4aa4-b3f2-876f350c95e5?index=1</t>
  </si>
  <si>
    <t>https://alpha.midjourney.com/jobs/670cd204-5704-4f12-9125-5eb354177f5f?index=2</t>
  </si>
  <si>
    <t>https://alpha.midjourney.com/jobs/7ab22aed-daaa-486c-bcb0-51549f984fe3?index=0</t>
  </si>
  <si>
    <t>https://alpha.midjourney.com/jobs/22bb3e8d-5c52-4c44-8587-02c99977f143?index=0</t>
  </si>
  <si>
    <t>https://alpha.midjourney.com/jobs/eca24b96-706c-4dc3-98e0-b7e7167890f1?index=1</t>
  </si>
  <si>
    <t>https://alpha.midjourney.com/jobs/c01595f3-8df5-40fb-ad79-c4ab3f4993bf?index=3</t>
  </si>
  <si>
    <t>https://alpha.midjourney.com/jobs/c57f1fec-7402-4dfa-a0da-3df1bc5a18a7?index=2</t>
  </si>
  <si>
    <t>https://alpha.midjourney.com/jobs/89af2c6d-773c-4b37-a02a-c29797ab5507?index=2</t>
  </si>
  <si>
    <t>Windkite Acolyte</t>
  </si>
  <si>
    <t>Deploy: You may swap this with an adjacent friendly Unit and gain +2 Power.</t>
  </si>
  <si>
    <t>Soaring on ancient breezes, this acolyte wields the wisdom of the wind.</t>
  </si>
  <si>
    <t>bhuddist monk, riding a huge kite, flying through the sky, kite attached to hís back</t>
  </si>
  <si>
    <t>https://alpha.midjourney.com/jobs/ec1fb5cf-b226-482a-9fd2-005d6f927846?index=1</t>
  </si>
  <si>
    <t>https://alpha.midjourney.com/jobs/c502c751-ced3-4cb3-aa77-ce7cf3c560d4?index=0</t>
  </si>
  <si>
    <t>https://alpha.midjourney.com/jobs/15eb18a9-adcc-4ad5-bb1a-b9ca187fa7e5?index=1</t>
  </si>
  <si>
    <t>https://alpha.midjourney.com/jobs/91bb5265-1010-4c14-8a17-c124ec7328be?index=3</t>
  </si>
  <si>
    <t>https://alpha.midjourney.com/jobs/3459e7cd-50f2-4130-be4c-42546280c0e7?index=3</t>
  </si>
  <si>
    <t>https://alpha.midjourney.com/jobs/f6913507-2389-4765-a6a4-189bde5ce495?index=1</t>
  </si>
  <si>
    <t>https://alpha.midjourney.com/jobs/f6913507-2389-4765-a6a4-189bde5ce495?index=2</t>
  </si>
  <si>
    <t>https://alpha.midjourney.com/jobs/1be84c96-df08-4398-88f9-09e5ad8ff402?index=2</t>
  </si>
  <si>
    <t>https://alpha.midjourney.com/jobs/59d1a1e1-529a-4cc6-b261-fdc197b29a2b?index=1</t>
  </si>
  <si>
    <t>https://alpha.midjourney.com/jobs/33065fbd-b99a-477c-aeda-1e82ea951a22?index=3</t>
  </si>
  <si>
    <t>Blood Moon Scarab</t>
  </si>
  <si>
    <t>Insect</t>
  </si>
  <si>
    <t>Whenever a Unit in this Lane is unearthed, gain its Power.</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</si>
  <si>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</si>
  <si>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</si>
  <si>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</si>
  <si>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</si>
  <si>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</si>
  <si>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</si>
  <si>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</si>
  <si>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</si>
  <si>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</si>
  <si>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</si>
  <si>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</si>
  <si>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Hermit of the Horizon</t>
  </si>
  <si>
    <t>Wizard</t>
  </si>
  <si>
    <t>Crystallize: If you control a Wizard Unit, glimpse 3.</t>
  </si>
  <si>
    <t>In his lofty retreat, he communes with the winds of fate, a guardian of knowledge perched at the edge of the world.</t>
  </si>
  <si>
    <t>E, ?, ?, ?, ?, ?</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</si>
  <si>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</si>
  <si>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</si>
  <si>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</si>
  <si>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</si>
  <si>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</si>
  <si>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</si>
  <si>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</si>
  <si>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</si>
  <si>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</si>
  <si>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</si>
  <si>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</si>
  <si>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</si>
  <si>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</si>
  <si>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</si>
  <si>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</si>
  <si>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</si>
  <si>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</si>
  <si>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</si>
  <si>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</si>
  <si>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</si>
  <si>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</si>
  <si>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</si>
  <si>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</si>
  <si>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</si>
  <si>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</si>
  <si>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</si>
  <si>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</si>
  <si>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</si>
  <si>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</si>
  <si>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</si>
  <si>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</si>
  <si>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</si>
  <si>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</si>
  <si>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</si>
  <si>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</si>
  <si>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</si>
  <si>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</si>
  <si>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</si>
  <si>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</si>
  <si>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</si>
  <si>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</si>
  <si>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</si>
  <si>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</si>
  <si>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</si>
  <si>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</si>
  <si>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</si>
  <si>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</si>
  <si>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Raijin</t>
  </si>
  <si>
    <t>Spirit Dragon</t>
  </si>
  <si>
    <t>Deploy: Copy the 'Unleash' ability of each Unit.</t>
  </si>
  <si>
    <t>Where black clouds gather, his presence is near, the air crackling with the energy of his blue lightning.</t>
  </si>
  <si>
    <t>E, E, E, ?, ?, ?</t>
  </si>
  <si>
    <t>chinese dragon, ephemeral, made out of steam, cloud being, shapeless, gaseous, lightning, thunderstorm, white pelt, rushing, snakelike</t>
  </si>
  <si>
    <t>https://alpha.midjourney.com/jobs/1c379fb0-c7fe-4bce-a2e2-c1046dca0a59?index=3</t>
  </si>
  <si>
    <t>https://alpha.midjourney.com/jobs/1c379fb0-c7fe-4bce-a2e2-c1046dca0a59?index=1</t>
  </si>
  <si>
    <t>https://alpha.midjourney.com/jobs/1c379fb0-c7fe-4bce-a2e2-c1046dca0a59?index=0</t>
  </si>
  <si>
    <t>https://alpha.midjourney.com/jobs/032d003e-cfc5-416a-b659-1bdded298c0e?index=1</t>
  </si>
  <si>
    <t>https://alpha.midjourney.com/jobs/de56f839-6491-46cf-880d-6d928a2517da?index=0</t>
  </si>
  <si>
    <t>https://alpha.midjourney.com/jobs/83e9cfe5-7b3e-4733-9009-d3e420db215a?index=1</t>
  </si>
  <si>
    <t>https://alpha.midjourney.com/jobs/5764c6a2-ac2a-45d1-bd44-3056e5b71fde?index=3</t>
  </si>
  <si>
    <t>https://alpha.midjourney.com/jobs/dabe2c88-7609-4d23-9be4-b6d03f5043ec?index=2</t>
  </si>
  <si>
    <t>https://alpha.midjourney.com/jobs/22f743bd-9c45-49eb-bcae-584391aba2aa?index=1</t>
  </si>
  <si>
    <t>https://alpha.midjourney.com/jobs/16ee0dc4-08e6-49e0-be6c-5041c7b5d4f9?index=1</t>
  </si>
  <si>
    <t>Red Crusader</t>
  </si>
  <si>
    <t>Warrior</t>
  </si>
  <si>
    <t>Crusader</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</si>
  <si>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</si>
  <si>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</si>
  <si>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</si>
  <si>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</si>
  <si>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</si>
  <si>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</si>
  <si>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</si>
  <si>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</si>
  <si>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</si>
  <si>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Amberlock Dragonling</t>
  </si>
  <si>
    <t>Ritual: Gain +4 Power.</t>
  </si>
  <si>
    <t>Clutched in youthful talons lies a fragment of legend, making each hunt not just a pursuit for prey, but a dance with destiny.</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</si>
  <si>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</si>
  <si>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</si>
  <si>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</si>
  <si>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</si>
  <si>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</si>
  <si>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</si>
  <si>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</si>
  <si>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</si>
  <si>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</si>
  <si>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</si>
  <si>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</si>
  <si>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</si>
  <si>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</si>
  <si>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</si>
  <si>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</si>
  <si>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</si>
  <si>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</si>
  <si>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</si>
  <si>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</si>
  <si>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</si>
  <si>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</si>
  <si>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</si>
  <si>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</si>
  <si>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</si>
  <si>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</si>
  <si>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</si>
  <si>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</si>
  <si>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</si>
  <si>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</si>
  <si>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</si>
  <si>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</si>
  <si>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</si>
  <si>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</si>
  <si>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</si>
  <si>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</si>
  <si>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</si>
  <si>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</si>
  <si>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</si>
  <si>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</si>
  <si>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</si>
  <si>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</si>
  <si>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</si>
  <si>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</si>
  <si>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</si>
  <si>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Gashopper</t>
  </si>
  <si>
    <t>Deploy: For each friendly Elemental Crystal, you may put a Card from your Hand to the bottom of your Deck and draw a Card.</t>
  </si>
  <si>
    <t>Enhanced by sulfuric geysirs, each of its eyes sees another future.</t>
  </si>
  <si>
    <t>gashopper, grasshopper, insect druid, glowing eyes, energetic, bark skin, otherwordly, steaming body</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</si>
  <si>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</si>
  <si>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</si>
  <si>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</si>
  <si>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</si>
  <si>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</si>
  <si>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</si>
  <si>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https://alpha.midjourney.com/jobs/712bc1b1-a311-4c9e-8fd3-9084faf62db5?index=1</t>
  </si>
  <si>
    <t>https://alpha.midjourney.com/jobs/712bc1b1-a311-4c9e-8fd3-9084faf62db5?index=2</t>
  </si>
  <si>
    <t>https://alpha.midjourney.com/jobs/0ac155c4-dccd-49ea-a6ba-b70dd8d8e9a3?index=2</t>
  </si>
  <si>
    <t>https://alpha.midjourney.com/jobs/4675fbf5-6bfc-4c8a-9092-aaf4e3643f28?index=2</t>
  </si>
  <si>
    <t>Sparkwielder</t>
  </si>
  <si>
    <t>Deploy: Reveal the top Card with an 'Unleash' ability from your Deck. Copy its 'Unleash' ability, then draw that Card.</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</si>
  <si>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</si>
  <si>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</si>
  <si>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</si>
  <si>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</si>
  <si>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</si>
  <si>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</si>
  <si>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</si>
  <si>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</si>
  <si>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</si>
  <si>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</si>
  <si>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</si>
  <si>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</si>
  <si>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</si>
  <si>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</si>
  <si>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Hailbringer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</si>
  <si>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</si>
  <si>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</si>
  <si>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</si>
  <si>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</si>
  <si>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</si>
  <si>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</si>
  <si>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</si>
  <si>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</si>
  <si>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Raijin's Familiar</t>
  </si>
  <si>
    <t>Deploy: Unleash &lt;E&gt;&lt;E&gt;&lt;E&gt;: You may move an adjacent Unit to any empty Slot on the Board.</t>
  </si>
  <si>
    <t>small chinese snake, ephemeral, made out of steam, lightning, thunderstorm, white pelt, rushing, snakelike</t>
  </si>
  <si>
    <t>https://alpha.midjourney.com/jobs/99049fea-fc5d-4752-b9db-6d8c91ccc8ae?index=2</t>
  </si>
  <si>
    <t>https://alpha.midjourney.com/jobs/a57b5b64-f263-4fdf-af6b-1b93580bfe5e?index=0</t>
  </si>
  <si>
    <t>https://alpha.midjourney.com/jobs/7fc25a68-b33f-47f1-a6ec-9553717b1c97?index=0</t>
  </si>
  <si>
    <t>https://alpha.midjourney.com/jobs/7fc25a68-b33f-47f1-a6ec-9553717b1c97?index=1</t>
  </si>
  <si>
    <t>https://alpha.midjourney.com/jobs/9f59a1ed-24af-4d99-acaa-6a2a05df2427?index=3</t>
  </si>
  <si>
    <t>https://alpha.midjourney.com/jobs/8572f917-df31-4408-8707-1d30d6ca5130?index=2</t>
  </si>
  <si>
    <t>https://alpha.midjourney.com/jobs/fb929c6c-57e6-433a-a266-d6503efa9f59?index=3</t>
  </si>
  <si>
    <t>https://alpha.midjourney.com/jobs/2ddb8064-c0f9-4c6e-bd7c-5450e649e0ba?index=1</t>
  </si>
  <si>
    <t>https://alpha.midjourney.com/jobs/2ddb8064-c0f9-4c6e-bd7c-5450e649e0ba?index=0</t>
  </si>
  <si>
    <t>https://alpha.midjourney.com/jobs/c9877abe-5367-4550-95bd-009c5ca1c395?index=2</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</si>
  <si>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</si>
  <si>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</si>
  <si>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</si>
  <si>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</si>
  <si>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</si>
  <si>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</si>
  <si>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</si>
  <si>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</si>
  <si>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</si>
  <si>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</si>
  <si>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</si>
  <si>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</si>
  <si>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</si>
  <si>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</si>
  <si>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</si>
  <si>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</si>
  <si>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</si>
  <si>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Twin Thundertail</t>
  </si>
  <si>
    <t>Ambush: A friendly Unit in this Lane unleashed this Turn. Unearth: Copy the 'Unleash' Ability of a friendly Unit in this Lane.</t>
  </si>
  <si>
    <t>Vengeful Gust</t>
  </si>
  <si>
    <t>Deploy: Bury a friendly Unit with the lowest Power.</t>
  </si>
  <si>
    <t>Skulloath Lootclaimer</t>
  </si>
  <si>
    <t>Deploy: Bury a Crystal.</t>
  </si>
  <si>
    <t>human mongolian raider, skull-oath, looting, raiding, stealing gold</t>
  </si>
  <si>
    <t>https://alpha.midjourney.com/jobs/b782234a-ae27-4ab3-a874-11519512ecce?index=1</t>
  </si>
  <si>
    <t>https://alpha.midjourney.com/jobs/bace0219-18ab-4fad-b1cf-6dd7f636ba09?index=3</t>
  </si>
  <si>
    <t>https://alpha.midjourney.com/jobs/bace0219-18ab-4fad-b1cf-6dd7f636ba09?index=1</t>
  </si>
  <si>
    <t>https://alpha.midjourney.com/jobs/48fb748c-ced1-4a11-b902-08569b23ea3e?index=3</t>
  </si>
  <si>
    <t>https://alpha.midjourney.com/jobs/648f33e0-f155-4776-b3ef-cb6a2da47ad2?index=0</t>
  </si>
  <si>
    <t>https://alpha.midjourney.com/jobs/88722dbd-81e5-4a88-b7b1-4d119407e4eb?index=2</t>
  </si>
  <si>
    <t>https://alpha.midjourney.com/jobs/ac379b8f-0976-49e8-9984-afd4fa85d72d?index=2</t>
  </si>
  <si>
    <t>https://alpha.midjourney.com/jobs/ac379b8f-0976-49e8-9984-afd4fa85d72d?index=0</t>
  </si>
  <si>
    <t>https://alpha.midjourney.com/jobs/ce81bdef-692d-43ea-9dce-a4b313702bd0?index=2</t>
  </si>
  <si>
    <t>https://alpha.midjourney.com/jobs/92e4fd9a-ec61-456e-ae1a-ccf89544238d?index=1</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</si>
  <si>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</si>
  <si>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</si>
  <si>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</si>
  <si>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</si>
  <si>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</si>
  <si>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</si>
  <si>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</si>
  <si>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</si>
  <si>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</si>
  <si>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</si>
  <si>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</si>
  <si>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</si>
  <si>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</si>
  <si>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</si>
  <si>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</si>
  <si>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</si>
  <si>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</si>
  <si>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</si>
  <si>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</si>
  <si>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</si>
  <si>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</si>
  <si>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</si>
  <si>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Oasisdweller</t>
  </si>
  <si>
    <t>Deploy: You may return a friendly Spirit or Warrior to your hand. If you do, draw a Card.</t>
  </si>
  <si>
    <t>Cinderguard Flamebearer</t>
  </si>
  <si>
    <t>Elemental Mortal</t>
  </si>
  <si>
    <t>Bannerbearer Human Warrior</t>
  </si>
  <si>
    <t>Armed with a blade of searing flame, his every strike ignites the battleground, a beacon of fiery determination.</t>
  </si>
  <si>
    <t>E, M</t>
  </si>
  <si>
    <t>cinderguard emberblade, red hood roman, banner-bearer, bannerbearer, banner bearer, carrying a banner</t>
  </si>
  <si>
    <t>https://alpha.midjourney.com/jobs/f95877ad-f1f9-416e-ac05-6e7b4ad534ee?index=2</t>
  </si>
  <si>
    <t>https://alpha.midjourney.com/jobs/ce3cd5be-146d-4747-a725-96d02fce6988?index=3</t>
  </si>
  <si>
    <t>https://alpha.midjourney.com/jobs/3d36ab7a-cfa0-4e3c-835e-4519c7bd02e5?index=2</t>
  </si>
  <si>
    <t>https://alpha.midjourney.com/jobs/0c8ecc9c-0eba-4e1f-88ef-eb8a6b5bb902?index=0</t>
  </si>
  <si>
    <t>https://alpha.midjourney.com/jobs/915e002d-0994-4e3b-9b5b-10849e3c35ad?index=2</t>
  </si>
  <si>
    <t>https://alpha.midjourney.com/jobs/eea88919-f1b3-40c0-9f43-d0e3f3705e14?index=2</t>
  </si>
  <si>
    <t>https://alpha.midjourney.com/jobs/727e14da-bc4a-4671-9e13-4f06e7007152?index=0</t>
  </si>
  <si>
    <t>https://alpha.midjourney.com/jobs/24410310-250b-4dfc-957c-f04fe0d1851b?index=0</t>
  </si>
  <si>
    <t>https://alpha.midjourney.com/jobs/49af1a65-37b2-43e7-abfb-fec1ef5ae6d3?index=2</t>
  </si>
  <si>
    <t>https://alpha.midjourney.com/jobs/c49fa673-bcd1-49dc-a65d-b262aa8d349c?index=3</t>
  </si>
  <si>
    <t>Portalrunner</t>
  </si>
  <si>
    <t>Deploy: You may swap this with another friendly Wizard Unit. Both gain +2 Power.</t>
  </si>
  <si>
    <t>Master of spatial rifts, he strides through worlds unseen, his power a dance with the fabric of reality.</t>
  </si>
  <si>
    <t>E, M, ?, ?</t>
  </si>
  <si>
    <t>Starfall Shaman</t>
  </si>
  <si>
    <t xml:space="preserve">Ritual: Glimpse 2 and draw 2 Cards. </t>
  </si>
  <si>
    <t>Guided by ancient constellations, he beckons knowledge from the heavens, a nod to the legendary magic of old.</t>
  </si>
  <si>
    <t>E, E, M, ?, ?</t>
  </si>
  <si>
    <t>starfall shaman, aztec, mesoamerican, summoning a meteor, on an aztec pyramid, purple, colorful feather headdress</t>
  </si>
  <si>
    <t>https://alpha.midjourney.com/jobs/0d462342-adfb-4bc1-8852-2f568fbc9684?index=2</t>
  </si>
  <si>
    <t>https://alpha.midjourney.com/jobs/eb6b6ed8-09d8-4cb7-8e72-89daeeb5ad45?index=1</t>
  </si>
  <si>
    <t>https://alpha.midjourney.com/jobs/0bfb1ddb-5317-44ca-ac28-18bec4484bb2?index=2</t>
  </si>
  <si>
    <t>https://alpha.midjourney.com/jobs/fc65d230-0b7a-4bbd-9653-6fa105e5bcec?index=3</t>
  </si>
  <si>
    <t>https://alpha.midjourney.com/jobs/48703433-d069-4669-a233-4fb736b88afa?index=2</t>
  </si>
  <si>
    <t>https://alpha.midjourney.com/jobs/48703433-d069-4669-a233-4fb736b88afa?index=0</t>
  </si>
  <si>
    <t>https://alpha.midjourney.com/jobs/3500932c-0e0c-496e-8393-7f54603731c9?index=3</t>
  </si>
  <si>
    <t>https://alpha.midjourney.com/jobs/888400b6-fc24-4382-9b4f-cb536d1c6259?index=2</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</si>
  <si>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</si>
  <si>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</si>
  <si>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</si>
  <si>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</si>
  <si>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</si>
  <si>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</si>
  <si>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</si>
  <si>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</si>
  <si>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</si>
  <si>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</si>
  <si>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</si>
  <si>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Dragon Rider</t>
  </si>
  <si>
    <t>Human Dragon</t>
  </si>
  <si>
    <t>Deploy: Copy the Ability of an adjacent Dragon Unit or Human Unit.</t>
  </si>
  <si>
    <t>Together, they redefine the possible, her spirit and his fire entwined in flight.</t>
  </si>
  <si>
    <t>female dragon rider, red sash, asian medieval pirate, sitting on a saddle, huge chinese dragon crane</t>
  </si>
  <si>
    <t>https://alpha.midjourney.com/jobs/f29821d3-a78b-46a9-ab7b-9b476d6ecfd7?index=1</t>
  </si>
  <si>
    <t>https://alpha.midjourney.com/jobs/7f15e033-4d9d-48a2-9a39-7197c3b9bf07?index=3</t>
  </si>
  <si>
    <t>https://alpha.midjourney.com/jobs/a6b8108d-1bb5-42d2-a7a0-28095eb3d2c2?index=2</t>
  </si>
  <si>
    <t>https://alpha.midjourney.com/jobs/60403217-9653-4c7f-8bd1-52389abddd0b?index=2</t>
  </si>
  <si>
    <t>https://alpha.midjourney.com/jobs/35a72dcd-bf6d-4211-a3ec-b4a56e9266de?index=3</t>
  </si>
  <si>
    <t>https://alpha.midjourney.com/jobs/64811c7a-9306-4518-8d43-b94ca602125b?index=2</t>
  </si>
  <si>
    <t>https://alpha.midjourney.com/jobs/4f36ce57-0d46-485b-824d-f5324b716d84?index=1</t>
  </si>
  <si>
    <t>https://alpha.midjourney.com/jobs/b7fa891c-92aa-4309-9f37-1140cd8df7b3?index=2</t>
  </si>
  <si>
    <t>https://alpha.midjourney.com/jobs/64a2413c-9261-4124-ba7d-e64c2319aae0?index=0</t>
  </si>
  <si>
    <t>https://alpha.midjourney.com/jobs/95d4bd24-c3f9-417f-be00-e2b02341a172?index=0</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</si>
  <si>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</si>
  <si>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</si>
  <si>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</si>
  <si>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</si>
  <si>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</si>
  <si>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</si>
  <si>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</si>
  <si>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</si>
  <si>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Eons-old Dragon</t>
  </si>
  <si>
    <t>Dragon Plant</t>
  </si>
  <si>
    <t>Deploy: All other Elemental Unit and Nature Units in this Lane gain +3 Power.</t>
  </si>
  <si>
    <t>In its slumber, time weaved the wilderness around it, a dragon as ancient as the forest it now embodies.</t>
  </si>
  <si>
    <t>E, E, N, N, ?, ?</t>
  </si>
  <si>
    <t>dragon dryad, forest dragon, pale red and pale green, blind pale scales, massively scarred, eons old, wise, gentle, venerable, ancient, resting on a mountain</t>
  </si>
  <si>
    <t>https://alpha.midjourney.com/jobs/ade40824-39ca-4001-a6f9-b17abaa7f8c9?index=2</t>
  </si>
  <si>
    <t>https://alpha.midjourney.com/jobs/237069bf-4281-4ab7-875e-331a4121cc5c?index=2</t>
  </si>
  <si>
    <t>https://alpha.midjourney.com/jobs/b817370e-a391-4a6b-9688-f381c88b69b0?index=2</t>
  </si>
  <si>
    <t>https://alpha.midjourney.com/jobs/1147f4d1-0ebc-4af6-a726-d02c68d60b73?index=0</t>
  </si>
  <si>
    <t>https://alpha.midjourney.com/jobs/1147f4d1-0ebc-4af6-a726-d02c68d60b73?index=2</t>
  </si>
  <si>
    <t>https://alpha.midjourney.com/jobs/aad8229e-1d42-48dd-8179-36ff489b78e3?index=2</t>
  </si>
  <si>
    <t>https://alpha.midjourney.com/jobs/01a4f043-f235-41b9-8d46-7b35d6f18030?index=2</t>
  </si>
  <si>
    <t>https://alpha.midjourney.com/jobs/c0cf7df8-c1a5-454a-bfd0-19b8243d58cc?index=1</t>
  </si>
  <si>
    <t>https://alpha.midjourney.com/jobs/16ae4b70-d224-42db-b6b6-ecf2124ed295?index=0</t>
  </si>
  <si>
    <t>https://alpha.midjourney.com/jobs/4623ba22-8900-4ec0-baf7-811a3eacf3be?index=1</t>
  </si>
  <si>
    <t>The Skyshrieker</t>
  </si>
  <si>
    <t>Deploy: Gain Fear. You may move an adjacent Unit.</t>
  </si>
  <si>
    <t>In times of crisis, his cry pierces the heavens, a sound that spells relief for the endangered and doom for their foes.</t>
  </si>
  <si>
    <t>Shardhorde Crystalfang</t>
  </si>
  <si>
    <t>Animal Bannerbearer Hunter</t>
  </si>
  <si>
    <t>Emerging from the heart of the earth, its malachite form gleams, a predator sculpted from nature's deepest treasures.</t>
  </si>
  <si>
    <t>E, N</t>
  </si>
  <si>
    <t>green crystal sabretooth-tiger, made of crystals, prowling through jungle, magical, banner bearer, banner strapped to its back</t>
  </si>
  <si>
    <t>https://alpha.midjourney.com/jobs/16b422f4-9fd2-4bb1-9674-585e0409a383?index=3</t>
  </si>
  <si>
    <t>https://alpha.midjourney.com/jobs/ce917096-e668-418b-8741-693ddbec1b5e?index=3</t>
  </si>
  <si>
    <t>https://alpha.midjourney.com/jobs/dce6223e-4d4d-4a94-b8ed-94d249a1b876?index=2</t>
  </si>
  <si>
    <t>https://alpha.midjourney.com/jobs/993d4901-e479-4c23-8e37-374cc886632f?index=0</t>
  </si>
  <si>
    <t>https://alpha.midjourney.com/jobs/44b8a171-093e-48a9-b7dd-0eb68cf31160?index=0</t>
  </si>
  <si>
    <t>https://alpha.midjourney.com/jobs/c6262938-a0bb-4c14-a59f-2cd741aebb5d?index=2</t>
  </si>
  <si>
    <t>https://alpha.midjourney.com/jobs/2d36ed03-9eb8-4873-a6b6-490fa41bd145?index=2</t>
  </si>
  <si>
    <t>https://alpha.midjourney.com/jobs/64fe4f62-cd24-4b28-8008-3a9184077878?index=1</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</si>
  <si>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</si>
  <si>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</si>
  <si>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</si>
  <si>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</si>
  <si>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</si>
  <si>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</si>
  <si>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</si>
  <si>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</si>
  <si>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</si>
  <si>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</si>
  <si>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</si>
  <si>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</si>
  <si>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</si>
  <si>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Tidecrasher</t>
  </si>
  <si>
    <t>Deploy: Gain Fear and +1 Power for each adjacent empty Slot.</t>
  </si>
  <si>
    <t>He glides beneath the waves, a leviathan of legend, the subject of sailors' prayers and tales.</t>
  </si>
  <si>
    <t>tidecrasher, sea serpent made of water, sea-slug, seafoam green, boiling sea, serpent made out of water</t>
  </si>
  <si>
    <t>https://alpha.midjourney.com/jobs/b85e9529-2c1c-43be-8887-f8653d2daa3e?index=1</t>
  </si>
  <si>
    <t>https://alpha.midjourney.com/jobs/cbc1003a-54e1-4023-a949-d6248d86958a?index=1</t>
  </si>
  <si>
    <t>https://alpha.midjourney.com/jobs/14907b72-ac7b-441a-89c1-206aa74ae3cc?index=3</t>
  </si>
  <si>
    <t>https://alpha.midjourney.com/jobs/da05031f-b161-4dbf-82ed-34f56ec60f8b?index=3</t>
  </si>
  <si>
    <t>https://alpha.midjourney.com/jobs/da05031f-b161-4dbf-82ed-34f56ec60f8b?index=0</t>
  </si>
  <si>
    <t>https://alpha.midjourney.com/jobs/36f45aba-7dd3-4234-a291-4a6bd6317f10?index=2</t>
  </si>
  <si>
    <t>https://alpha.midjourney.com/jobs/36f45aba-7dd3-4234-a291-4a6bd6317f10?index=0</t>
  </si>
  <si>
    <t>https://alpha.midjourney.com/jobs/cb5ae9cc-bb0c-4b23-93f2-9aba3eead611?index=0</t>
  </si>
  <si>
    <t>https://alpha.midjourney.com/jobs/5346acfb-9c48-4258-a97e-45266d64b6d2?index=3</t>
  </si>
  <si>
    <t>https://alpha.midjourney.com/jobs/89be5e2a-6702-40e7-bb2c-87dce748f051?index=0</t>
  </si>
  <si>
    <t>Raging Minotaur</t>
  </si>
  <si>
    <t>Animal Demon</t>
  </si>
  <si>
    <t>Whenever an enemy Unit is deployed adjacently, gain +2 Power. Deploy: Gain Taunt.</t>
  </si>
  <si>
    <t>Trapped between man and monster, his every step is a thunder of rage against a fate he never chose.</t>
  </si>
  <si>
    <t>Pyroclastic Zombie</t>
  </si>
  <si>
    <t>Undead</t>
  </si>
  <si>
    <t>Ambush: The Opponent conquered this Lane this Turn.</t>
  </si>
  <si>
    <t>Born from flames and madness, he lumbers through the shadows, an urban legend made flesh and fire.</t>
  </si>
  <si>
    <t>pyroclastic zombie, made out of magma, glowing from within</t>
  </si>
  <si>
    <t>https://alpha.midjourney.com/jobs/66f83bd6-353d-4924-b469-c22fdaf65162?index=2</t>
  </si>
  <si>
    <t>https://alpha.midjourney.com/jobs/21d93227-da2e-4a58-8af8-8d84f202d465?index=1</t>
  </si>
  <si>
    <t>https://alpha.midjourney.com/jobs/de56e6d6-8aad-4bd2-87f9-f0c5f1ec9d8d?index=0</t>
  </si>
  <si>
    <t>https://alpha.midjourney.com/jobs/57f88d60-31a2-4dbc-a2ac-7dd5f12faad2?index=1</t>
  </si>
  <si>
    <t>https://alpha.midjourney.com/jobs/2148c090-768e-48c9-837a-fed7af76f1c3?index=1</t>
  </si>
  <si>
    <t>https://alpha.midjourney.com/jobs/59597b80-8b3f-4d4b-806c-dcf5365bda0f?index=2</t>
  </si>
  <si>
    <t>Venomshade Lamia</t>
  </si>
  <si>
    <t>Animal Warrior</t>
  </si>
  <si>
    <t>Conquer: Draw Cards until you have as many Cards in Hand as your Opponent.</t>
  </si>
  <si>
    <t>In the shadow of her coils, lies a toxic allure, as deadly as it is beguiling.</t>
  </si>
  <si>
    <t>Skulloath Marauder</t>
  </si>
  <si>
    <t>Bannerbearer Undead Warrior</t>
  </si>
  <si>
    <t>Bound by dark pacts and whispered curses, he plunders, leaving only desolation in his wake.</t>
  </si>
  <si>
    <t>boneoath marauder, mongol, bronze skull mask, banner bearer, carrying a banner</t>
  </si>
  <si>
    <t>https://alpha.midjourney.com/jobs/9837fc27-5358-46a5-b2d5-4b2eccd5199c?index=0</t>
  </si>
  <si>
    <t>https://alpha.midjourney.com/jobs/1611e437-755b-410f-b205-ccef721ff7ae?index=1</t>
  </si>
  <si>
    <t>https://alpha.midjourney.com/jobs/1611e437-755b-410f-b205-ccef721ff7ae?index=2</t>
  </si>
  <si>
    <t>https://alpha.midjourney.com/jobs/d0513e19-1ac0-4d65-b7d1-c084eaa39eb1?index=1</t>
  </si>
  <si>
    <t>https://alpha.midjourney.com/jobs/cb5a0d7d-cfdf-4743-8f88-5b4c20641ec8?index=0</t>
  </si>
  <si>
    <t>https://alpha.midjourney.com/jobs/0e38f1ce-471e-455b-890a-7a46d67a8c3c?index=3</t>
  </si>
  <si>
    <t>https://alpha.midjourney.com/jobs/651c5e10-daa8-4734-8d9e-45e6e71afe5e?index=3</t>
  </si>
  <si>
    <t>https://alpha.midjourney.com/jobs/b305aa77-1f10-402e-b176-99e909abfb9d?index=3</t>
  </si>
  <si>
    <t>https://alpha.midjourney.com/jobs/3f1e36e7-8385-4701-8ad1-a8a145d654d4?index=2</t>
  </si>
  <si>
    <t>https://alpha.midjourney.com/jobs/05ead972-45fd-4d93-b3b6-736da52e9d68?index=1</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</si>
  <si>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</si>
  <si>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</si>
  <si>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</si>
  <si>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</si>
  <si>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</si>
  <si>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</si>
  <si>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</si>
  <si>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</si>
  <si>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Bastion Architect</t>
  </si>
  <si>
    <t>Deploy: A friendly Construct Unit in this Lane gains Ward, Taunt, and +2 Power.</t>
  </si>
  <si>
    <t>From his mind, mighty bastions rise and formidable siege engines emerge, playing both sides of war's relentless dance.</t>
  </si>
  <si>
    <t>Ambrosia Bee</t>
  </si>
  <si>
    <t>Whenever a friendly Mortal Unit is deployed adjacently, gain +2 Power.</t>
  </si>
  <si>
    <t>From flower to hive, it crafts a honey so divine, battles are waged over mere droplets of its golden essence.</t>
  </si>
  <si>
    <t>M, ?</t>
  </si>
  <si>
    <t>Cinderguard Saboteur</t>
  </si>
  <si>
    <t>Underneath the red hood lies a will that cannot be extinguished.</t>
  </si>
  <si>
    <t>Blue Crusader</t>
  </si>
  <si>
    <t>Whenever an enemy non-Mortal Unit is deployed adjacently, gain +1 Power.</t>
  </si>
  <si>
    <t>Filthy Peasant</t>
  </si>
  <si>
    <t>In the shadow of grand coliseums and marble halls, he toils, an eternal cog in the city's endless sprawl.</t>
  </si>
  <si>
    <t>M</t>
  </si>
  <si>
    <t>Frontier Centurion</t>
  </si>
  <si>
    <t>Beyond the empire's walls, his blade draws the line.</t>
  </si>
  <si>
    <t>M, ?, ?, ?, ?</t>
  </si>
  <si>
    <t>https://alpha.midjourney.com/jobs/e9cfddb2-74e8-4821-93ef-db5a57e9c0e6?index=1</t>
  </si>
  <si>
    <t>Ironstride Courser</t>
  </si>
  <si>
    <t>Deploy: Choose one: - Each other friendly Unit in this Lane gets +1 Power. - Gain +3 Power.</t>
  </si>
  <si>
    <t>In the tumult of war, some tasks demand the relentless charge of reinforced steel.</t>
  </si>
  <si>
    <t>M, M, ?, ?, ?, ?</t>
  </si>
  <si>
    <t>Eagle of the Legion</t>
  </si>
  <si>
    <t>Animal Human</t>
  </si>
  <si>
    <t>Start of your Turn: A friendly Human Unit gains Fear or Taunt.</t>
  </si>
  <si>
    <t>"See her soar above the battle? That's not just any bird – that's ours, that is. And as long as she's flying, we're winning."</t>
  </si>
  <si>
    <t>Pocket Dragon</t>
  </si>
  <si>
    <t>Deploy: Choose one: - You may move an adjacent friendly Unit. - Draw a Card.</t>
  </si>
  <si>
    <t>In the tranquility of his mundane home, this tiny dragon frolics, a creature more akin to playful pet than fearsome beast.</t>
  </si>
  <si>
    <t>M, M, ?, ?</t>
  </si>
  <si>
    <t>Prime Golem</t>
  </si>
  <si>
    <t>Deploy: Move a friendly Construct Unit in this Lane.</t>
  </si>
  <si>
    <t>From the world's earliest tales, this colossal guardian emerges, embodying the enduring legacy of its first creators.</t>
  </si>
  <si>
    <t>M,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</si>
  <si>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</si>
  <si>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</si>
  <si>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</si>
  <si>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</si>
  <si>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</si>
  <si>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</si>
  <si>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</si>
  <si>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</si>
  <si>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</si>
  <si>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</si>
  <si>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</si>
  <si>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</si>
  <si>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</si>
  <si>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Imperial Tyrant</t>
  </si>
  <si>
    <t>Crystallize, Deploy and Conquer: Draw a Card if you are leading in Lanes.</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</si>
  <si>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</si>
  <si>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</si>
  <si>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</si>
  <si>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</si>
  <si>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</si>
  <si>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</si>
  <si>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</si>
  <si>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</si>
  <si>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</si>
  <si>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</si>
  <si>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</si>
  <si>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</si>
  <si>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</si>
  <si>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</si>
  <si>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</si>
  <si>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</si>
  <si>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</si>
  <si>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</si>
  <si>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</si>
  <si>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</si>
  <si>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Trusty Companion</t>
  </si>
  <si>
    <t>Ally of Human: Draw a Card and gain Fear.</t>
  </si>
  <si>
    <t>At a soldier's side, steadfast and brave, this canine heart knows no fear, only loyalty.</t>
  </si>
  <si>
    <t>Old Fisherman</t>
  </si>
  <si>
    <t>Deploy: Gain Taunt. Whenever an Rare Unit is deployed adjacently, gain +3 Power.</t>
  </si>
  <si>
    <t>Ayo, son! Look at that catch!</t>
  </si>
  <si>
    <t>Bloodfleet Harpooneer</t>
  </si>
  <si>
    <t>Deploy: Gain Fear. Bury an adjacent Unit.</t>
  </si>
  <si>
    <t>A terror of the deep, he and his leviathan companion embody the ruthless spirit of the sea's most notorious pirates.</t>
  </si>
  <si>
    <t>Pinwheel Illusionist</t>
  </si>
  <si>
    <t>Deploy: You may copy the 'Deploy' ability of a friendly Mortal Unit in this Lane.</t>
  </si>
  <si>
    <t>With each gesture, he captures the essence of another, a spectral echo of their abilities becoming his own.</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</si>
  <si>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</si>
  <si>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</si>
  <si>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</si>
  <si>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</si>
  <si>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</si>
  <si>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</si>
  <si>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Quadriga of Triumph</t>
  </si>
  <si>
    <t>Crystallize: Gain Crystalborn. Conquer: All friendly Units in the conquered Lane gain +1 Power.</t>
  </si>
  <si>
    <t>From the thunder of war to the silence of memory, this monument bears the legacy of an empire's greatest triumphs.</t>
  </si>
  <si>
    <t>Old Bessy</t>
  </si>
  <si>
    <t>Deploy: Unleash &lt;E&gt;&lt;D&gt;&lt;M&gt;&lt;N&gt;&lt;V&gt;: Double the Power of all adjacent friendly Units.</t>
  </si>
  <si>
    <t>Ancient eyes, a witness to empires' rise and fall.</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</si>
  <si>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</si>
  <si>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</si>
  <si>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</si>
  <si>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</si>
  <si>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</si>
  <si>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</si>
  <si>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</si>
  <si>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</si>
  <si>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</si>
  <si>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Paragon of Conquest</t>
  </si>
  <si>
    <t>Conquer: If you've won three Lanes, you win the Game.</t>
  </si>
  <si>
    <t>M, M, M, ?, ?, ?</t>
  </si>
  <si>
    <t>Scapegoat</t>
  </si>
  <si>
    <t>When a friendly Unit with a 'Ritual' ability is deployed, you may bury this to copy that Unit's 'Ritual' ability.</t>
  </si>
  <si>
    <t>Ritual</t>
  </si>
  <si>
    <t>Tilling Yoke Beast</t>
  </si>
  <si>
    <t>Whenever you crystallize a Mortal Crystal, another friendly Unit gains +2 Power.</t>
  </si>
  <si>
    <t>Ordinary beasts cause only an ordinary harvest.</t>
  </si>
  <si>
    <t>Bloodfleet Raider</t>
  </si>
  <si>
    <t>Whenever an friendly Unit is deployed adjacently, gain Taunt.</t>
  </si>
  <si>
    <t>With a laugh in the face of danger and a toast to the thrill of the sea, he raids under the Bloodfleet's flag, where freedom is the greatest treasure.</t>
  </si>
  <si>
    <t>Caring Mother</t>
  </si>
  <si>
    <t>Crystallize and Deploy: Another friendly Human Unit gains +2 Power.</t>
  </si>
  <si>
    <t>Her gentle lullabies echo promises of greatness, cradled in the heart of the city's forgotten streets.</t>
  </si>
  <si>
    <t>Dojo Drill Instructor</t>
  </si>
  <si>
    <t>Deploy: Draw the top Warrior from your Deck. Shuffle your Deck.</t>
  </si>
  <si>
    <t>Its gears and circuits teach more than combat; they instill discipline that outlasts steel.</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</si>
  <si>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</si>
  <si>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</si>
  <si>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</si>
  <si>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</si>
  <si>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</si>
  <si>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Ironclad Jailwalker</t>
  </si>
  <si>
    <t>Conquer: Your Opponent buries one of their Units in the conquered Lane.</t>
  </si>
  <si>
    <t>Neither walls nor bars, but a walking prison, relentless in its pursuit of order.</t>
  </si>
  <si>
    <t>Trading Post Camel</t>
  </si>
  <si>
    <t>Ascend: Mortal.</t>
  </si>
  <si>
    <t>Rampart Shellback</t>
  </si>
  <si>
    <t>Conquer: Double the Power of an adjacent friendly Unit.</t>
  </si>
  <si>
    <t>Ankylosaurus</t>
  </si>
  <si>
    <t>Scalehide Trapper</t>
  </si>
  <si>
    <t>Ambush: An enemy Unit with 6 or more Power was deployed adjacently this Turn. Unearth: Bury an adjacent enemy Unit.</t>
  </si>
  <si>
    <t>Against the backdrop of roaring giants, his silent patience weaves the web that brings titans to their knees.</t>
  </si>
  <si>
    <t>Trapmaster</t>
  </si>
  <si>
    <t>Deploy: Copy the 'Unearth' ability of a friendly Unit.</t>
  </si>
  <si>
    <t>In the game of predator and prey, she crafts her cunning into every snare, her ambition as boundless as the wilds.</t>
  </si>
  <si>
    <t>Cinderguard Emberblade</t>
  </si>
  <si>
    <t>Deploy: Choose a friendly Warrior Unit. You may bury an enemy Unit adjacent to the chosen if that Unit has lower Power than the Warrior.</t>
  </si>
  <si>
    <t>Warrior Control</t>
  </si>
  <si>
    <t>Augur of the Moonspear</t>
  </si>
  <si>
    <t>Crystallize: A friendly Unit becomes a Warrior Unit until end of turn. Deploy: Gain +1 Power for each adjacent Warrior.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</si>
  <si>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</si>
  <si>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</si>
  <si>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</si>
  <si>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</si>
  <si>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</si>
  <si>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</si>
  <si>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</si>
  <si>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</si>
  <si>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</si>
  <si>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</si>
  <si>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</si>
  <si>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</si>
  <si>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</si>
  <si>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</si>
  <si>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</si>
  <si>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</si>
  <si>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</si>
  <si>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</si>
  <si>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</si>
  <si>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</si>
  <si>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</si>
  <si>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</si>
  <si>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</si>
  <si>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</si>
  <si>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</si>
  <si>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</si>
  <si>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</si>
  <si>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</si>
  <si>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</si>
  <si>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</si>
  <si>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</si>
  <si>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</si>
  <si>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</si>
  <si>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</si>
  <si>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</si>
  <si>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</si>
  <si>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</si>
  <si>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</si>
  <si>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</si>
  <si>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</si>
  <si>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</si>
  <si>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</si>
  <si>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</si>
  <si>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</si>
  <si>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</si>
  <si>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</si>
  <si>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</si>
  <si>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</si>
  <si>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</si>
  <si>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</si>
  <si>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</si>
  <si>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</si>
  <si>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</si>
  <si>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</si>
  <si>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</si>
  <si>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</si>
  <si>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</si>
  <si>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</si>
  <si>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</si>
  <si>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</si>
  <si>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</si>
  <si>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</si>
  <si>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</si>
  <si>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</si>
  <si>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</si>
  <si>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</si>
  <si>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</si>
  <si>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</si>
  <si>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</si>
  <si>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</si>
  <si>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</si>
  <si>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</si>
  <si>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</si>
  <si>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</si>
  <si>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</si>
  <si>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</si>
  <si>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</si>
  <si>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</si>
  <si>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</si>
  <si>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</si>
  <si>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</si>
  <si>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</si>
  <si>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</si>
  <si>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</si>
  <si>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</si>
  <si>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</si>
  <si>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</si>
  <si>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</si>
  <si>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</si>
  <si>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</si>
  <si>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</si>
  <si>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</si>
  <si>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</si>
  <si>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</si>
  <si>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</si>
  <si>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</si>
  <si>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</si>
  <si>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</si>
  <si>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</si>
  <si>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</si>
  <si>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</si>
  <si>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</si>
  <si>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</si>
  <si>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</si>
  <si>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</si>
  <si>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</si>
  <si>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</si>
  <si>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</si>
  <si>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</si>
  <si>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</si>
  <si>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</si>
  <si>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</si>
  <si>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</si>
  <si>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</si>
  <si>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</si>
  <si>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</si>
  <si>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</si>
  <si>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</si>
  <si>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</si>
  <si>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</si>
  <si>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</si>
  <si>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</si>
  <si>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</si>
  <si>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</si>
  <si>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</si>
  <si>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</si>
  <si>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</si>
  <si>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</si>
  <si>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</si>
  <si>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</si>
  <si>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</si>
  <si>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</si>
  <si>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</si>
  <si>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</si>
  <si>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</si>
  <si>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</si>
  <si>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</si>
  <si>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</si>
  <si>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</si>
  <si>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</si>
  <si>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</si>
  <si>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</si>
  <si>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</si>
  <si>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</si>
  <si>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</si>
  <si>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</si>
  <si>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</si>
  <si>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</si>
  <si>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</si>
  <si>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</si>
  <si>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</si>
  <si>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</si>
  <si>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</si>
  <si>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</si>
  <si>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</si>
  <si>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</si>
  <si>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</si>
  <si>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</si>
  <si>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</si>
  <si>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</si>
  <si>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</si>
  <si>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</si>
  <si>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</si>
  <si>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</si>
  <si>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</si>
  <si>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</si>
  <si>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</si>
  <si>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</si>
  <si>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</si>
  <si>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</si>
  <si>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</si>
  <si>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</si>
  <si>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</si>
  <si>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</si>
  <si>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</si>
  <si>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</si>
  <si>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</si>
  <si>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</si>
  <si>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</si>
  <si>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</si>
  <si>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</si>
  <si>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</si>
  <si>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</si>
  <si>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</si>
  <si>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</si>
  <si>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</si>
  <si>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</si>
  <si>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</si>
  <si>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</si>
  <si>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</si>
  <si>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</si>
  <si>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</si>
  <si>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</si>
  <si>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</si>
  <si>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</si>
  <si>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</si>
  <si>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</si>
  <si>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</si>
  <si>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</si>
  <si>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</si>
  <si>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</si>
  <si>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</si>
  <si>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</si>
  <si>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</si>
  <si>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</si>
  <si>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</si>
  <si>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</si>
  <si>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</si>
  <si>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</si>
  <si>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</si>
  <si>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</si>
  <si>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</si>
  <si>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</si>
  <si>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</si>
  <si>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</si>
  <si>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</si>
  <si>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</si>
  <si>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</si>
  <si>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</si>
  <si>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</si>
  <si>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</si>
  <si>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</si>
  <si>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</si>
  <si>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</si>
  <si>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</si>
  <si>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</si>
  <si>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</si>
  <si>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</si>
  <si>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</si>
  <si>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</si>
  <si>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</si>
  <si>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</si>
  <si>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</si>
  <si>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</si>
  <si>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</si>
  <si>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</si>
  <si>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</si>
  <si>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</si>
  <si>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</si>
  <si>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</si>
  <si>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</si>
  <si>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</si>
  <si>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</si>
  <si>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</si>
  <si>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</si>
  <si>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</si>
  <si>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</si>
  <si>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</si>
  <si>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</si>
  <si>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</si>
  <si>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</si>
  <si>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</si>
  <si>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</si>
  <si>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</si>
  <si>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</si>
  <si>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</si>
  <si>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</si>
  <si>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</si>
  <si>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</si>
  <si>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then gain an additional +1 Power for each Unit with Ambush.</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</si>
  <si>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</si>
  <si>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</si>
  <si>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</si>
  <si>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</si>
  <si>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</si>
  <si>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</si>
  <si>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</si>
  <si>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</si>
  <si>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</si>
  <si>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</si>
  <si>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Cryptroach</t>
  </si>
  <si>
    <t>Insect Undead</t>
  </si>
  <si>
    <t>Ambush: Your Opponent conquers this Lane. Unearth: Swap the positions of this and another Unit.</t>
  </si>
  <si>
    <t>Its tunnels were once used by ancient kings and pharaohs to guard their eternal rest.</t>
  </si>
  <si>
    <t>V, V, ?</t>
  </si>
  <si>
    <t>crypt roach, insect, animal, climbing up wall, pest, skittering, ancient egyptian, undead, lapislazuli plated</t>
  </si>
  <si>
    <t>https://alpha.midjourney.com/jobs/b6b028b1-6920-4dde-9694-73d589c7969e?index=1</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</si>
  <si>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</si>
  <si>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</si>
  <si>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</si>
  <si>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</si>
  <si>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</si>
  <si>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</si>
  <si>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</si>
  <si>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</si>
  <si>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</si>
  <si>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</si>
  <si>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Familiar</t>
  </si>
  <si>
    <t>Crystallize: Unleash &lt;?&gt;&lt;?&gt;&lt;?&gt;&lt;?&gt;&lt;?&gt;: Unearth a friendly Undead Unit. When this gets buried, obscure 2.</t>
  </si>
  <si>
    <t>Soaring through the night, it gathers whispers and secrets, loyal only to its vampiric sovereign.</t>
  </si>
  <si>
    <t>V</t>
  </si>
  <si>
    <t>Bloodthrone Ambassador</t>
  </si>
  <si>
    <t>Ritual: You may play an additional Unit this Turn.</t>
  </si>
  <si>
    <t>V,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</si>
  <si>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</si>
  <si>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</si>
  <si>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</si>
  <si>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</si>
  <si>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</si>
  <si>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</si>
  <si>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</si>
  <si>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</si>
  <si>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</si>
  <si>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</si>
  <si>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</si>
  <si>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</si>
  <si>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</si>
  <si>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</si>
  <si>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</si>
  <si>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</si>
  <si>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</si>
  <si>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</si>
  <si>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</si>
  <si>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</si>
  <si>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</si>
  <si>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</si>
  <si>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</si>
  <si>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</si>
  <si>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</si>
  <si>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</si>
  <si>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</si>
  <si>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</si>
  <si>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</si>
  <si>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</si>
  <si>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Bloodthrone Sovereign</t>
  </si>
  <si>
    <t>Hunter Undead</t>
  </si>
  <si>
    <t>Ritual: Gain +4 Power. Ritual: Gain +4 Power.</t>
  </si>
  <si>
    <t>Her throne, a monument to eternal night; her will, an unyielding dominion over darkness.</t>
  </si>
  <si>
    <t>V, ?, ?, ?</t>
  </si>
  <si>
    <t>Fatepeek Imp</t>
  </si>
  <si>
    <t>Deploy: Obscure once.</t>
  </si>
  <si>
    <t>Emissary of Darkness</t>
  </si>
  <si>
    <t>Deploy: Draw the top Demon of your Deck. Shuffle your Deck.</t>
  </si>
  <si>
    <t>Beneath a starless sky, the Emissary's incantations echo, as demons heed his silent call.</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</si>
  <si>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</si>
  <si>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</si>
  <si>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</si>
  <si>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</si>
  <si>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</si>
  <si>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</si>
  <si>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</si>
  <si>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</si>
  <si>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</si>
  <si>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</si>
  <si>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</si>
  <si>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</si>
  <si>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</si>
  <si>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</si>
  <si>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</si>
  <si>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</si>
  <si>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</si>
  <si>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</si>
  <si>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</si>
  <si>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</si>
  <si>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</si>
  <si>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Ghoulflesh Devourer</t>
  </si>
  <si>
    <t>Whenever an enemy Unit with less Power is deployed adjacently, gain +1 Power.</t>
  </si>
  <si>
    <t>Feasting on the meek, it grows ever stronger, a monstrous amalgam of death and dragon might.</t>
  </si>
  <si>
    <t>Grinning Amphora</t>
  </si>
  <si>
    <t>Deploy: Draw two Cards.</t>
  </si>
  <si>
    <t>Its grin speaks of boundless greed, yet none truly know its purpose.</t>
  </si>
  <si>
    <t>Hungry Shambler</t>
  </si>
  <si>
    <t>Crystalblight Undead</t>
  </si>
  <si>
    <t>Deploy: Each Player buries one of their Crystals.</t>
  </si>
  <si>
    <t>In its relentless shuffle, there's but one thought: feed, feed, feed.</t>
  </si>
  <si>
    <t>Hellblade</t>
  </si>
  <si>
    <t>Forged in the deepest fires, sheathed in eternal darkness.</t>
  </si>
  <si>
    <t>Ill-Tempered Imp</t>
  </si>
  <si>
    <t>Within its volatile gaze lies a mischief only the brave dare to decipher.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</si>
  <si>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</si>
  <si>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</si>
  <si>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</si>
  <si>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</si>
  <si>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</si>
  <si>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Intrusive Advisor</t>
  </si>
  <si>
    <t xml:space="preserve">Deploy: Draw two Cards, then put two Cards from your Hand to the bottom of the Deck. </t>
  </si>
  <si>
    <t>A demon's counsel is a double-edged sword; one edge cuts through lies, the other through the listener.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</si>
  <si>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</si>
  <si>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</si>
  <si>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</si>
  <si>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</si>
  <si>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</si>
  <si>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</si>
  <si>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</si>
  <si>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</si>
  <si>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</si>
  <si>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</si>
  <si>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</si>
  <si>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</si>
  <si>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</si>
  <si>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</si>
  <si>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</si>
  <si>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</si>
  <si>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</si>
  <si>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</si>
  <si>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</si>
  <si>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</si>
  <si>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</si>
  <si>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</si>
  <si>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</si>
  <si>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</si>
  <si>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</si>
  <si>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</si>
  <si>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</si>
  <si>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</si>
  <si>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</si>
  <si>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</si>
  <si>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Return an adjacent Unit to its owner's Hand.</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</si>
  <si>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</si>
  <si>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</si>
  <si>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</si>
  <si>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</si>
  <si>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</si>
  <si>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</si>
  <si>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</si>
  <si>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</si>
  <si>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</si>
  <si>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</si>
  <si>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</si>
  <si>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</si>
  <si>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</si>
  <si>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</si>
  <si>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</si>
  <si>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</si>
  <si>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</si>
  <si>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</si>
  <si>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</si>
  <si>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</si>
  <si>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</si>
  <si>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</si>
  <si>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</si>
  <si>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</si>
  <si>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</si>
  <si>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Gorgon Serpentress</t>
  </si>
  <si>
    <t>Deploy: Crystallize another friendly Unit, then bury an enemy Unit with equal or lower Crystal Cost.</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</si>
  <si>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</si>
  <si>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</si>
  <si>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</si>
  <si>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</si>
  <si>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</si>
  <si>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</si>
  <si>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</si>
  <si>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</si>
  <si>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</si>
  <si>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</si>
  <si>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</si>
  <si>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</si>
  <si>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</si>
  <si>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</si>
  <si>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</si>
  <si>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</si>
  <si>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</si>
  <si>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</si>
  <si>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</si>
  <si>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</si>
  <si>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</si>
  <si>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</si>
  <si>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</si>
  <si>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</si>
  <si>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</si>
  <si>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</si>
  <si>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</si>
  <si>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</si>
  <si>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</si>
  <si>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</si>
  <si>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</si>
  <si>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</si>
  <si>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</si>
  <si>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</si>
  <si>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</si>
  <si>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</si>
  <si>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</si>
  <si>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</si>
  <si>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</si>
  <si>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</si>
  <si>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</si>
  <si>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</si>
  <si>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</si>
  <si>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</si>
  <si>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</si>
  <si>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</si>
  <si>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</si>
  <si>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</si>
  <si>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</si>
  <si>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</si>
  <si>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always has all Realms.</t>
  </si>
  <si>
    <t>To shift between worlds is to master the dance of existence.</t>
  </si>
  <si>
    <t>?, ?</t>
  </si>
  <si>
    <t>Shapeshifter</t>
  </si>
  <si>
    <t>This Card always has all Types.</t>
  </si>
  <si>
    <t>One moment a whisper, the next a roar. Who will he be today?</t>
  </si>
  <si>
    <t>Rustblooded Boar</t>
  </si>
  <si>
    <t>Eclipse Dragon</t>
  </si>
  <si>
    <t>Dragon Undead</t>
  </si>
  <si>
    <t>V, ?, ?, ?, ?, ?, ?</t>
  </si>
  <si>
    <t>Featherfrost Harpy</t>
  </si>
  <si>
    <t>Nightbloom Owl</t>
  </si>
  <si>
    <t>Frostfire Basilisk</t>
  </si>
  <si>
    <t>Sandsilk Fox</t>
  </si>
  <si>
    <t>Mistborn Serpent</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</si>
  <si>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</si>
  <si>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</si>
  <si>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</si>
  <si>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</si>
  <si>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QxZDRlNDNhLTYyOTQtNGNjYS1iOWU5LWE4YTliN2MxNDc3M18yIiwiMSI6IjdiOTg2MzgyLTg0MmQtNDg5NC1iZmE1LThmM2ExM2MyODA0OF8yIiwiMiI6IjMzZjdjYzJjLWU5M2QtNGUyYy05YjY1LTAwMGY3ZmVjNWI0ZF8zIiwiYyI6ImFlZTZlZCJ9LCJBdmVuZ2luZyBGb3JjZSI6eyIwIjoiMjI5OTNjOTctNGMwZS00YjIwLWI2MWUtMDc2NTg1NGIxZDBjXzIiLCJjIjoiMTk0OGYyIn0sIkJhYnkgTGFtYXNzdSI6eyIwIjoiYjFlODhmZGEtN2QzYi00MzAyLWIwYjAtNGVlZTAwMTJlMTkzXzEiLCJjIjoiYzUxNzI3In0sIkJsYWNrbWFyYmxlIEdhcmdveWxlIjp7IjAiOiJhNDA4ZDkyYy02ZTZlLTRkMzAtOTNhZC1lNTI2YTVjOTU1NWZfMyIsImMiOiIwNDZlMWYifSwiQ2hyb25vc2FuZCBTcGhpbngiOnsiMCI6IjhjNmM1ODAzLTM0YmQtNDIzOC1iZjRiLTU0MzZmMjY5OTQ5ZF8zIiwiYyI6IjgyZWE0MSJ9LCJDcnlwdG9zcGhpbngiOnsiMCI6IjI1MGU3NDdiLWM3ZTgtNGE1Yi1hNDgzLTY1NDQ2Y2QzMDdhYV8yIiwiYyI6IjQ3NTkzYSJ9LCJDcnlwdHJvYWNoIjp7IjAiOiJiNmIwMjhiMS02OTIwLTRkZGUtOTY5NC03M2Q1ODljNzk2OWVfMSIsImMiOiI1YmIzYTEifSwiRGFtYWdlZCBBdXRvbWF0b24iOnsiMCI6IjM2NDRkOWY0LWExNTQtNDUzOC05NmVhLTQ4OWQ2ZGExMGNkYV8yIiwiYyI6IjMzYTczOSJ9LCJEb3ZlIG9mIFNlcmVuaXR5Ijp7IjAiOiJiZDEzODU1Ni1mMzkxLTQ0ZWMtYWI2OC01YWE0YjVhOWY2MDZfMSIsImMiOiJjOWFkNWQifSwiRHJlYW0gVHJhdmVsZXIiOnsiMCI6IjFhZTU4ODkyLWMwYzctNGNkMi1iNGYyLTYxZTQzNmE3NmFjYl8wIiwiYyI6IjVjODAwYyJ9LCJFbWJhbG1lZCBBcG9waGlzIjp7IjAiOiIxMzQ5OWVjMi05YTVhLTQ1OTUtOWNjZC1mYmNmZTBmZmZlYWZfMCIsImMiOiJlYjdhNDAifSwiRmVsaW5lIFVzaGFidGkiOnsiMCI6IjdiNzM1MTRjLTYxMmMtNGY3YS1iN2IwLThkMDNmZjY4NzY0Nl8xIiwiYyI6IjQyZWZjNyJ9LCJHdWFyZGlhbiBvZiB0aGUgR2F0ZXMiOnsiMCI6IjEzNTMzZWVhLTRjNTYtNDc4Ny1hOGQxLTViNWRlNGQyZmU0MF8wIiwiYyI6IjRjZjRlMSJ9LCJIYWxsb3dlZCBFeG9yY2lzdCI6eyIwIjoiZmI5YWQyODItZjc2OC00NzI2LWI3OWItZjQwYzExZDAyNzdiXzMiLCJjIjoiZjgzYmIyIn0sIkhhcm1vbmljIEVjaG8iOnsiMCI6IjJmYjg4ZjZiLTdiMzctNDBmMy05ZGRmLWU0NmRhNjRiOTAyNF8yIiwiYyI6ImYzZjk4NyJ9LCJJYmlzIFVzaGFidGkiOnsiMCI6IjEwNTY5ZGYzLWFmNjEtNDc0ZS05OTk3LTA4YjEyMTFlYWM0Yl8zIiwiYyI6IjJjMDUwNyJ9LCJNYXplIE1hc3RlciBTcGhpbngiOnsiMCI6IjljY2NlYWZmLTk3YTYtNDYyNS05YmVhLTY1NjdiODVjMDRlZl8wIiwiYyI6IjNmMjA2NiJ9LCJNeXN0aWMgUHV6emxlIEJveCI6eyIwIjoiMGNmMGJlNDctYzU3Zi00ZmViLTg0ZTYtMTc5MDIxOWJhNTRiXzAiLCJjIjoiMzFmODJiIn0sIk9hc2lzIFNwcml0ZSI6eyIwIjoiMTZmYjc2NzgtNThhYS00M2Y0LTk3NmMtNjQxMWQzNzMzNDFjXzEiLCJjIjoiODllNDlmIn0sIlNjcmlwdHVyZSBNb25rZXkiOnsiMCI6IjMzMjE5MDNhLWEzMDMtNDRlZS04YjVkLTM0ODdiZDY5M2ZhOV8zIiwiYyI6ImY0M2YwYiJ9LCJTZWtoZW0gQ2hhcmlvdCI6eyIwIjoiYTZiOTc5NmItZWRmMy00YWYzLTllZDUtYzgxODI1MDg5NDdlXzEiLCJjIjoiMzVhYTdhIn0sIlRodW5kZXJzd2FybSBQZWdhc3VzIjp7IjAiOiIyODkyY2FjNC1lY2ZjLTRiNGYtYTRlOS0xZWI2MWE0OTcxYThfMyIsImMiOiI5M2NmZGIifSwiVHJhbnF1aWwgSGVyZCBHZW0gVGl0YW4iOnsiMCI6ImVkNzU0N2Y2LTU5ZjYtNDY3NC04ZTUxLTQ0OGY3MGUxYTA2Ml8xIiwiYyI6IjcyOTEyNSJ9LCJXcmF0aCBvZiB0aGUgUGhhcmFvaCI6eyIwIjoiNTU3ZWE0NGMtZGMzMC00NTE5LTkzYzAtOTZjYWYyZjk3ODE1XzMiLCJjIjoiYjU4MjY4In0sIkNyaW1zb24gRmxhbWVjaGljayI6eyIwIjoiMDg2NzYzNWItYjk5My00ZTg5LWFkYzktODQwZmFjNWU5OGFlXzIiLCJjIjoiMTE5ZDRlIn0sIlRoZSBTZWNvbmQgV2luZyI6eyIwIjoiZjkyZDIyNjctMmNiNi00NTlmLWI4ZjQtMDdjMjgwNDI2YTMyXzIiLCJjIjoiYmYzMWI3In0sIlRodW5kZXJzd2FybSBDZWxlc3RpYWwiOnsiMCI6IjQ5NjkwM2VjLTllMjktNGU5Ni1iYWVkLWZiYzFjNzJlNjdhMl8zIiwiYyI6ImI1NDNkOCJ9LCJHbG93aW5nIEdlYXJodWxrIjp7IjAiOiI0ZWZkMmUxYi1hMTEzLTQ5YTAtOGIwOS1hNzE3NjhiYzdmMGFfMSIsImMiOiI4MDBhNGUifSwiTW9vbiBQcmllc3Rlc3MiOnsiMCI6ImZlMzA0Y2JhLWZlNjgtNGJlYS1hMDg5LTY5NGQyZTcxYTM5NF8yIiwiYyI6ImVmM2JmMSJ9LCJNb29uc3BlYXIgUGFsYWRpbiI6eyIwIjoiNGI5NjMyMTAtMTdlYy00Y2M5LTlhODMtZjM4YTc2OTJhZjBlXzMiLCJjIjoiZjA4OTc1In0sIkdvYXQgT3JhY2xlIjp7IjAiOiI5NmRkODYxYi02Y2Y0LTQwM2MtYjcwMS0zNTMzOWI4YmY3MmNfMCIsImMiOiI5NzhhNGUifSwiU3VuYmxlc3NlZCBDcm9jb2RpbGUiOnsiMCI6Ijg1NTY2ODk3LTVlZjgtNDJkZi04YzcyLTM2NjI4YTlkZDlmY18xIiwiYyI6ImZmNjU1YSJ9LCJEcmFnb25maXJlIFdhcmxvY2siOnsiMCI6IjZlODIxN2YzLThhYzItNDViMC04ZGM0LWVmNTM1MmI0NzllYV8yIiwiMSI6ImJhNTMzMjE4LTg1MWMtNGJmNC1hOGQ2LTFkNDBkZDU5ZDk4M18wIiwiMiI6IjU0ZWVkZmFmLTQ1M2UtNGE0OS1iZDViLWQ0MDEyNzYxYTI5M18xIiwiYyI6IjQwMTY2NyJ9LCJEcmFnb253aW5kIEhhcmJpbmdlciI6eyIwIjoiODQxMTc0ZGItNWM2OC00MWU4LTgxOWEtMDlmYTAyOGM1OTQzXzAiLCIxIjoiNTM3NjAyNTUtYzZmZS00YzRjLWFjNzYtOTVhYTAxNzk5M2Y5XzEiLCIyIjoiNzkyZDU5ZWYtODJjZi00NzczLTllYjQtNjUxMDVjOTIwOGVjXzIiLCJjIjoiZmNiZmM0In0sIkR1c3RkYW5jZSBFZnJlZXQiOnsiMCI6IjExMTNhMTRhLWU5OGItNDM2OC1iNTI2LTI5MzlhMDhkZTUzN18yIiwiMSI6ImNjZmUxMWNhLWQ2OGQtNDJkZC1iMWNkLWQ1YWE2ZDNjOWI4Yl8wIiwiMiI6ImNjZmUxMWNhLWQ2OGQtNDJkZC1iMWNkLWQ1YWE2ZDNjOWI4Yl8yIiwiYyI6IjQ5NzJiZCJ9LCJHYWxld2VhdmVyIjp7IjAiOiI2NThhNGRkMC1iZjZkLTQ3ZTctODZkOC01MmVlNTJhOGYyMTRfMiIsIjEiOiI3ZjgxZWI5ZS1mMDYyLTQ2ZGUtOTEwNS1mOTM3MzBhNGU3ZmJfMCIsIjIiOiJkZWQ1YjNjOC1hOTg5LTQwZTQtOGJlMy01YWM2N2NmNDE3MzZfMCIsImMiOiJhNmY5NTgifSwiR2FzaG9wcGVyIjp7IjAiOiI3MTJiYzFiMS1hMzExLTRjOWUtOGZkMy05MDg0ZmFmNjJkYjVfMiIsIjEiOiIwYWMxNTVjNC1kY2NkLTQ5ZWEtYTZiYS1iNzBkZDhkOGU5YTNfMiIsIjIiOiJhYTM4MjhjYy1kYTViLTQ0ZmQtYTk5MS03ZGZhOGQzNThlY2FfMSIsImMiOiJkYjMyM2YifSwiQ2luZGVyZ3VhcmQgRW1iZXJibGFkZSI6eyIwIjoiY2UzY2Q1YmUtMTQ2ZC00NzQ3LWE3MjUtOTZkMDJmY2U2OTg4XzMiLCIxIjoiZjk1ODc3YWQtZjFmOS00MTZlLWFjMDUtNmU3YjRhZDUzNGVlXzIiLCJjIjoiOTE2MzE1In0sIldpbmRraXRlIEFjb2x5dGUiOnsiMCI6ImM1MDJjNzUxLWNlZDMtNGNiMy1hYTc3LWNlN2NmM2M1NjBkNF8wIiwiMSI6ImVjMWZiNWNmLWIyMjYtNDgyYS05ZmQyLTAwNWQ2ZjkyNzg0Nl8xIiwiYyI6IjNjMGI4YiJ9LCJWb2xjYW5vIEVtYm9kaW1lbnQiOnsiMCI6IjcxMGQwY2Y4LWNlMzgtNGFhNC1iM2YyLTg3NmYzNTBjOTVlNV8xIiwiMSI6IjY3MGNkMjA0LTU3MDQtNGYxMi05MTI1LTVlYjM1NDE3N2Y1Zl8yIiwiMiI6IjIyYmIzZThkLTVjNTItNGM0NC04NTg3LTAyYzk5OTc3ZjE0M18wIiwiYyI6IjliMzE3MiJ9LCJTaGlmdGluZyBTYW5kcyI6eyIwIjoiZjRiODdjM2EtM2UzYy00OGZhLWI5NGEtYzA1MTQ2MTNhMmNkXzMiLCIxIjoiZjQzZmIwZjktMjE5ZC00NmVhLTg0ZTctY2ViZDAyY2E2N2ZkXzMiLCIyIjoiZmVmMTUyZmUtYTU0Zi00OTkzLThjMGItYmRjNmIyNTVmZjUwXzEiLCJjIjoiNDdhMmVkIn0sIlJvdWdobGFuZHMgU2NvdXJnZSI6eyIwIjoiOWQzOTk2ZGQtNGNkOS00YzYxLTlmMGItNzNiMzg4MjJhYjU2XzEiLCIxIjoiZjU1MjgxOWYtYmFlMC00ZmRjLWFlYzktM2M5NDhmYWRjYTk2XzAiLCIyIjoiNmNhZDZhZGMtMjY5Ny00MTQ1LWJkZjAtZWZhMGJmNzg4NDM2XzIiLCJjIjoiYzUyOWM3In0sIlJhaWppbiI6eyIwIjoiMTZlZTBkYzQtMDhlNi00OWUwLWJlNmMtNTA0MWM3YjVkNGY5XzEiLCIxIjoiZGU1NmY4MzktNjQ5MS00NmNmLTg4MGQtNmQ5MjhhMjUxN2RhXzAiLCIyIjoiZGFiZTJjODgtNzYwOS00ZDIzLTliZTQtYjZkMDNmNTA0M2VjXzIiLCJjIjoiOWNkMzk0In19</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</si>
  <si>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</si>
  <si>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</si>
  <si>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</si>
  <si>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</si>
  <si>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</si>
  <si>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</si>
  <si>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</si>
  <si>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</si>
  <si>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</si>
  <si>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</si>
  <si>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</si>
  <si>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</si>
  <si>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</si>
  <si>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</si>
  <si>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</si>
  <si>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</si>
  <si>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</si>
  <si>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</si>
  <si>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</si>
  <si>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</si>
  <si>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</si>
  <si>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</si>
  <si>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</si>
  <si>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</si>
  <si>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</si>
  <si>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</si>
  <si>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</si>
  <si>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</si>
  <si>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</si>
  <si>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</si>
  <si>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</si>
  <si>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</si>
  <si>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</si>
  <si>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</si>
  <si>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</si>
  <si>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</si>
  <si>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</si>
  <si>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</si>
  <si>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</si>
  <si>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</si>
  <si>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</si>
  <si>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</si>
  <si>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</si>
  <si>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</si>
  <si>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</si>
  <si>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</si>
  <si>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</si>
  <si>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</si>
  <si>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</si>
  <si>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</si>
  <si>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</si>
  <si>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</si>
  <si>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</si>
  <si>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</si>
  <si>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</si>
  <si>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</si>
  <si>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</si>
  <si>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</si>
  <si>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</si>
  <si>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</si>
  <si>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</si>
  <si>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</si>
  <si>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</si>
  <si>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</si>
  <si>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</si>
  <si>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</si>
  <si>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</si>
  <si>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</si>
  <si>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</si>
  <si>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</si>
  <si>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</si>
  <si>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</si>
  <si>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</si>
  <si>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</si>
  <si>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</si>
  <si>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</si>
  <si>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</si>
  <si>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</si>
  <si>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</si>
  <si>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</si>
  <si>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</si>
  <si>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</si>
  <si>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</si>
  <si>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</si>
  <si>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</si>
  <si>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</si>
  <si>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</si>
  <si>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</si>
  <si>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</si>
  <si>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</si>
  <si>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</si>
  <si>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</si>
  <si>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</si>
  <si>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</si>
  <si>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</si>
  <si>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</si>
  <si>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</si>
  <si>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</si>
  <si>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</si>
  <si>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</si>
  <si>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</si>
  <si>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</si>
  <si>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</si>
  <si>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</si>
  <si>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</si>
  <si>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</si>
  <si>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</si>
  <si>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</si>
  <si>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</si>
  <si>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</si>
  <si>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</si>
  <si>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</si>
  <si>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</si>
  <si>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</si>
  <si>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</si>
  <si>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</si>
  <si>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</si>
  <si>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</si>
  <si>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</si>
  <si>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</si>
  <si>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</si>
  <si>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</si>
  <si>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</si>
  <si>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</si>
  <si>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</si>
  <si>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</si>
  <si>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</si>
  <si>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</si>
  <si>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</si>
  <si>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</si>
  <si>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</si>
  <si>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</si>
  <si>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</si>
  <si>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</si>
  <si>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</si>
  <si>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</si>
  <si>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</si>
  <si>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</si>
  <si>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</si>
  <si>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</si>
  <si>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</si>
  <si>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</si>
  <si>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</si>
  <si>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</si>
  <si>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</si>
  <si>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</si>
  <si>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</si>
  <si>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</si>
  <si>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</si>
  <si>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Construct, Insect</t>
  </si>
  <si>
    <t>Start of Turn: You may bury this to return an adjacent Unit to its owner's hand.</t>
  </si>
  <si>
    <t>Whenever a non-Dragon Unit gains Power, gain +1 Power.</t>
  </si>
  <si>
    <t>Blue Sucker</t>
  </si>
  <si>
    <t>Crystalblight</t>
  </si>
  <si>
    <t>Deploy: Bury any number of friendly Mortal Crystals. Gain +2 Power for each.</t>
  </si>
  <si>
    <t>Green Sucker</t>
  </si>
  <si>
    <t>Deploy: Bury any number of friendly Nature Crystals. Gain +2 Power for each.</t>
  </si>
  <si>
    <t>Yellow Sucker</t>
  </si>
  <si>
    <t>Deploy: Bury any number of friendly Divine Crystals. Gain +2 Power for each.</t>
  </si>
  <si>
    <t>Purple Sucker</t>
  </si>
  <si>
    <t>Deploy: Bury any number of friendly Void Crystals. Gain +2 Power for each.</t>
  </si>
  <si>
    <t>Red Sucker</t>
  </si>
  <si>
    <t>Deploy: Bury any number of friendly Elemental Crystals. Gain +2 Power for each.</t>
  </si>
  <si>
    <t>"Twilight Conduit"</t>
  </si>
  <si>
    <t>Unleash &lt;D&gt;&lt;D&gt;&lt;V&gt;&lt;V&gt;: Draw a Card.</t>
  </si>
  <si>
    <t>When this gets buried: Christallize and unearth this.</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</si>
  <si>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</si>
  <si>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</si>
  <si>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</si>
  <si>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</si>
  <si>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</si>
  <si>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</si>
  <si>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</si>
  <si>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</si>
  <si>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</si>
  <si>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</si>
  <si>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</si>
  <si>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</si>
  <si>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</si>
  <si>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</si>
  <si>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</si>
  <si>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</si>
  <si>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</si>
  <si>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</si>
  <si>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</si>
  <si>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</si>
  <si>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</si>
  <si>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</si>
  <si>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</si>
  <si>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</si>
  <si>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</si>
  <si>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</si>
  <si>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</si>
  <si>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</si>
  <si>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</si>
  <si>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</si>
  <si>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</si>
  <si>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</si>
  <si>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</si>
  <si>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</si>
  <si>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</si>
  <si>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</si>
  <si>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</si>
  <si>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</si>
  <si>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</si>
  <si>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</si>
  <si>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</si>
  <si>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</si>
  <si>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</si>
  <si>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</si>
  <si>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</si>
  <si>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</si>
  <si>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</si>
  <si>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</si>
  <si>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</si>
  <si>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</si>
  <si>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</si>
  <si>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</si>
  <si>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</si>
  <si>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</si>
  <si>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</si>
  <si>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</si>
  <si>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</si>
  <si>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</si>
  <si>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</si>
  <si>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</si>
  <si>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</si>
  <si>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</si>
  <si>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</si>
  <si>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</si>
  <si>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</si>
  <si>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</si>
  <si>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</si>
  <si>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</si>
  <si>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</si>
  <si>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</si>
  <si>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</si>
  <si>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</si>
  <si>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</si>
  <si>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</si>
  <si>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</si>
  <si>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</si>
  <si>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</si>
  <si>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</si>
  <si>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</si>
  <si>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</si>
  <si>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</si>
  <si>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</si>
  <si>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</si>
  <si>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</si>
  <si>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</si>
  <si>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</si>
  <si>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</si>
  <si>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</si>
  <si>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</si>
  <si>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</si>
  <si>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</si>
  <si>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</si>
  <si>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</si>
  <si>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</si>
  <si>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</si>
  <si>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</si>
  <si>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</si>
  <si>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</si>
  <si>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</si>
  <si>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</si>
  <si>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</si>
  <si>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</si>
  <si>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</si>
  <si>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</si>
  <si>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</si>
  <si>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</si>
  <si>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</si>
  <si>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</si>
  <si>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</si>
  <si>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</si>
  <si>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</si>
  <si>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</si>
  <si>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</si>
  <si>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</si>
  <si>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</si>
  <si>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</si>
  <si>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</si>
  <si>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</si>
  <si>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</si>
  <si>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</si>
  <si>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</si>
  <si>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</si>
  <si>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</si>
  <si>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</si>
  <si>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</si>
  <si>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</si>
  <si>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</si>
  <si>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</si>
  <si>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</si>
  <si>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</si>
  <si>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</si>
  <si>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</si>
  <si>
    <t>SD1: Cinderguard</t>
  </si>
  <si>
    <t>Card List</t>
  </si>
  <si>
    <t>Realm</t>
  </si>
  <si>
    <t>Type</t>
  </si>
  <si>
    <t>Ability</t>
  </si>
  <si>
    <t>Crystal Cost</t>
  </si>
  <si>
    <t>Card Count</t>
  </si>
  <si>
    <t>Alt Arts</t>
  </si>
  <si>
    <t>Average Power</t>
  </si>
  <si>
    <t>Set ID</t>
  </si>
  <si>
    <t>SD1</t>
  </si>
  <si>
    <t>Yes</t>
  </si>
  <si>
    <t>Yes (Jessica Atreides Type)</t>
  </si>
  <si>
    <t>SD2: Tainted Jade</t>
  </si>
  <si>
    <t>SD2</t>
  </si>
  <si>
    <t xml:space="preserve">Deploy: Draw two Cards, then put a Card from your Hand to the bottom of the Deck. </t>
  </si>
  <si>
    <t>SD3: Ivoryscar</t>
  </si>
  <si>
    <t>SD3</t>
  </si>
  <si>
    <t>SD4: Shardhorde</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</si>
</sst>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0.0"/>
      <color theme="1"/>
      <name val="&quot;gg sans&quot;"/>
    </font>
    <font>
      <color rgb="FF000000"/>
      <name val="Docs-Calibri"/>
    </font>
    <font>
      <b/>
      <sz val="14.0"/>
      <color theme="1"/>
      <name val="Calibri"/>
      <scheme val="minor"/>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06666"/>
        <bgColor rgb="FFE06666"/>
      </patternFill>
    </fill>
    <fill>
      <patternFill patternType="solid">
        <fgColor rgb="FFE7E6E6"/>
        <bgColor rgb="FFE7E6E6"/>
      </patternFill>
    </fill>
    <fill>
      <patternFill patternType="solid">
        <fgColor rgb="FF4A86E8"/>
        <bgColor rgb="FF4A86E8"/>
      </patternFill>
    </fill>
    <fill>
      <patternFill patternType="solid">
        <fgColor rgb="FF70AD47"/>
        <bgColor rgb="FF70AD47"/>
      </patternFill>
    </fill>
    <fill>
      <patternFill patternType="solid">
        <fgColor rgb="FF8496B0"/>
        <bgColor rgb="FF8496B0"/>
      </patternFill>
    </fill>
    <fill>
      <patternFill patternType="solid">
        <fgColor rgb="FF351C75"/>
        <bgColor rgb="FF351C75"/>
      </patternFill>
    </fill>
    <fill>
      <patternFill patternType="solid">
        <fgColor theme="4"/>
        <bgColor theme="4"/>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0" fontId="11" numFmtId="0" xfId="0" applyFont="1"/>
    <xf borderId="0" fillId="8" fontId="4" numFmtId="0" xfId="0" applyAlignment="1" applyFont="1">
      <alignment horizontal="center" readingOrder="0"/>
    </xf>
    <xf borderId="0" fillId="0" fontId="18" numFmtId="0" xfId="0" applyAlignment="1" applyFont="1">
      <alignment readingOrder="0"/>
    </xf>
    <xf borderId="0" fillId="0" fontId="6" numFmtId="0" xfId="0" applyFont="1"/>
    <xf borderId="0" fillId="12" fontId="11" numFmtId="0" xfId="0" applyAlignment="1" applyFill="1" applyFont="1">
      <alignment readingOrder="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9" numFmtId="0" xfId="0" applyAlignment="1" applyFont="1">
      <alignment horizontal="left" readingOrder="0"/>
    </xf>
    <xf borderId="2" fillId="10" fontId="6" numFmtId="0" xfId="0" applyAlignment="1" applyBorder="1" applyFont="1">
      <alignment horizontal="left" readingOrder="0" vertical="center"/>
    </xf>
    <xf borderId="0" fillId="8" fontId="6" numFmtId="0" xfId="0" applyAlignment="1" applyFont="1">
      <alignment horizontal="left" readingOrder="0" shrinkToFit="0" vertical="center" wrapText="0"/>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vertical="bottom"/>
    </xf>
    <xf borderId="1" fillId="13" fontId="2" numFmtId="0" xfId="0" applyAlignment="1" applyBorder="1" applyFill="1" applyFont="1">
      <alignment vertical="bottom"/>
    </xf>
    <xf borderId="0" fillId="0" fontId="6" numFmtId="0" xfId="0" applyAlignment="1" applyFont="1">
      <alignment horizontal="center" vertical="bottom"/>
    </xf>
    <xf borderId="0" fillId="0" fontId="6" numFmtId="0" xfId="0" applyFont="1"/>
    <xf borderId="0" fillId="0" fontId="6" numFmtId="0" xfId="0" applyAlignment="1" applyFont="1">
      <alignment horizontal="right" vertical="bottom"/>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4" fontId="4" numFmtId="0" xfId="0" applyAlignment="1" applyBorder="1" applyFill="1" applyFont="1">
      <alignment readingOrder="0"/>
    </xf>
    <xf borderId="0" fillId="0" fontId="20" numFmtId="0" xfId="0" applyAlignment="1" applyFont="1">
      <alignment readingOrder="0"/>
    </xf>
    <xf borderId="0" fillId="14" fontId="4" numFmtId="0" xfId="0" applyAlignment="1" applyFont="1">
      <alignment readingOrder="0"/>
    </xf>
    <xf borderId="0" fillId="8" fontId="6" numFmtId="0" xfId="0" applyAlignment="1" applyFont="1">
      <alignment horizontal="left" readingOrder="0" shrinkToFit="0" vertical="center" wrapText="1"/>
    </xf>
    <xf borderId="0" fillId="14" fontId="6" numFmtId="0" xfId="0" applyAlignment="1" applyFont="1">
      <alignment horizontal="left" readingOrder="0" vertical="center"/>
    </xf>
    <xf borderId="0" fillId="13" fontId="6" numFmtId="0" xfId="0" applyAlignment="1" applyFont="1">
      <alignment horizontal="left" readingOrder="0" vertical="center"/>
    </xf>
    <xf borderId="0" fillId="0" fontId="20" numFmtId="0" xfId="0" applyAlignment="1" applyFont="1">
      <alignment horizontal="left" readingOrder="0" shrinkToFit="0" vertical="center" wrapText="0"/>
    </xf>
    <xf borderId="0" fillId="0" fontId="12" numFmtId="0" xfId="0" applyAlignment="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15" fontId="6" numFmtId="0" xfId="0" applyAlignment="1" applyFill="1" applyFont="1">
      <alignment vertical="bottom"/>
    </xf>
    <xf borderId="0" fillId="16" fontId="6" numFmtId="0" xfId="0" applyAlignment="1" applyFill="1" applyFont="1">
      <alignment horizontal="left" readingOrder="0" vertical="center"/>
    </xf>
    <xf borderId="0" fillId="16" fontId="4" numFmtId="0" xfId="0" applyAlignment="1" applyFont="1">
      <alignment readingOrder="0"/>
    </xf>
    <xf borderId="0" fillId="17" fontId="6" numFmtId="0" xfId="0" applyAlignment="1" applyFill="1" applyFont="1">
      <alignment horizontal="left" readingOrder="0" vertical="center"/>
    </xf>
    <xf borderId="0" fillId="17"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18" fontId="2" numFmtId="0" xfId="0" applyAlignment="1" applyFill="1" applyFont="1">
      <alignment vertical="bottom"/>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9" fontId="22" numFmtId="0" xfId="0" applyAlignment="1" applyBorder="1" applyFill="1" applyFont="1">
      <alignment readingOrder="0"/>
    </xf>
    <xf borderId="5" fillId="19" fontId="23" numFmtId="0" xfId="0" applyAlignment="1" applyBorder="1" applyFont="1">
      <alignment horizontal="center" readingOrder="0"/>
    </xf>
    <xf borderId="6" fillId="19"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5" fontId="1" numFmtId="0" xfId="0" applyAlignment="1" applyBorder="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20" fontId="24" numFmtId="0" xfId="0" applyAlignment="1" applyFill="1" applyFont="1">
      <alignment horizontal="center" readingOrder="0"/>
    </xf>
    <xf borderId="0" fillId="21" fontId="24" numFmtId="0" xfId="0" applyAlignment="1" applyFill="1" applyFont="1">
      <alignment horizontal="center" readingOrder="0"/>
    </xf>
    <xf borderId="0" fillId="13" fontId="24" numFmtId="0" xfId="0" applyAlignment="1" applyFont="1">
      <alignment horizontal="center" readingOrder="0"/>
    </xf>
    <xf borderId="0" fillId="22" fontId="24" numFmtId="0" xfId="0" applyAlignment="1" applyFill="1" applyFont="1">
      <alignment horizontal="center" readingOrder="0"/>
    </xf>
    <xf borderId="0" fillId="18" fontId="22" numFmtId="0" xfId="0" applyAlignment="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8" numFmtId="0" xfId="0" applyAlignment="1" applyFont="1">
      <alignment horizontal="left" readingOrder="0"/>
    </xf>
    <xf borderId="0" fillId="23" fontId="25" numFmtId="0" xfId="0" applyFont="1"/>
    <xf borderId="0" fillId="0" fontId="18"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9" fontId="2" numFmtId="0" xfId="0" applyAlignment="1" applyFont="1">
      <alignment horizontal="left" readingOrder="0"/>
    </xf>
    <xf borderId="0" fillId="26" fontId="2" numFmtId="0" xfId="0" applyAlignment="1" applyFont="1">
      <alignment shrinkToFit="0" wrapText="1"/>
    </xf>
    <xf borderId="0" fillId="4"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6" fontId="6" numFmtId="0" xfId="0" applyFont="1"/>
    <xf borderId="0" fillId="0" fontId="6" numFmtId="0" xfId="0" applyAlignment="1" applyFont="1">
      <alignment shrinkToFit="0" wrapText="0"/>
    </xf>
    <xf borderId="0" fillId="16" fontId="6" numFmtId="0" xfId="0" applyAlignment="1" applyFont="1">
      <alignment vertical="bottom"/>
    </xf>
    <xf borderId="0" fillId="17"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xf borderId="0" fillId="0" fontId="37" numFmtId="0" xfId="0" applyAlignment="1" applyFont="1">
      <alignment readingOrder="0"/>
    </xf>
    <xf borderId="0" fillId="15" fontId="4" numFmtId="0" xfId="0" applyFont="1"/>
    <xf borderId="0" fillId="15" fontId="22" numFmtId="0" xfId="0" applyAlignment="1" applyFont="1">
      <alignment readingOrder="0"/>
    </xf>
    <xf borderId="0" fillId="15" fontId="23" numFmtId="0" xfId="0" applyFont="1"/>
    <xf borderId="0" fillId="15" fontId="22" numFmtId="0" xfId="0" applyFont="1"/>
    <xf borderId="0" fillId="9" fontId="4" numFmtId="0" xfId="0" applyFont="1"/>
    <xf borderId="0" fillId="9" fontId="4" numFmtId="0" xfId="0" applyAlignment="1" applyFont="1">
      <alignment horizontal="center" readingOrder="0"/>
    </xf>
    <xf borderId="0" fillId="9" fontId="6" numFmtId="0" xfId="0" applyAlignment="1" applyFont="1">
      <alignment horizontal="left" readingOrder="0" vertical="center"/>
    </xf>
    <xf borderId="0" fillId="9" fontId="6" numFmtId="0" xfId="0" applyAlignment="1" applyFont="1">
      <alignment horizontal="center" readingOrder="0" vertical="center"/>
    </xf>
    <xf borderId="0" fillId="9" fontId="6" numFmtId="0" xfId="0" applyAlignment="1" applyFont="1">
      <alignment horizontal="left" readingOrder="0"/>
    </xf>
    <xf borderId="0" fillId="9" fontId="6" numFmtId="0" xfId="0" applyAlignment="1" applyFont="1">
      <alignment horizontal="left"/>
    </xf>
    <xf borderId="0" fillId="9" fontId="6" numFmtId="0" xfId="0" applyAlignment="1" applyFont="1">
      <alignment horizontal="center" vertical="center"/>
    </xf>
    <xf borderId="0" fillId="9" fontId="6" numFmtId="0" xfId="0" applyAlignment="1" applyFont="1">
      <alignment horizontal="left" vertical="center"/>
    </xf>
    <xf borderId="0" fillId="9" fontId="6" numFmtId="0" xfId="0" applyFont="1"/>
    <xf borderId="0" fillId="9" fontId="6" numFmtId="0" xfId="0" applyAlignment="1" applyFont="1">
      <alignment horizontal="center" readingOrder="0"/>
    </xf>
    <xf borderId="0" fillId="9" fontId="6" numFmtId="0" xfId="0" applyAlignment="1" applyFont="1">
      <alignment readingOrder="0"/>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2055532770"/>
        <c:axId val="336922779"/>
      </c:barChart>
      <c:catAx>
        <c:axId val="20555327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336922779"/>
      </c:catAx>
      <c:valAx>
        <c:axId val="3369227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5532770"/>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lpha.midjourney.com/jobs/22bb3e8d-5c52-4c44-8587-02c99977f143?index=0" TargetMode="External"/><Relationship Id="rId194" Type="http://schemas.openxmlformats.org/officeDocument/2006/relationships/hyperlink" Target="https://alpha.midjourney.com/jobs/89af2c6d-773c-4b37-a02a-c29797ab5507?index=2" TargetMode="External"/><Relationship Id="rId193" Type="http://schemas.openxmlformats.org/officeDocument/2006/relationships/hyperlink" Target="https://alpha.midjourney.com/jobs/c57f1fec-7402-4dfa-a0da-3df1bc5a18a7?index=2" TargetMode="External"/><Relationship Id="rId192" Type="http://schemas.openxmlformats.org/officeDocument/2006/relationships/hyperlink" Target="https://alpha.midjourney.com/jobs/c01595f3-8df5-40fb-ad79-c4ab3f4993bf?index=3" TargetMode="External"/><Relationship Id="rId191" Type="http://schemas.openxmlformats.org/officeDocument/2006/relationships/hyperlink" Target="https://alpha.midjourney.com/jobs/eca24b96-706c-4dc3-98e0-b7e7167890f1?index=1" TargetMode="External"/><Relationship Id="rId187" Type="http://schemas.openxmlformats.org/officeDocument/2006/relationships/hyperlink" Target="https://alpha.midjourney.com/jobs/710d0cf8-ce38-4aa4-b3f2-876f350c95e5?index=1" TargetMode="External"/><Relationship Id="rId186" Type="http://schemas.openxmlformats.org/officeDocument/2006/relationships/hyperlink" Target="https://alpha.midjourney.com/jobs/13f74e45-15bf-4673-a15e-3672c00526da?index=2" TargetMode="External"/><Relationship Id="rId185" Type="http://schemas.openxmlformats.org/officeDocument/2006/relationships/hyperlink" Target="https://alpha.midjourney.com/jobs/b3f1d5b4-d271-4bb7-9615-dec247ec2937?index=0" TargetMode="External"/><Relationship Id="rId184" Type="http://schemas.openxmlformats.org/officeDocument/2006/relationships/hyperlink" Target="https://alpha.midjourney.com/jobs/11cea0b5-15f6-46ea-9c98-85147c5d0c1d?index=2" TargetMode="External"/><Relationship Id="rId189" Type="http://schemas.openxmlformats.org/officeDocument/2006/relationships/hyperlink" Target="https://alpha.midjourney.com/jobs/7ab22aed-daaa-486c-bcb0-51549f984fe3?index=0" TargetMode="External"/><Relationship Id="rId188" Type="http://schemas.openxmlformats.org/officeDocument/2006/relationships/hyperlink" Target="https://alpha.midjourney.com/jobs/670cd204-5704-4f12-9125-5eb354177f5f?index=2" TargetMode="External"/><Relationship Id="rId183" Type="http://schemas.openxmlformats.org/officeDocument/2006/relationships/hyperlink" Target="https://alpha.midjourney.com/jobs/cb83f03b-5441-4ab6-acd4-d6c23cfbf1b0?index=1" TargetMode="External"/><Relationship Id="rId182" Type="http://schemas.openxmlformats.org/officeDocument/2006/relationships/hyperlink" Target="https://alpha.midjourney.com/jobs/cb83f03b-5441-4ab6-acd4-d6c23cfbf1b0?index=3" TargetMode="External"/><Relationship Id="rId181" Type="http://schemas.openxmlformats.org/officeDocument/2006/relationships/hyperlink" Target="https://alpha.midjourney.com/jobs/0c2fcc58-1cd5-4e2c-9953-06ae99527acc?index=3" TargetMode="External"/><Relationship Id="rId180" Type="http://schemas.openxmlformats.org/officeDocument/2006/relationships/hyperlink" Target="https://alpha.midjourney.com/jobs/677914ad-f8cb-4855-b453-f47da8640844?index=0" TargetMode="External"/><Relationship Id="rId176" Type="http://schemas.openxmlformats.org/officeDocument/2006/relationships/hyperlink" Target="https://alpha.midjourney.com/jobs/ef31c8de-f61e-4972-86e9-aa9f1831afd5?index=0" TargetMode="External"/><Relationship Id="rId297" Type="http://schemas.openxmlformats.org/officeDocument/2006/relationships/hyperlink" Target="https://alpha.midjourney.com/jobs/eaad0536-abea-4999-883c-e3e793929cf4?index=3" TargetMode="External"/><Relationship Id="rId175" Type="http://schemas.openxmlformats.org/officeDocument/2006/relationships/hyperlink" Target="https://alpha.midjourney.com/jobs/855d9ad2-60fa-4317-90d5-dde695aa3863?index=2" TargetMode="External"/><Relationship Id="rId296" Type="http://schemas.openxmlformats.org/officeDocument/2006/relationships/hyperlink" Target="https://alpha.midjourney.com/jobs/e30e77bd-955e-4e8e-afe4-eae7161982c4?index=3" TargetMode="External"/><Relationship Id="rId174" Type="http://schemas.openxmlformats.org/officeDocument/2006/relationships/hyperlink" Target="https://alpha.midjourney.com/jobs/f43fb0f9-219d-46ea-84e7-cebd02ca67fd?index=3" TargetMode="External"/><Relationship Id="rId295" Type="http://schemas.openxmlformats.org/officeDocument/2006/relationships/hyperlink" Target="https://alpha.midjourney.com/jobs/0a1168a7-16a3-4022-b822-fd13a508a624?index=0" TargetMode="External"/><Relationship Id="rId173" Type="http://schemas.openxmlformats.org/officeDocument/2006/relationships/hyperlink" Target="https://alpha.midjourney.com/jobs/ca73b5bd-6fc1-4339-9285-ae03c13a5f5d?index=0" TargetMode="External"/><Relationship Id="rId294" Type="http://schemas.openxmlformats.org/officeDocument/2006/relationships/hyperlink" Target="https://alpha.midjourney.com/jobs/e27864a6-cc07-4984-b181-922b584c0d96?index=3" TargetMode="External"/><Relationship Id="rId179" Type="http://schemas.openxmlformats.org/officeDocument/2006/relationships/hyperlink" Target="https://alpha.midjourney.com/jobs/f0a7e593-e8a3-49a4-9357-69927b40e0a8?index=0" TargetMode="External"/><Relationship Id="rId178" Type="http://schemas.openxmlformats.org/officeDocument/2006/relationships/hyperlink" Target="https://alpha.midjourney.com/jobs/f0a7e593-e8a3-49a4-9357-69927b40e0a8?index=1" TargetMode="External"/><Relationship Id="rId299" Type="http://schemas.openxmlformats.org/officeDocument/2006/relationships/hyperlink" Target="https://alpha.midjourney.com/jobs/8c585bc8-5180-439e-8adb-c3a47c0150fe?index=2" TargetMode="External"/><Relationship Id="rId177" Type="http://schemas.openxmlformats.org/officeDocument/2006/relationships/hyperlink" Target="https://alpha.midjourney.com/jobs/8785718a-3cef-4d6b-adf4-3f611a3b965e?index=2" TargetMode="External"/><Relationship Id="rId298" Type="http://schemas.openxmlformats.org/officeDocument/2006/relationships/hyperlink" Target="https://alpha.midjourney.com/jobs/a3874385-0194-4c0f-ba14-08b4d7628a67?index=1" TargetMode="External"/><Relationship Id="rId198" Type="http://schemas.openxmlformats.org/officeDocument/2006/relationships/hyperlink" Target="https://alpha.midjourney.com/jobs/91bb5265-1010-4c14-8a17-c124ec7328be?index=3" TargetMode="External"/><Relationship Id="rId197" Type="http://schemas.openxmlformats.org/officeDocument/2006/relationships/hyperlink" Target="https://alpha.midjourney.com/jobs/15eb18a9-adcc-4ad5-bb1a-b9ca187fa7e5?index=1" TargetMode="External"/><Relationship Id="rId196" Type="http://schemas.openxmlformats.org/officeDocument/2006/relationships/hyperlink" Target="https://alpha.midjourney.com/jobs/c502c751-ced3-4cb3-aa77-ce7cf3c560d4?index=0" TargetMode="External"/><Relationship Id="rId195" Type="http://schemas.openxmlformats.org/officeDocument/2006/relationships/hyperlink" Target="https://alpha.midjourney.com/jobs/ec1fb5cf-b226-482a-9fd2-005d6f927846?index=1" TargetMode="External"/><Relationship Id="rId199" Type="http://schemas.openxmlformats.org/officeDocument/2006/relationships/hyperlink" Target="https://alpha.midjourney.com/jobs/3459e7cd-50f2-4130-be4c-42546280c0e7?index=3" TargetMode="External"/><Relationship Id="rId150" Type="http://schemas.openxmlformats.org/officeDocument/2006/relationships/hyperlink" Target="https://alpha.midjourney.com/jobs/26ae93ba-7660-44de-bc98-ff1f7b0710bb?index=0" TargetMode="External"/><Relationship Id="rId271" Type="http://schemas.openxmlformats.org/officeDocument/2006/relationships/hyperlink" Target="https://alpha.midjourney.com/jobs/792d59ef-82cf-4773-9eb4-65105c9208ec?index=2" TargetMode="External"/><Relationship Id="rId392" Type="http://schemas.openxmlformats.org/officeDocument/2006/relationships/hyperlink" Target="https://alpha.midjourney.com/jobs/cb5ae9cc-bb0c-4b23-93f2-9aba3eead611?index=0" TargetMode="External"/><Relationship Id="rId270" Type="http://schemas.openxmlformats.org/officeDocument/2006/relationships/hyperlink" Target="https://alpha.midjourney.com/jobs/e4901e8f-dc64-4a32-8b4e-4db18f9edb34?index=2" TargetMode="External"/><Relationship Id="rId391" Type="http://schemas.openxmlformats.org/officeDocument/2006/relationships/hyperlink" Target="https://alpha.midjourney.com/jobs/36f45aba-7dd3-4234-a291-4a6bd6317f10?index=0" TargetMode="External"/><Relationship Id="rId390" Type="http://schemas.openxmlformats.org/officeDocument/2006/relationships/hyperlink" Target="https://alpha.midjourney.com/jobs/36f45aba-7dd3-4234-a291-4a6bd6317f10?index=2"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9d3996dd-4cd9-4c61-9f0b-73b38822ab56?index=1"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3583175b-766d-4e6f-b226-cb8e97cd3444?index=2" TargetMode="External"/><Relationship Id="rId269" Type="http://schemas.openxmlformats.org/officeDocument/2006/relationships/hyperlink" Target="https://alpha.midjourney.com/jobs/12dd80f9-bb06-4d38-91d8-e146559471c0?index=0" TargetMode="External"/><Relationship Id="rId9" Type="http://schemas.openxmlformats.org/officeDocument/2006/relationships/hyperlink" Target="https://alpha.midjourney.com/jobs/9b1cd3ba-f0fb-43df-a5df-aa0555f184e0?index=0" TargetMode="External"/><Relationship Id="rId143" Type="http://schemas.openxmlformats.org/officeDocument/2006/relationships/hyperlink" Target="https://alpha.midjourney.com/jobs/1113a14a-e98b-4368-b526-2939a08de537?index=2" TargetMode="External"/><Relationship Id="rId264" Type="http://schemas.openxmlformats.org/officeDocument/2006/relationships/hyperlink" Target="https://alpha.midjourney.com/jobs/914ae491-f842-47a7-972e-d9a4a84c90f6?index=0" TargetMode="External"/><Relationship Id="rId385" Type="http://schemas.openxmlformats.org/officeDocument/2006/relationships/hyperlink" Target="https://alpha.midjourney.com/jobs/b85e9529-2c1c-43be-8887-f8653d2daa3e?index=1" TargetMode="External"/><Relationship Id="rId142" Type="http://schemas.openxmlformats.org/officeDocument/2006/relationships/hyperlink" Target="https://alpha.midjourney.com/jobs/f14bf8bf-3033-40a6-9792-dd0d2005d4a4?index=1" TargetMode="External"/><Relationship Id="rId263" Type="http://schemas.openxmlformats.org/officeDocument/2006/relationships/hyperlink" Target="https://alpha.midjourney.com/jobs/5eca18e5-b521-4e2a-9848-bc98673ae4d2?index=0" TargetMode="External"/><Relationship Id="rId384" Type="http://schemas.openxmlformats.org/officeDocument/2006/relationships/hyperlink" Target="https://alpha.midjourney.com/jobs/64fe4f62-cd24-4b28-8008-3a9184077878?index=1" TargetMode="External"/><Relationship Id="rId141" Type="http://schemas.openxmlformats.org/officeDocument/2006/relationships/hyperlink" Target="https://alpha.midjourney.com/jobs/f14bf8bf-3033-40a6-9792-dd0d2005d4a4?index=0" TargetMode="External"/><Relationship Id="rId262" Type="http://schemas.openxmlformats.org/officeDocument/2006/relationships/hyperlink" Target="https://alpha.midjourney.com/jobs/01e8e033-593c-490d-a32f-a166ab8baa48?index=2" TargetMode="External"/><Relationship Id="rId383" Type="http://schemas.openxmlformats.org/officeDocument/2006/relationships/hyperlink" Target="https://alpha.midjourney.com/jobs/2d36ed03-9eb8-4873-a6b6-490fa41bd145?index=2" TargetMode="External"/><Relationship Id="rId140" Type="http://schemas.openxmlformats.org/officeDocument/2006/relationships/hyperlink" Target="https://alpha.midjourney.com/jobs/f14bf8bf-3033-40a6-9792-dd0d2005d4a4?index=2" TargetMode="External"/><Relationship Id="rId261" Type="http://schemas.openxmlformats.org/officeDocument/2006/relationships/hyperlink" Target="https://alpha.midjourney.com/jobs/ba533218-851c-4bf4-a8d6-1d40dd59d983?index=0" TargetMode="External"/><Relationship Id="rId382" Type="http://schemas.openxmlformats.org/officeDocument/2006/relationships/hyperlink" Target="https://alpha.midjourney.com/jobs/c6262938-a0bb-4c14-a59f-2cd741aebb5d?index=2"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6cad6adc-2697-4145-bdf0-efa0bf788436?index=0" TargetMode="External"/><Relationship Id="rId268" Type="http://schemas.openxmlformats.org/officeDocument/2006/relationships/hyperlink" Target="https://alpha.midjourney.com/jobs/6e8217f3-8ac2-45b0-8dc4-ef5352b479ea?index=2" TargetMode="External"/><Relationship Id="rId389" Type="http://schemas.openxmlformats.org/officeDocument/2006/relationships/hyperlink" Target="https://alpha.midjourney.com/jobs/da05031f-b161-4dbf-82ed-34f56ec60f8b?index=0"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6cad6adc-2697-4145-bdf0-efa0bf788436?index=2" TargetMode="External"/><Relationship Id="rId267" Type="http://schemas.openxmlformats.org/officeDocument/2006/relationships/hyperlink" Target="https://alpha.midjourney.com/jobs/54eedfaf-453e-4a49-bd5b-d4012761a293?index=1" TargetMode="External"/><Relationship Id="rId388" Type="http://schemas.openxmlformats.org/officeDocument/2006/relationships/hyperlink" Target="https://alpha.midjourney.com/jobs/da05031f-b161-4dbf-82ed-34f56ec60f8b?index=3"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30dad8d4-0f43-43a0-b5ad-94bc8b2c85d6?index=2" TargetMode="External"/><Relationship Id="rId266" Type="http://schemas.openxmlformats.org/officeDocument/2006/relationships/hyperlink" Target="https://alpha.midjourney.com/jobs/9b90030e-860f-496a-a734-a45969d1b0dd?index=1" TargetMode="External"/><Relationship Id="rId387" Type="http://schemas.openxmlformats.org/officeDocument/2006/relationships/hyperlink" Target="https://alpha.midjourney.com/jobs/14907b72-ac7b-441a-89c1-206aa74ae3cc?index=3" TargetMode="External"/><Relationship Id="rId8" Type="http://schemas.openxmlformats.org/officeDocument/2006/relationships/hyperlink" Target="https://alpha.midjourney.com/jobs/3644d9f4-a154-4538-96ea-489d6da10cda?index=2" TargetMode="External"/><Relationship Id="rId144" Type="http://schemas.openxmlformats.org/officeDocument/2006/relationships/hyperlink" Target="https://alpha.midjourney.com/jobs/2c70cf34-6786-4493-bc7e-731c0f15efba?index=1" TargetMode="External"/><Relationship Id="rId265" Type="http://schemas.openxmlformats.org/officeDocument/2006/relationships/hyperlink" Target="https://alpha.midjourney.com/jobs/50351124-cb8d-40c5-ba32-ab7ed7975d03?index=3" TargetMode="External"/><Relationship Id="rId386" Type="http://schemas.openxmlformats.org/officeDocument/2006/relationships/hyperlink" Target="https://alpha.midjourney.com/jobs/cbc1003a-54e1-4023-a949-d6248d86958a?index=1" TargetMode="External"/><Relationship Id="rId260" Type="http://schemas.openxmlformats.org/officeDocument/2006/relationships/hyperlink" Target="https://alpha.midjourney.com/jobs/e1671c8d-c48c-402d-addf-9a0fccad1761?index=0" TargetMode="External"/><Relationship Id="rId381" Type="http://schemas.openxmlformats.org/officeDocument/2006/relationships/hyperlink" Target="https://alpha.midjourney.com/jobs/44b8a171-093e-48a9-b7dd-0eb68cf31160?index=0" TargetMode="External"/><Relationship Id="rId380" Type="http://schemas.openxmlformats.org/officeDocument/2006/relationships/hyperlink" Target="https://alpha.midjourney.com/jobs/993d4901-e479-4c23-8e37-374cc886632f?index=0" TargetMode="External"/><Relationship Id="rId139" Type="http://schemas.openxmlformats.org/officeDocument/2006/relationships/hyperlink" Target="https://alpha.midjourney.com/jobs/f309aeec-173a-46f1-b16b-f5f15141815a?index=2" TargetMode="External"/><Relationship Id="rId138" Type="http://schemas.openxmlformats.org/officeDocument/2006/relationships/hyperlink" Target="https://alpha.midjourney.com/jobs/f309aeec-173a-46f1-b16b-f5f15141815a?index=0" TargetMode="External"/><Relationship Id="rId259" Type="http://schemas.openxmlformats.org/officeDocument/2006/relationships/hyperlink" Target="https://alpha.midjourney.com/jobs/750ed738-29ba-42b6-8f6f-d878ddac70d4?index=1" TargetMode="External"/><Relationship Id="rId137" Type="http://schemas.openxmlformats.org/officeDocument/2006/relationships/hyperlink" Target="https://alpha.midjourney.com/jobs/fdd4f64e-d836-4c8f-9358-77cc88394b13?index=1" TargetMode="External"/><Relationship Id="rId258" Type="http://schemas.openxmlformats.org/officeDocument/2006/relationships/hyperlink" Target="https://alpha.midjourney.com/jobs/5e110d2e-a7e4-436b-bb11-4fb86e1580e9?index=2" TargetMode="External"/><Relationship Id="rId379" Type="http://schemas.openxmlformats.org/officeDocument/2006/relationships/hyperlink" Target="https://alpha.midjourney.com/jobs/dce6223e-4d4d-4a94-b8ed-94d249a1b876?index=2" TargetMode="External"/><Relationship Id="rId132" Type="http://schemas.openxmlformats.org/officeDocument/2006/relationships/hyperlink" Target="https://alpha.midjourney.com/jobs/1368b59f-6a3a-4f37-b704-dc0023c5a39b?index=0" TargetMode="External"/><Relationship Id="rId253" Type="http://schemas.openxmlformats.org/officeDocument/2006/relationships/hyperlink" Target="https://alpha.midjourney.com/jobs/02a937b0-dc30-4b61-a80a-775950a47d1e?index=0" TargetMode="External"/><Relationship Id="rId374" Type="http://schemas.openxmlformats.org/officeDocument/2006/relationships/hyperlink" Target="https://alpha.midjourney.com/jobs/c0cf7df8-c1a5-454a-bfd0-19b8243d58cc?index=1" TargetMode="External"/><Relationship Id="rId131" Type="http://schemas.openxmlformats.org/officeDocument/2006/relationships/hyperlink" Target="https://alpha.midjourney.com/jobs/a4c0044f-a986-4aa9-87bf-000b67966a4b?index=0" TargetMode="External"/><Relationship Id="rId252" Type="http://schemas.openxmlformats.org/officeDocument/2006/relationships/hyperlink" Target="https://alpha.midjourney.com/jobs/68e2c61d-f9ac-435e-8eb9-44ef82724758?index=1" TargetMode="External"/><Relationship Id="rId373" Type="http://schemas.openxmlformats.org/officeDocument/2006/relationships/hyperlink" Target="https://alpha.midjourney.com/jobs/01a4f043-f235-41b9-8d46-7b35d6f18030?index=2" TargetMode="External"/><Relationship Id="rId130" Type="http://schemas.openxmlformats.org/officeDocument/2006/relationships/hyperlink" Target="https://alpha.midjourney.com/jobs/7a2e29fb-bd98-4d30-88b2-8bfee70c4a47?index=0" TargetMode="External"/><Relationship Id="rId251" Type="http://schemas.openxmlformats.org/officeDocument/2006/relationships/hyperlink" Target="https://alpha.midjourney.com/jobs/86e09484-75c2-4d9e-b33e-31faa3d4e251?index=2" TargetMode="External"/><Relationship Id="rId372" Type="http://schemas.openxmlformats.org/officeDocument/2006/relationships/hyperlink" Target="https://alpha.midjourney.com/jobs/aad8229e-1d42-48dd-8179-36ff489b78e3?index=2" TargetMode="External"/><Relationship Id="rId250" Type="http://schemas.openxmlformats.org/officeDocument/2006/relationships/hyperlink" Target="https://alpha.midjourney.com/jobs/31869c2e-79e0-44a2-bcb2-ef2489f226ad?index=3" TargetMode="External"/><Relationship Id="rId371" Type="http://schemas.openxmlformats.org/officeDocument/2006/relationships/hyperlink" Target="https://alpha.midjourney.com/jobs/1147f4d1-0ebc-4af6-a726-d02c68d60b73?index=2" TargetMode="External"/><Relationship Id="rId136" Type="http://schemas.openxmlformats.org/officeDocument/2006/relationships/hyperlink" Target="https://alpha.midjourney.com/jobs/ccfe11ca-d68d-42dd-b1cd-d5aa6d3c9b8b?index=0" TargetMode="External"/><Relationship Id="rId257" Type="http://schemas.openxmlformats.org/officeDocument/2006/relationships/hyperlink" Target="https://alpha.midjourney.com/jobs/5e110d2e-a7e4-436b-bb11-4fb86e1580e9?index=3" TargetMode="External"/><Relationship Id="rId378" Type="http://schemas.openxmlformats.org/officeDocument/2006/relationships/hyperlink" Target="https://alpha.midjourney.com/jobs/ce917096-e668-418b-8741-693ddbec1b5e?index=3" TargetMode="External"/><Relationship Id="rId135" Type="http://schemas.openxmlformats.org/officeDocument/2006/relationships/hyperlink" Target="https://alpha.midjourney.com/jobs/ccfe11ca-d68d-42dd-b1cd-d5aa6d3c9b8b?index=2" TargetMode="External"/><Relationship Id="rId256" Type="http://schemas.openxmlformats.org/officeDocument/2006/relationships/hyperlink" Target="https://alpha.midjourney.com/jobs/0e687280-8a8e-4bab-ba7e-71eecfd6f625?index=2" TargetMode="External"/><Relationship Id="rId377" Type="http://schemas.openxmlformats.org/officeDocument/2006/relationships/hyperlink" Target="https://alpha.midjourney.com/jobs/16b422f4-9fd2-4bb1-9674-585e0409a383?index=3" TargetMode="External"/><Relationship Id="rId134" Type="http://schemas.openxmlformats.org/officeDocument/2006/relationships/hyperlink" Target="https://alpha.midjourney.com/jobs/3e4015d3-c57e-4d12-9ddb-df5fcfb9d19d?index=0" TargetMode="External"/><Relationship Id="rId255" Type="http://schemas.openxmlformats.org/officeDocument/2006/relationships/hyperlink" Target="https://alpha.midjourney.com/jobs/a02f660a-1dce-436f-acb5-465e63f5bbc5?index=1" TargetMode="External"/><Relationship Id="rId376" Type="http://schemas.openxmlformats.org/officeDocument/2006/relationships/hyperlink" Target="https://alpha.midjourney.com/jobs/4623ba22-8900-4ec0-baf7-811a3eacf3be?index=1" TargetMode="External"/><Relationship Id="rId133" Type="http://schemas.openxmlformats.org/officeDocument/2006/relationships/hyperlink" Target="https://alpha.midjourney.com/jobs/1368b59f-6a3a-4f37-b704-dc0023c5a39b?index=3" TargetMode="External"/><Relationship Id="rId254" Type="http://schemas.openxmlformats.org/officeDocument/2006/relationships/hyperlink" Target="https://alpha.midjourney.com/jobs/f8926069-73ab-4045-b918-9cb77758a03b?index=3" TargetMode="External"/><Relationship Id="rId375" Type="http://schemas.openxmlformats.org/officeDocument/2006/relationships/hyperlink" Target="https://alpha.midjourney.com/jobs/16ae4b70-d224-42db-b6b6-ecf2124ed295?index=0" TargetMode="External"/><Relationship Id="rId172" Type="http://schemas.openxmlformats.org/officeDocument/2006/relationships/hyperlink" Target="https://alpha.midjourney.com/jobs/cea0e01e-1930-45b5-b5c8-3ad52ddb3142?index=3" TargetMode="External"/><Relationship Id="rId293" Type="http://schemas.openxmlformats.org/officeDocument/2006/relationships/hyperlink" Target="https://alpha.midjourney.com/jobs/c0bbf41e-da40-447a-8817-ba761c755907?index=1" TargetMode="External"/><Relationship Id="rId171" Type="http://schemas.openxmlformats.org/officeDocument/2006/relationships/hyperlink" Target="https://alpha.midjourney.com/jobs/f4b87c3a-3e3c-48fa-b94a-c0514613a2cd?index=3" TargetMode="External"/><Relationship Id="rId292" Type="http://schemas.openxmlformats.org/officeDocument/2006/relationships/hyperlink" Target="https://alpha.midjourney.com/jobs/47e93cbb-0e71-491a-a49b-5685172b96b1?index=2" TargetMode="External"/><Relationship Id="rId170" Type="http://schemas.openxmlformats.org/officeDocument/2006/relationships/hyperlink" Target="https://alpha.midjourney.com/jobs/a3b699ae-45ef-4e90-9cb6-6448c1dd6ef3?index=2" TargetMode="External"/><Relationship Id="rId291" Type="http://schemas.openxmlformats.org/officeDocument/2006/relationships/hyperlink" Target="https://alpha.midjourney.com/jobs/8ccfe4e3-0dd5-4f9c-be98-1629ec29694f?index=2" TargetMode="External"/><Relationship Id="rId290" Type="http://schemas.openxmlformats.org/officeDocument/2006/relationships/hyperlink" Target="https://alpha.midjourney.com/jobs/8ccfe4e3-0dd5-4f9c-be98-1629ec29694f?index=0" TargetMode="External"/><Relationship Id="rId165" Type="http://schemas.openxmlformats.org/officeDocument/2006/relationships/hyperlink" Target="https://alpha.midjourney.com/jobs/8b1af36f-4004-4f76-8321-39eadf6994de?index=1" TargetMode="External"/><Relationship Id="rId286" Type="http://schemas.openxmlformats.org/officeDocument/2006/relationships/hyperlink" Target="https://alpha.midjourney.com/jobs/712bc1b1-a311-4c9e-8fd3-9084faf62db5?index=1" TargetMode="External"/><Relationship Id="rId164" Type="http://schemas.openxmlformats.org/officeDocument/2006/relationships/hyperlink" Target="https://alpha.midjourney.com/jobs/c0768680-bd4c-4545-846f-002afd6a854b?index=0" TargetMode="External"/><Relationship Id="rId285" Type="http://schemas.openxmlformats.org/officeDocument/2006/relationships/hyperlink" Target="https://alpha.midjourney.com/jobs/edce3cff-dccc-4dd6-927a-c86b99379750?index=1" TargetMode="External"/><Relationship Id="rId163" Type="http://schemas.openxmlformats.org/officeDocument/2006/relationships/hyperlink" Target="https://alpha.midjourney.com/jobs/3ffc8199-7676-44a0-b357-0e6a826b2531?index=1" TargetMode="External"/><Relationship Id="rId284" Type="http://schemas.openxmlformats.org/officeDocument/2006/relationships/hyperlink" Target="https://alpha.midjourney.com/jobs/4a4fcd20-cf99-4f08-98be-e4a9a21447fd?index=2" TargetMode="External"/><Relationship Id="rId162" Type="http://schemas.openxmlformats.org/officeDocument/2006/relationships/hyperlink" Target="https://alpha.midjourney.com/jobs/f4364281-c341-4325-823b-cc159f62e3fa?index=1" TargetMode="External"/><Relationship Id="rId283" Type="http://schemas.openxmlformats.org/officeDocument/2006/relationships/hyperlink" Target="https://alpha.midjourney.com/jobs/9d22a6ef-3cfd-4390-83a1-bcb607bfc60e?index=2" TargetMode="External"/><Relationship Id="rId169" Type="http://schemas.openxmlformats.org/officeDocument/2006/relationships/hyperlink" Target="https://alpha.midjourney.com/jobs/a3b699ae-45ef-4e90-9cb6-6448c1dd6ef3?index=3" TargetMode="External"/><Relationship Id="rId168" Type="http://schemas.openxmlformats.org/officeDocument/2006/relationships/hyperlink" Target="https://alpha.midjourney.com/jobs/fef152fe-a54f-4993-8c0b-bdc6b255ff50?index=1" TargetMode="External"/><Relationship Id="rId289" Type="http://schemas.openxmlformats.org/officeDocument/2006/relationships/hyperlink" Target="https://alpha.midjourney.com/jobs/4675fbf5-6bfc-4c8a-9092-aaf4e3643f28?index=2" TargetMode="External"/><Relationship Id="rId167" Type="http://schemas.openxmlformats.org/officeDocument/2006/relationships/hyperlink" Target="https://alpha.midjourney.com/jobs/04b6c714-4150-4b67-bc7b-3b77d214c80e?index=1" TargetMode="External"/><Relationship Id="rId288" Type="http://schemas.openxmlformats.org/officeDocument/2006/relationships/hyperlink" Target="https://alpha.midjourney.com/jobs/0ac155c4-dccd-49ea-a6ba-b70dd8d8e9a3?index=2" TargetMode="External"/><Relationship Id="rId166" Type="http://schemas.openxmlformats.org/officeDocument/2006/relationships/hyperlink" Target="https://alpha.midjourney.com/jobs/6b2dd4db-47bc-4351-b9cb-56165501015d?index=0" TargetMode="External"/><Relationship Id="rId287" Type="http://schemas.openxmlformats.org/officeDocument/2006/relationships/hyperlink" Target="https://alpha.midjourney.com/jobs/712bc1b1-a311-4c9e-8fd3-9084faf62db5?index=2" TargetMode="External"/><Relationship Id="rId161" Type="http://schemas.openxmlformats.org/officeDocument/2006/relationships/hyperlink" Target="https://alpha.midjourney.com/jobs/f4364281-c341-4325-823b-cc159f62e3fa?index=3" TargetMode="External"/><Relationship Id="rId282" Type="http://schemas.openxmlformats.org/officeDocument/2006/relationships/hyperlink" Target="https://alpha.midjourney.com/jobs/9d22a6ef-3cfd-4390-83a1-bcb607bfc60e?index=0" TargetMode="External"/><Relationship Id="rId160" Type="http://schemas.openxmlformats.org/officeDocument/2006/relationships/hyperlink" Target="https://alpha.midjourney.com/jobs/736a8fe4-c031-4266-a180-8d5fa8d7a20c?index=3" TargetMode="External"/><Relationship Id="rId281" Type="http://schemas.openxmlformats.org/officeDocument/2006/relationships/hyperlink" Target="https://alpha.midjourney.com/jobs/bb66d639-f343-4845-af2a-5eb193006647?index=0" TargetMode="External"/><Relationship Id="rId280" Type="http://schemas.openxmlformats.org/officeDocument/2006/relationships/hyperlink" Target="https://alpha.midjourney.com/jobs/aa3828cc-da5b-44fd-a991-7dfa8d358eca?index=1" TargetMode="External"/><Relationship Id="rId159" Type="http://schemas.openxmlformats.org/officeDocument/2006/relationships/hyperlink" Target="https://alpha.midjourney.com/jobs/97987280-b216-408a-9bcb-dd348cfcb803?index=1" TargetMode="External"/><Relationship Id="rId154" Type="http://schemas.openxmlformats.org/officeDocument/2006/relationships/hyperlink" Target="https://alpha.midjourney.com/jobs/93fb8cdb-1f21-49e7-be26-dc8ba099f499?index=3" TargetMode="External"/><Relationship Id="rId275" Type="http://schemas.openxmlformats.org/officeDocument/2006/relationships/hyperlink" Target="https://alpha.midjourney.com/jobs/841174db-5c68-41e8-819a-09fa028c5943?index=0" TargetMode="External"/><Relationship Id="rId396" Type="http://schemas.openxmlformats.org/officeDocument/2006/relationships/hyperlink" Target="https://alpha.midjourney.com/jobs/21d93227-da2e-4a58-8af8-8d84f202d465?index=1" TargetMode="External"/><Relationship Id="rId153" Type="http://schemas.openxmlformats.org/officeDocument/2006/relationships/hyperlink" Target="https://alpha.midjourney.com/jobs/f552819f-bae0-4fdc-aec9-3c948fadca96?index=0" TargetMode="External"/><Relationship Id="rId274" Type="http://schemas.openxmlformats.org/officeDocument/2006/relationships/hyperlink" Target="https://alpha.midjourney.com/jobs/841174db-5c68-41e8-819a-09fa028c5943?index=3" TargetMode="External"/><Relationship Id="rId395" Type="http://schemas.openxmlformats.org/officeDocument/2006/relationships/hyperlink" Target="https://alpha.midjourney.com/jobs/66f83bd6-353d-4924-b469-c22fdaf65162?index=2" TargetMode="External"/><Relationship Id="rId152" Type="http://schemas.openxmlformats.org/officeDocument/2006/relationships/hyperlink" Target="https://alpha.midjourney.com/jobs/dc135f3d-8b66-4450-857e-ed4b64a3e949?index=1" TargetMode="External"/><Relationship Id="rId273" Type="http://schemas.openxmlformats.org/officeDocument/2006/relationships/hyperlink" Target="https://alpha.midjourney.com/jobs/8f47bfa6-8da8-478d-aba1-dff1a5520f1c?index=0" TargetMode="External"/><Relationship Id="rId394" Type="http://schemas.openxmlformats.org/officeDocument/2006/relationships/hyperlink" Target="https://alpha.midjourney.com/jobs/89be5e2a-6702-40e7-bb2c-87dce748f051?index=0" TargetMode="External"/><Relationship Id="rId151" Type="http://schemas.openxmlformats.org/officeDocument/2006/relationships/hyperlink" Target="https://alpha.midjourney.com/jobs/add90753-1409-4816-a77b-7200b76c544f?index=3" TargetMode="External"/><Relationship Id="rId272" Type="http://schemas.openxmlformats.org/officeDocument/2006/relationships/hyperlink" Target="https://alpha.midjourney.com/jobs/61d71d29-7f19-4719-9f9d-b595a90e7eac?index=3" TargetMode="External"/><Relationship Id="rId393" Type="http://schemas.openxmlformats.org/officeDocument/2006/relationships/hyperlink" Target="https://alpha.midjourney.com/jobs/5346acfb-9c48-4258-a97e-45266d64b6d2?index=3" TargetMode="External"/><Relationship Id="rId158" Type="http://schemas.openxmlformats.org/officeDocument/2006/relationships/hyperlink" Target="https://alpha.midjourney.com/jobs/258f8be4-8fc8-47e9-9423-4d7e9f7e209b?index=0" TargetMode="External"/><Relationship Id="rId279" Type="http://schemas.openxmlformats.org/officeDocument/2006/relationships/hyperlink" Target="https://alpha.midjourney.com/jobs/b5789562-2e2e-4ceb-8443-0ae424a3c7dd?index=3" TargetMode="External"/><Relationship Id="rId157" Type="http://schemas.openxmlformats.org/officeDocument/2006/relationships/hyperlink" Target="https://alpha.midjourney.com/jobs/cb44e85d-870b-4bc6-8948-450c772daf5c?index=0" TargetMode="External"/><Relationship Id="rId278" Type="http://schemas.openxmlformats.org/officeDocument/2006/relationships/hyperlink" Target="https://alpha.midjourney.com/jobs/87f09264-db69-471c-a5b1-db98d924778f?index=3" TargetMode="External"/><Relationship Id="rId399" Type="http://schemas.openxmlformats.org/officeDocument/2006/relationships/hyperlink" Target="https://alpha.midjourney.com/jobs/2148c090-768e-48c9-837a-fed7af76f1c3?index=1" TargetMode="External"/><Relationship Id="rId156" Type="http://schemas.openxmlformats.org/officeDocument/2006/relationships/hyperlink" Target="https://alpha.midjourney.com/jobs/23732ab2-74d0-4739-baaf-5e6c23e8873a?index=0" TargetMode="External"/><Relationship Id="rId277" Type="http://schemas.openxmlformats.org/officeDocument/2006/relationships/hyperlink" Target="https://alpha.midjourney.com/jobs/87f09264-db69-471c-a5b1-db98d924778f?index=0" TargetMode="External"/><Relationship Id="rId398" Type="http://schemas.openxmlformats.org/officeDocument/2006/relationships/hyperlink" Target="https://alpha.midjourney.com/jobs/57f88d60-31a2-4dbc-a2ac-7dd5f12faad2?index=1" TargetMode="External"/><Relationship Id="rId155" Type="http://schemas.openxmlformats.org/officeDocument/2006/relationships/hyperlink" Target="https://alpha.midjourney.com/jobs/f04b4fbf-83ad-4f50-9c3a-68843e69ef11?index=2" TargetMode="External"/><Relationship Id="rId276" Type="http://schemas.openxmlformats.org/officeDocument/2006/relationships/hyperlink" Target="https://alpha.midjourney.com/jobs/53760255-c6fe-4c4c-ac76-95aa017993f9?index=1" TargetMode="External"/><Relationship Id="rId397" Type="http://schemas.openxmlformats.org/officeDocument/2006/relationships/hyperlink" Target="https://alpha.midjourney.com/jobs/de56e6d6-8aad-4bd2-87f9-f0c5f1ec9d8d?index=0" TargetMode="External"/><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ae7c802d-5bb3-4e5c-935f-0989f835981b?index=3" TargetMode="External"/><Relationship Id="rId41" Type="http://schemas.openxmlformats.org/officeDocument/2006/relationships/hyperlink" Target="https://alpha.midjourney.com/jobs/eb74e363-ce23-4333-bf1a-9e45b5410528?index=3" TargetMode="External"/><Relationship Id="rId44" Type="http://schemas.openxmlformats.org/officeDocument/2006/relationships/hyperlink" Target="https://alpha.midjourney.com/jobs/65856a62-0cc5-4789-aeaa-4499b714d3e5?index=0" TargetMode="External"/><Relationship Id="rId43" Type="http://schemas.openxmlformats.org/officeDocument/2006/relationships/hyperlink" Target="https://alpha.midjourney.com/jobs/d2520d33-6384-48e1-a0ac-2b40bcba9c67?index=2" TargetMode="External"/><Relationship Id="rId46" Type="http://schemas.openxmlformats.org/officeDocument/2006/relationships/hyperlink" Target="https://alpha.midjourney.com/jobs/f0b193a4-3e5e-45a0-b6e9-a1b7fcfb4f49?index=2" TargetMode="External"/><Relationship Id="rId45" Type="http://schemas.openxmlformats.org/officeDocument/2006/relationships/hyperlink" Target="https://alpha.midjourney.com/jobs/9062fc96-38af-4b94-bb8b-58724ee3e784?index=3" TargetMode="External"/><Relationship Id="rId48" Type="http://schemas.openxmlformats.org/officeDocument/2006/relationships/hyperlink" Target="https://alpha.midjourney.com/jobs/bce13b19-a5b7-4895-991c-a343e7295bea?index=2" TargetMode="External"/><Relationship Id="rId47" Type="http://schemas.openxmlformats.org/officeDocument/2006/relationships/hyperlink" Target="https://alpha.midjourney.com/jobs/2593ed6f-b67a-4e7f-a8f9-a36157ed8f86?index=1" TargetMode="External"/><Relationship Id="rId49" Type="http://schemas.openxmlformats.org/officeDocument/2006/relationships/hyperlink" Target="https://alpha.midjourney.com/jobs/0852a4f6-c4cd-4d01-a719-8673b0ba2f74?index=1" TargetMode="External"/><Relationship Id="rId31" Type="http://schemas.openxmlformats.org/officeDocument/2006/relationships/hyperlink" Target="https://alpha.midjourney.com/jobs/ed7547f6-59f6-4674-8e51-448f70e1a062?index=1" TargetMode="External"/><Relationship Id="rId30" Type="http://schemas.openxmlformats.org/officeDocument/2006/relationships/hyperlink" Target="https://alpha.midjourney.com/jobs/e58d0ede-21d0-4b9c-87b3-4745b329f97d?index=0" TargetMode="External"/><Relationship Id="rId33" Type="http://schemas.openxmlformats.org/officeDocument/2006/relationships/hyperlink" Target="https://alpha.midjourney.com/jobs/0867635b-b993-4e89-adc9-840fac5e98ae?index=2" TargetMode="External"/><Relationship Id="rId32" Type="http://schemas.openxmlformats.org/officeDocument/2006/relationships/hyperlink" Target="https://alpha.midjourney.com/jobs/557ea44c-dc30-4519-93c0-96caf2f97815?index=3" TargetMode="External"/><Relationship Id="rId35" Type="http://schemas.openxmlformats.org/officeDocument/2006/relationships/hyperlink" Target="https://alpha.midjourney.com/jobs/496903ec-9e29-4e96-baed-fbc1c72e67a2?index=3" TargetMode="External"/><Relationship Id="rId34" Type="http://schemas.openxmlformats.org/officeDocument/2006/relationships/hyperlink" Target="https://alpha.midjourney.com/jobs/f92d2267-2cb6-459f-b8f4-07c280426a32?index=2" TargetMode="External"/><Relationship Id="rId37" Type="http://schemas.openxmlformats.org/officeDocument/2006/relationships/hyperlink" Target="https://alpha.midjourney.com/jobs/fe304cba-fe68-4bea-a089-694d2e71a394?index=2" TargetMode="External"/><Relationship Id="rId36" Type="http://schemas.openxmlformats.org/officeDocument/2006/relationships/hyperlink" Target="https://alpha.midjourney.com/jobs/4efd2e1b-a113-49a0-8b09-a71768bc7f0a?index=1" TargetMode="External"/><Relationship Id="rId39" Type="http://schemas.openxmlformats.org/officeDocument/2006/relationships/hyperlink" Target="https://alpha.midjourney.com/jobs/96dd861b-6cf4-403c-b701-35339b8bf72c?index=0" TargetMode="External"/><Relationship Id="rId38" Type="http://schemas.openxmlformats.org/officeDocument/2006/relationships/hyperlink" Target="https://alpha.midjourney.com/jobs/4b963210-17ec-4cc9-9a83-f38a7692af0e?index=3" TargetMode="External"/><Relationship Id="rId20" Type="http://schemas.openxmlformats.org/officeDocument/2006/relationships/hyperlink" Target="https://alpha.midjourney.com/jobs/2fb88f6b-7b37-40f3-9ddf-e46da64b9024?index=2" TargetMode="External"/><Relationship Id="rId22" Type="http://schemas.openxmlformats.org/officeDocument/2006/relationships/hyperlink" Target="https://alpha.midjourney.com/jobs/9ccceaff-97a6-4625-9bea-6567b85c04ef?index=0" TargetMode="External"/><Relationship Id="rId21" Type="http://schemas.openxmlformats.org/officeDocument/2006/relationships/hyperlink" Target="https://alpha.midjourney.com/jobs/10569df3-af61-474e-9997-08b1211eac4b?index=3" TargetMode="External"/><Relationship Id="rId24" Type="http://schemas.openxmlformats.org/officeDocument/2006/relationships/hyperlink" Target="https://alpha.midjourney.com/jobs/16fb7678-58aa-43f4-976c-6411d373341c?index=1" TargetMode="External"/><Relationship Id="rId23" Type="http://schemas.openxmlformats.org/officeDocument/2006/relationships/hyperlink" Target="https://alpha.midjourney.com/jobs/0cf0be47-c57f-4feb-84e6-1790219ba54b?index=0" TargetMode="External"/><Relationship Id="rId409" Type="http://schemas.openxmlformats.org/officeDocument/2006/relationships/hyperlink" Target="https://alpha.midjourney.com/jobs/3f1e36e7-8385-4701-8ad1-a8a145d654d4?index=2" TargetMode="External"/><Relationship Id="rId404" Type="http://schemas.openxmlformats.org/officeDocument/2006/relationships/hyperlink" Target="https://alpha.midjourney.com/jobs/d0513e19-1ac0-4d65-b7d1-c084eaa39eb1?index=1" TargetMode="External"/><Relationship Id="rId403" Type="http://schemas.openxmlformats.org/officeDocument/2006/relationships/hyperlink" Target="https://alpha.midjourney.com/jobs/1611e437-755b-410f-b205-ccef721ff7ae?index=2" TargetMode="External"/><Relationship Id="rId402" Type="http://schemas.openxmlformats.org/officeDocument/2006/relationships/hyperlink" Target="https://alpha.midjourney.com/jobs/1611e437-755b-410f-b205-ccef721ff7ae?index=1" TargetMode="External"/><Relationship Id="rId401" Type="http://schemas.openxmlformats.org/officeDocument/2006/relationships/hyperlink" Target="https://alpha.midjourney.com/jobs/9837fc27-5358-46a5-b2d5-4b2eccd5199c?index=0" TargetMode="External"/><Relationship Id="rId408" Type="http://schemas.openxmlformats.org/officeDocument/2006/relationships/hyperlink" Target="https://alpha.midjourney.com/jobs/b305aa77-1f10-402e-b176-99e909abfb9d?index=3" TargetMode="External"/><Relationship Id="rId407" Type="http://schemas.openxmlformats.org/officeDocument/2006/relationships/hyperlink" Target="https://alpha.midjourney.com/jobs/651c5e10-daa8-4734-8d9e-45e6e71afe5e?index=3" TargetMode="External"/><Relationship Id="rId406" Type="http://schemas.openxmlformats.org/officeDocument/2006/relationships/hyperlink" Target="https://alpha.midjourney.com/jobs/0e38f1ce-471e-455b-890a-7a46d67a8c3c?index=3" TargetMode="External"/><Relationship Id="rId405" Type="http://schemas.openxmlformats.org/officeDocument/2006/relationships/hyperlink" Target="https://alpha.midjourney.com/jobs/cb5a0d7d-cfdf-4743-8f88-5b4c20641ec8?index=0" TargetMode="External"/><Relationship Id="rId26" Type="http://schemas.openxmlformats.org/officeDocument/2006/relationships/hyperlink" Target="https://alpha.midjourney.com/jobs/3321903a-a303-44ee-8b5d-3487bd693fa9?index=3" TargetMode="External"/><Relationship Id="rId25" Type="http://schemas.openxmlformats.org/officeDocument/2006/relationships/hyperlink" Target="https://alpha.midjourney.com/jobs/4e1424fd-a4dd-430d-b5db-da68488eb78a?index=0" TargetMode="External"/><Relationship Id="rId28" Type="http://schemas.openxmlformats.org/officeDocument/2006/relationships/hyperlink" Target="https://alpha.midjourney.com/jobs/2892cac4-ecfc-4b4f-a4e9-1eb61a4971a8?index=3" TargetMode="External"/><Relationship Id="rId27" Type="http://schemas.openxmlformats.org/officeDocument/2006/relationships/hyperlink" Target="https://alpha.midjourney.com/jobs/a6b9796b-edf3-4af3-9ed5-c8182508947e?index=1" TargetMode="External"/><Relationship Id="rId400" Type="http://schemas.openxmlformats.org/officeDocument/2006/relationships/hyperlink" Target="https://alpha.midjourney.com/jobs/59597b80-8b3f-4d4b-806c-dcf5365bda0f?index=2" TargetMode="External"/><Relationship Id="rId29" Type="http://schemas.openxmlformats.org/officeDocument/2006/relationships/hyperlink" Target="https://alpha.midjourney.com/jobs/1352ae1c-e93b-4eeb-9c2b-8d45efc47f38?index=0" TargetMode="External"/><Relationship Id="rId11" Type="http://schemas.openxmlformats.org/officeDocument/2006/relationships/hyperlink" Target="https://alpha.midjourney.com/jobs/7e6524d5-fc47-4a64-ac87-5ec5a5ddad4c?index=3" TargetMode="External"/><Relationship Id="rId10" Type="http://schemas.openxmlformats.org/officeDocument/2006/relationships/hyperlink" Target="https://alpha.midjourney.com/jobs/7e6524d5-fc47-4a64-ac87-5ec5a5ddad4c?index=1"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15" Type="http://schemas.openxmlformats.org/officeDocument/2006/relationships/hyperlink" Target="https://alpha.midjourney.com/jobs/1ae58892-c0c7-4cd2-b4f2-61e436a76acb?index=0" TargetMode="External"/><Relationship Id="rId14" Type="http://schemas.openxmlformats.org/officeDocument/2006/relationships/hyperlink" Target="https://alpha.midjourney.com/jobs/bd138556-f391-44ec-ab68-5aa4b5a9f606?index=1" TargetMode="External"/><Relationship Id="rId17" Type="http://schemas.openxmlformats.org/officeDocument/2006/relationships/hyperlink" Target="https://alpha.midjourney.com/jobs/7b73514c-612c-4f7a-b7b0-8d03ff687646?index=1" TargetMode="External"/><Relationship Id="rId16" Type="http://schemas.openxmlformats.org/officeDocument/2006/relationships/hyperlink" Target="https://alpha.midjourney.com/jobs/13499ec2-9a5a-4595-9ccd-fbcfe0fffeaf?index=0" TargetMode="External"/><Relationship Id="rId19" Type="http://schemas.openxmlformats.org/officeDocument/2006/relationships/hyperlink" Target="https://alpha.midjourney.com/jobs/fb9ad282-f768-4726-b79b-f40c11d0277b?index=3" TargetMode="External"/><Relationship Id="rId18" Type="http://schemas.openxmlformats.org/officeDocument/2006/relationships/hyperlink" Target="https://alpha.midjourney.com/jobs/13533eea-4c56-4787-a8d1-5b5de4d2fe40?index=0" TargetMode="External"/><Relationship Id="rId84" Type="http://schemas.openxmlformats.org/officeDocument/2006/relationships/hyperlink" Target="https://alpha.midjourney.com/jobs/05e7dc87-7c7f-400d-b1d6-3bce616d0bfb?index=0" TargetMode="External"/><Relationship Id="rId83" Type="http://schemas.openxmlformats.org/officeDocument/2006/relationships/hyperlink" Target="https://alpha.midjourney.com/jobs/a530c54d-e253-4627-adf2-00999c92b877?index=1" TargetMode="External"/><Relationship Id="rId86" Type="http://schemas.openxmlformats.org/officeDocument/2006/relationships/hyperlink" Target="https://alpha.midjourney.com/jobs/e7a204c6-76d5-4cd7-9a02-e06393503315?index=2" TargetMode="External"/><Relationship Id="rId85" Type="http://schemas.openxmlformats.org/officeDocument/2006/relationships/hyperlink" Target="https://alpha.midjourney.com/jobs/a0c2bdad-9975-4339-8646-d109edd1ea08?index=0" TargetMode="External"/><Relationship Id="rId88" Type="http://schemas.openxmlformats.org/officeDocument/2006/relationships/hyperlink" Target="https://alpha.midjourney.com/jobs/e7a204c6-76d5-4cd7-9a02-e06393503315?index=0" TargetMode="External"/><Relationship Id="rId87" Type="http://schemas.openxmlformats.org/officeDocument/2006/relationships/hyperlink" Target="https://alpha.midjourney.com/jobs/36d433e2-f591-4ea5-b62a-5cb266b18ca8?index=3" TargetMode="External"/><Relationship Id="rId89" Type="http://schemas.openxmlformats.org/officeDocument/2006/relationships/hyperlink" Target="https://alpha.midjourney.com/jobs/05e7dc87-7c7f-400d-b1d6-3bce616d0bfb?index=2" TargetMode="External"/><Relationship Id="rId80" Type="http://schemas.openxmlformats.org/officeDocument/2006/relationships/hyperlink" Target="https://alpha.midjourney.com/jobs/bdfca501-4b58-4f97-83e7-bcf89c7e7f5e?index=0" TargetMode="External"/><Relationship Id="rId82" Type="http://schemas.openxmlformats.org/officeDocument/2006/relationships/hyperlink" Target="https://alpha.midjourney.com/jobs/e6e0a2be-8317-493d-9a2a-cb227f34a270?index=0" TargetMode="External"/><Relationship Id="rId81" Type="http://schemas.openxmlformats.org/officeDocument/2006/relationships/hyperlink" Target="https://alpha.midjourney.com/jobs/5af4932e-1176-4e5d-a15a-6e1142f73928?index=2" TargetMode="External"/><Relationship Id="rId73" Type="http://schemas.openxmlformats.org/officeDocument/2006/relationships/hyperlink" Target="https://alpha.midjourney.com/jobs/ab137782-70f1-4ba3-840a-49cf4fda7bbe?index=3" TargetMode="External"/><Relationship Id="rId72" Type="http://schemas.openxmlformats.org/officeDocument/2006/relationships/hyperlink" Target="https://alpha.midjourney.com/jobs/172ae98b-46c0-4825-b85b-219a47dfecc0?index=2" TargetMode="External"/><Relationship Id="rId75" Type="http://schemas.openxmlformats.org/officeDocument/2006/relationships/hyperlink" Target="https://alpha.midjourney.com/jobs/20fb2d42-8fe0-4690-82e2-b7936769540e?index=1" TargetMode="External"/><Relationship Id="rId74" Type="http://schemas.openxmlformats.org/officeDocument/2006/relationships/hyperlink" Target="https://alpha.midjourney.com/jobs/2780038d-6258-4c7a-a5e0-700cdfe423f9?index=0" TargetMode="External"/><Relationship Id="rId77" Type="http://schemas.openxmlformats.org/officeDocument/2006/relationships/hyperlink" Target="https://alpha.midjourney.com/jobs/42ab612c-d4a4-4640-b0eb-a0098355068a?index=2" TargetMode="External"/><Relationship Id="rId76" Type="http://schemas.openxmlformats.org/officeDocument/2006/relationships/hyperlink" Target="https://alpha.midjourney.com/jobs/bb160c1d-6202-4543-88a9-152dadcce248?index=2" TargetMode="External"/><Relationship Id="rId79" Type="http://schemas.openxmlformats.org/officeDocument/2006/relationships/hyperlink" Target="https://alpha.midjourney.com/jobs/da9010de-44c1-42bf-8bbc-f7eb026c1882?index=2" TargetMode="External"/><Relationship Id="rId78" Type="http://schemas.openxmlformats.org/officeDocument/2006/relationships/hyperlink" Target="https://alpha.midjourney.com/jobs/42ab612c-d4a4-4640-b0eb-a0098355068a?index=1" TargetMode="External"/><Relationship Id="rId71" Type="http://schemas.openxmlformats.org/officeDocument/2006/relationships/hyperlink" Target="https://alpha.midjourney.com/jobs/4cc82fb7-ff66-4625-86b9-bd6b6019e512?index=2" TargetMode="External"/><Relationship Id="rId70" Type="http://schemas.openxmlformats.org/officeDocument/2006/relationships/hyperlink" Target="https://alpha.midjourney.com/jobs/7515835a-18c0-492f-95bd-2b1b2539a4df?index=1" TargetMode="External"/><Relationship Id="rId62" Type="http://schemas.openxmlformats.org/officeDocument/2006/relationships/hyperlink" Target="https://alpha.midjourney.com/jobs/c2526578-9eb7-4bfc-b6cd-0f981333543c?index=1" TargetMode="External"/><Relationship Id="rId61" Type="http://schemas.openxmlformats.org/officeDocument/2006/relationships/hyperlink" Target="https://alpha.midjourney.com/jobs/804192d1-d6b1-471f-8286-b2c1ae535674?index=3" TargetMode="External"/><Relationship Id="rId64" Type="http://schemas.openxmlformats.org/officeDocument/2006/relationships/hyperlink" Target="https://alpha.midjourney.com/jobs/e799950f-85b6-4223-b8ea-bc9ef93d3c23?index=1" TargetMode="External"/><Relationship Id="rId63" Type="http://schemas.openxmlformats.org/officeDocument/2006/relationships/hyperlink" Target="https://alpha.midjourney.com/jobs/12474128-0863-4da2-aff8-997b73fe9878?index=3" TargetMode="External"/><Relationship Id="rId66" Type="http://schemas.openxmlformats.org/officeDocument/2006/relationships/hyperlink" Target="https://alpha.midjourney.com/jobs/957a1f61-1c1b-4a33-82ab-c17bcc78d8f9?index=0" TargetMode="External"/><Relationship Id="rId65" Type="http://schemas.openxmlformats.org/officeDocument/2006/relationships/hyperlink" Target="https://alpha.midjourney.com/jobs/957a1f61-1c1b-4a33-82ab-c17bcc78d8f9?index=1" TargetMode="External"/><Relationship Id="rId68" Type="http://schemas.openxmlformats.org/officeDocument/2006/relationships/hyperlink" Target="https://alpha.midjourney.com/jobs/011a319f-3ec2-43a4-ae07-e31e88bbcfcf?index=2" TargetMode="External"/><Relationship Id="rId67" Type="http://schemas.openxmlformats.org/officeDocument/2006/relationships/hyperlink" Target="https://alpha.midjourney.com/jobs/a05bda9e-586e-49de-8c32-0f6e47fd8831?index=2" TargetMode="External"/><Relationship Id="rId60" Type="http://schemas.openxmlformats.org/officeDocument/2006/relationships/hyperlink" Target="https://alpha.midjourney.com/jobs/ff5ef09d-ca5a-4078-8295-e865d3f5ef86?index=3" TargetMode="External"/><Relationship Id="rId69" Type="http://schemas.openxmlformats.org/officeDocument/2006/relationships/hyperlink" Target="https://alpha.midjourney.com/jobs/34302934-0ce2-4d12-9b6b-bcbfb2dd2748?index=0" TargetMode="External"/><Relationship Id="rId51" Type="http://schemas.openxmlformats.org/officeDocument/2006/relationships/hyperlink" Target="https://alpha.midjourney.com/jobs/93adb4ae-5796-400d-8a5b-0445ab93be6c?index=3" TargetMode="External"/><Relationship Id="rId50" Type="http://schemas.openxmlformats.org/officeDocument/2006/relationships/hyperlink" Target="https://alpha.midjourney.com/jobs/d19499fa-993e-4909-94ee-2b9c8761e795?index=1" TargetMode="External"/><Relationship Id="rId53" Type="http://schemas.openxmlformats.org/officeDocument/2006/relationships/hyperlink" Target="https://alpha.midjourney.com/jobs/02764ac5-6b69-4645-b186-6ada5c5faed8?index=3" TargetMode="External"/><Relationship Id="rId52" Type="http://schemas.openxmlformats.org/officeDocument/2006/relationships/hyperlink" Target="https://alpha.midjourney.com/jobs/cd0a04f4-a1cb-40f4-910e-eb46d3902255?index=0" TargetMode="External"/><Relationship Id="rId55" Type="http://schemas.openxmlformats.org/officeDocument/2006/relationships/hyperlink" Target="https://alpha.midjourney.com/jobs/faebf78e-524b-4699-86cf-5a06ec2912c9?index=0" TargetMode="External"/><Relationship Id="rId54" Type="http://schemas.openxmlformats.org/officeDocument/2006/relationships/hyperlink" Target="https://alpha.midjourney.com/jobs/219392dd-7217-4d08-88a4-07fe545e4e60?index=0" TargetMode="External"/><Relationship Id="rId57" Type="http://schemas.openxmlformats.org/officeDocument/2006/relationships/hyperlink" Target="https://alpha.midjourney.com/jobs/903c649b-d0e0-4b79-8d43-b2091e120243?index=3" TargetMode="External"/><Relationship Id="rId56" Type="http://schemas.openxmlformats.org/officeDocument/2006/relationships/hyperlink" Target="https://alpha.midjourney.com/jobs/ff5ef09d-ca5a-4078-8295-e865d3f5ef86?index=1" TargetMode="External"/><Relationship Id="rId59" Type="http://schemas.openxmlformats.org/officeDocument/2006/relationships/hyperlink" Target="https://alpha.midjourney.com/jobs/68687551-a06f-4550-bc88-6c49a58ac029?index=2" TargetMode="External"/><Relationship Id="rId58" Type="http://schemas.openxmlformats.org/officeDocument/2006/relationships/hyperlink" Target="https://alpha.midjourney.com/jobs/903c649b-d0e0-4b79-8d43-b2091e120243?index=0" TargetMode="External"/><Relationship Id="rId107" Type="http://schemas.openxmlformats.org/officeDocument/2006/relationships/hyperlink" Target="https://alpha.midjourney.com/jobs/f9350fe6-d4bf-4a09-be2d-6d486b1be787?index=3" TargetMode="External"/><Relationship Id="rId228" Type="http://schemas.openxmlformats.org/officeDocument/2006/relationships/hyperlink" Target="https://alpha.midjourney.com/jobs/7b986382-842d-4894-bfa5-8f3a13c28048?index=2" TargetMode="External"/><Relationship Id="rId349" Type="http://schemas.openxmlformats.org/officeDocument/2006/relationships/hyperlink" Target="https://alpha.midjourney.com/jobs/0d462342-adfb-4bc1-8852-2f568fbc9684?index=2" TargetMode="External"/><Relationship Id="rId106" Type="http://schemas.openxmlformats.org/officeDocument/2006/relationships/hyperlink" Target="https://alpha.midjourney.com/jobs/1af2a498-3786-4ad5-aef0-a5378f2dfbf2?index=3" TargetMode="External"/><Relationship Id="rId227" Type="http://schemas.openxmlformats.org/officeDocument/2006/relationships/hyperlink" Target="https://alpha.midjourney.com/jobs/ded1343a-822d-4000-b96d-307220437a47?index=3" TargetMode="External"/><Relationship Id="rId348" Type="http://schemas.openxmlformats.org/officeDocument/2006/relationships/hyperlink" Target="https://alpha.midjourney.com/jobs/c49fa673-bcd1-49dc-a65d-b262aa8d349c?index=3" TargetMode="External"/><Relationship Id="rId105" Type="http://schemas.openxmlformats.org/officeDocument/2006/relationships/hyperlink" Target="https://alpha.midjourney.com/jobs/65e663c8-cf04-4c54-9eb8-9755a000000b?index=2" TargetMode="External"/><Relationship Id="rId226" Type="http://schemas.openxmlformats.org/officeDocument/2006/relationships/hyperlink" Target="https://alpha.midjourney.com/jobs/d85c9fc4-fcbf-4427-9461-c7d69924fd22?index=3" TargetMode="External"/><Relationship Id="rId347" Type="http://schemas.openxmlformats.org/officeDocument/2006/relationships/hyperlink" Target="https://alpha.midjourney.com/jobs/49af1a65-37b2-43e7-abfb-fec1ef5ae6d3?index=2" TargetMode="External"/><Relationship Id="rId104" Type="http://schemas.openxmlformats.org/officeDocument/2006/relationships/hyperlink" Target="https://alpha.midjourney.com/jobs/1ddd3864-3f10-431d-9dbe-3e4a143074c6?index=2" TargetMode="External"/><Relationship Id="rId225" Type="http://schemas.openxmlformats.org/officeDocument/2006/relationships/hyperlink" Target="https://alpha.midjourney.com/jobs/33f7cc2c-e93d-4e2c-9b65-000f7fec5b4d?index=3" TargetMode="External"/><Relationship Id="rId346" Type="http://schemas.openxmlformats.org/officeDocument/2006/relationships/hyperlink" Target="https://alpha.midjourney.com/jobs/24410310-250b-4dfc-957c-f04fe0d1851b?index=0" TargetMode="External"/><Relationship Id="rId109" Type="http://schemas.openxmlformats.org/officeDocument/2006/relationships/hyperlink" Target="https://alpha.midjourney.com/jobs/6364f253-c9ef-441f-a5a5-5cd35f3f48b4?index=1" TargetMode="External"/><Relationship Id="rId108" Type="http://schemas.openxmlformats.org/officeDocument/2006/relationships/hyperlink" Target="https://alpha.midjourney.com/jobs/6364f253-c9ef-441f-a5a5-5cd35f3f48b4?index=2" TargetMode="External"/><Relationship Id="rId229" Type="http://schemas.openxmlformats.org/officeDocument/2006/relationships/hyperlink" Target="https://alpha.midjourney.com/jobs/7b986382-842d-4894-bfa5-8f3a13c28048?index=1" TargetMode="External"/><Relationship Id="rId220" Type="http://schemas.openxmlformats.org/officeDocument/2006/relationships/hyperlink" Target="https://alpha.midjourney.com/jobs/436c6169-6856-4831-9b5e-36c538fafa7c?index=3" TargetMode="External"/><Relationship Id="rId341" Type="http://schemas.openxmlformats.org/officeDocument/2006/relationships/hyperlink" Target="https://alpha.midjourney.com/jobs/3d36ab7a-cfa0-4e3c-835e-4519c7bd02e5?index=2" TargetMode="External"/><Relationship Id="rId340" Type="http://schemas.openxmlformats.org/officeDocument/2006/relationships/hyperlink" Target="https://alpha.midjourney.com/jobs/ce3cd5be-146d-4747-a725-96d02fce6988?index=3" TargetMode="External"/><Relationship Id="rId103" Type="http://schemas.openxmlformats.org/officeDocument/2006/relationships/hyperlink" Target="https://alpha.midjourney.com/jobs/f597e2fa-e022-4cff-be04-37c4d1d52ecb?index=3" TargetMode="External"/><Relationship Id="rId224" Type="http://schemas.openxmlformats.org/officeDocument/2006/relationships/hyperlink" Target="https://alpha.midjourney.com/jobs/7f81eb9e-f062-46de-9105-f93730a4e7fb?index=0" TargetMode="External"/><Relationship Id="rId345" Type="http://schemas.openxmlformats.org/officeDocument/2006/relationships/hyperlink" Target="https://alpha.midjourney.com/jobs/727e14da-bc4a-4671-9e13-4f06e7007152?index=0" TargetMode="External"/><Relationship Id="rId102" Type="http://schemas.openxmlformats.org/officeDocument/2006/relationships/hyperlink" Target="https://alpha.midjourney.com/jobs/f6b88e68-28ee-4a1b-9280-939e7e23c7ec?index=1" TargetMode="External"/><Relationship Id="rId223" Type="http://schemas.openxmlformats.org/officeDocument/2006/relationships/hyperlink" Target="https://alpha.midjourney.com/jobs/4ccb8031-ae89-47b6-a633-e16eac63166b?index=3" TargetMode="External"/><Relationship Id="rId344" Type="http://schemas.openxmlformats.org/officeDocument/2006/relationships/hyperlink" Target="https://alpha.midjourney.com/jobs/eea88919-f1b3-40c0-9f43-d0e3f3705e14?index=2" TargetMode="External"/><Relationship Id="rId101" Type="http://schemas.openxmlformats.org/officeDocument/2006/relationships/hyperlink" Target="https://alpha.midjourney.com/jobs/d013a66e-19b4-4dec-ad91-83482b06319e?index=1" TargetMode="External"/><Relationship Id="rId222" Type="http://schemas.openxmlformats.org/officeDocument/2006/relationships/hyperlink" Target="https://alpha.midjourney.com/jobs/7bb8e808-62d2-41bb-8749-200a9089a3e9?index=2" TargetMode="External"/><Relationship Id="rId343" Type="http://schemas.openxmlformats.org/officeDocument/2006/relationships/hyperlink" Target="https://alpha.midjourney.com/jobs/915e002d-0994-4e3b-9b5b-10849e3c35ad?index=2" TargetMode="External"/><Relationship Id="rId100" Type="http://schemas.openxmlformats.org/officeDocument/2006/relationships/hyperlink" Target="https://alpha.midjourney.com/jobs/fe6e9b6c-1cca-4a3d-b1ff-7bb7fd6ebc36?index=0" TargetMode="External"/><Relationship Id="rId221" Type="http://schemas.openxmlformats.org/officeDocument/2006/relationships/hyperlink" Target="https://alpha.midjourney.com/jobs/658a4dd0-bf6d-47e7-86d8-52ee52a8f214?index=2" TargetMode="External"/><Relationship Id="rId342" Type="http://schemas.openxmlformats.org/officeDocument/2006/relationships/hyperlink" Target="https://alpha.midjourney.com/jobs/0c8ecc9c-0eba-4e1f-88ef-eb8a6b5bb902?index=0" TargetMode="External"/><Relationship Id="rId217" Type="http://schemas.openxmlformats.org/officeDocument/2006/relationships/hyperlink" Target="https://alpha.midjourney.com/jobs/affa39b4-9e17-48c4-8895-78b1f433b9f7?index=0" TargetMode="External"/><Relationship Id="rId338" Type="http://schemas.openxmlformats.org/officeDocument/2006/relationships/hyperlink" Target="https://alpha.midjourney.com/jobs/a18746cf-975e-483a-9c0c-94c134cf6af2?index=1" TargetMode="External"/><Relationship Id="rId216" Type="http://schemas.openxmlformats.org/officeDocument/2006/relationships/hyperlink" Target="https://alpha.midjourney.com/jobs/7f5227db-8efa-4198-aad8-a7303c4834f9?index=0" TargetMode="External"/><Relationship Id="rId337" Type="http://schemas.openxmlformats.org/officeDocument/2006/relationships/hyperlink" Target="https://alpha.midjourney.com/jobs/a18746cf-975e-483a-9c0c-94c134cf6af2?index=3" TargetMode="External"/><Relationship Id="rId215" Type="http://schemas.openxmlformats.org/officeDocument/2006/relationships/hyperlink" Target="https://alpha.midjourney.com/jobs/ded5b3c8-a989-40e4-8be3-5ac67cf41736?index=0" TargetMode="External"/><Relationship Id="rId336" Type="http://schemas.openxmlformats.org/officeDocument/2006/relationships/hyperlink" Target="https://alpha.midjourney.com/jobs/ce13cd47-a205-4d28-96b0-bdf906fae89f?index=0" TargetMode="External"/><Relationship Id="rId214" Type="http://schemas.openxmlformats.org/officeDocument/2006/relationships/hyperlink" Target="https://alpha.midjourney.com/jobs/237ccf0b-0f9d-4e23-b6d4-df327207e61c?index=1" TargetMode="External"/><Relationship Id="rId335" Type="http://schemas.openxmlformats.org/officeDocument/2006/relationships/hyperlink" Target="https://alpha.midjourney.com/jobs/855584b6-ff81-449c-bfc8-776b89e2e1b6?index=0" TargetMode="External"/><Relationship Id="rId219" Type="http://schemas.openxmlformats.org/officeDocument/2006/relationships/hyperlink" Target="https://alpha.midjourney.com/jobs/5b8a0ee5-409e-4609-8aba-0c49858830f9?index=0" TargetMode="External"/><Relationship Id="rId218" Type="http://schemas.openxmlformats.org/officeDocument/2006/relationships/hyperlink" Target="https://alpha.midjourney.com/jobs/5b8a0ee5-409e-4609-8aba-0c49858830f9?index=3" TargetMode="External"/><Relationship Id="rId339" Type="http://schemas.openxmlformats.org/officeDocument/2006/relationships/hyperlink" Target="https://alpha.midjourney.com/jobs/f95877ad-f1f9-416e-ac05-6e7b4ad534ee?index=2" TargetMode="External"/><Relationship Id="rId330" Type="http://schemas.openxmlformats.org/officeDocument/2006/relationships/hyperlink" Target="https://alpha.midjourney.com/jobs/d8a56be5-0fe5-434b-a77a-b6146873ea1a?index=3" TargetMode="External"/><Relationship Id="rId213" Type="http://schemas.openxmlformats.org/officeDocument/2006/relationships/hyperlink" Target="https://alpha.midjourney.com/jobs/78ae5a97-8656-4c23-992f-61f8947a1950?index=2" TargetMode="External"/><Relationship Id="rId334" Type="http://schemas.openxmlformats.org/officeDocument/2006/relationships/hyperlink" Target="https://alpha.midjourney.com/jobs/8267de13-464b-4475-8b89-635cac0d70bd?index=0" TargetMode="External"/><Relationship Id="rId212" Type="http://schemas.openxmlformats.org/officeDocument/2006/relationships/hyperlink" Target="https://alpha.midjourney.com/jobs/78ae5a97-8656-4c23-992f-61f8947a1950?index=3" TargetMode="External"/><Relationship Id="rId333" Type="http://schemas.openxmlformats.org/officeDocument/2006/relationships/hyperlink" Target="https://alpha.midjourney.com/jobs/855584b6-ff81-449c-bfc8-776b89e2e1b6?index=3" TargetMode="External"/><Relationship Id="rId211" Type="http://schemas.openxmlformats.org/officeDocument/2006/relationships/hyperlink" Target="https://alpha.midjourney.com/jobs/ae00d456-a481-4034-a8c2-fdb97fffe7f6?index=2" TargetMode="External"/><Relationship Id="rId332" Type="http://schemas.openxmlformats.org/officeDocument/2006/relationships/hyperlink" Target="https://alpha.midjourney.com/jobs/855584b6-ff81-449c-bfc8-776b89e2e1b6?index=2" TargetMode="External"/><Relationship Id="rId210" Type="http://schemas.openxmlformats.org/officeDocument/2006/relationships/hyperlink" Target="https://alpha.midjourney.com/jobs/ae00d456-a481-4034-a8c2-fdb97fffe7f6?index=1" TargetMode="External"/><Relationship Id="rId331" Type="http://schemas.openxmlformats.org/officeDocument/2006/relationships/hyperlink" Target="https://alpha.midjourney.com/jobs/d8a56be5-0fe5-434b-a77a-b6146873ea1a?index=0" TargetMode="External"/><Relationship Id="rId370" Type="http://schemas.openxmlformats.org/officeDocument/2006/relationships/hyperlink" Target="https://alpha.midjourney.com/jobs/1147f4d1-0ebc-4af6-a726-d02c68d60b73?index=0" TargetMode="External"/><Relationship Id="rId129" Type="http://schemas.openxmlformats.org/officeDocument/2006/relationships/hyperlink" Target="https://alpha.midjourney.com/jobs/e3dc4ec9-31d3-451f-b89d-f3942b80c042?index=2" TargetMode="External"/><Relationship Id="rId128" Type="http://schemas.openxmlformats.org/officeDocument/2006/relationships/hyperlink" Target="https://alpha.midjourney.com/jobs/7c0c6fe5-3d11-46e9-9fb2-27a3e4ad98d5?index=0" TargetMode="External"/><Relationship Id="rId249" Type="http://schemas.openxmlformats.org/officeDocument/2006/relationships/hyperlink" Target="https://alpha.midjourney.com/jobs/da48772a-b4d4-44f8-8d55-428c4b7750df?index=1" TargetMode="External"/><Relationship Id="rId127" Type="http://schemas.openxmlformats.org/officeDocument/2006/relationships/hyperlink" Target="https://alpha.midjourney.com/jobs/7c0c6fe5-3d11-46e9-9fb2-27a3e4ad98d5?index=3" TargetMode="External"/><Relationship Id="rId248" Type="http://schemas.openxmlformats.org/officeDocument/2006/relationships/hyperlink" Target="https://alpha.midjourney.com/jobs/a5b23374-c9e0-4cc3-ac9e-7cc693ab07b6?index=1" TargetMode="External"/><Relationship Id="rId369" Type="http://schemas.openxmlformats.org/officeDocument/2006/relationships/hyperlink" Target="https://alpha.midjourney.com/jobs/b817370e-a391-4a6b-9688-f381c88b69b0?index=2" TargetMode="External"/><Relationship Id="rId126" Type="http://schemas.openxmlformats.org/officeDocument/2006/relationships/hyperlink" Target="https://alpha.midjourney.com/jobs/9f273a40-8ff4-4686-8521-a3d630b0eaf9?index=1" TargetMode="External"/><Relationship Id="rId247" Type="http://schemas.openxmlformats.org/officeDocument/2006/relationships/hyperlink" Target="https://alpha.midjourney.com/jobs/ee08debf-6dfa-4c1a-b68d-af2815e27ecd?index=0" TargetMode="External"/><Relationship Id="rId368" Type="http://schemas.openxmlformats.org/officeDocument/2006/relationships/hyperlink" Target="https://alpha.midjourney.com/jobs/237069bf-4281-4ab7-875e-331a4121cc5c?index=2" TargetMode="External"/><Relationship Id="rId121" Type="http://schemas.openxmlformats.org/officeDocument/2006/relationships/hyperlink" Target="https://alpha.midjourney.com/jobs/f82cb067-a26e-43e4-a7b7-872ad83abf92?index=1" TargetMode="External"/><Relationship Id="rId242" Type="http://schemas.openxmlformats.org/officeDocument/2006/relationships/hyperlink" Target="https://alpha.midjourney.com/jobs/dabe2c88-7609-4d23-9be4-b6d03f5043ec?index=2" TargetMode="External"/><Relationship Id="rId363" Type="http://schemas.openxmlformats.org/officeDocument/2006/relationships/hyperlink" Target="https://alpha.midjourney.com/jobs/4f36ce57-0d46-485b-824d-f5324b716d84?index=1" TargetMode="External"/><Relationship Id="rId120" Type="http://schemas.openxmlformats.org/officeDocument/2006/relationships/hyperlink" Target="https://alpha.midjourney.com/jobs/41adfac4-fb2e-4621-a9ff-3a8e7c83e591?index=3" TargetMode="External"/><Relationship Id="rId241" Type="http://schemas.openxmlformats.org/officeDocument/2006/relationships/hyperlink" Target="https://alpha.midjourney.com/jobs/5764c6a2-ac2a-45d1-bd44-3056e5b71fde?index=3" TargetMode="External"/><Relationship Id="rId362" Type="http://schemas.openxmlformats.org/officeDocument/2006/relationships/hyperlink" Target="https://alpha.midjourney.com/jobs/64811c7a-9306-4518-8d43-b94ca602125b?index=2" TargetMode="External"/><Relationship Id="rId240" Type="http://schemas.openxmlformats.org/officeDocument/2006/relationships/hyperlink" Target="https://alpha.midjourney.com/jobs/83e9cfe5-7b3e-4733-9009-d3e420db215a?index=1" TargetMode="External"/><Relationship Id="rId361" Type="http://schemas.openxmlformats.org/officeDocument/2006/relationships/hyperlink" Target="https://alpha.midjourney.com/jobs/35a72dcd-bf6d-4211-a3ec-b4a56e9266de?index=3" TargetMode="External"/><Relationship Id="rId360" Type="http://schemas.openxmlformats.org/officeDocument/2006/relationships/hyperlink" Target="https://alpha.midjourney.com/jobs/60403217-9653-4c7f-8bd1-52389abddd0b?index=2" TargetMode="External"/><Relationship Id="rId125" Type="http://schemas.openxmlformats.org/officeDocument/2006/relationships/hyperlink" Target="https://alpha.midjourney.com/jobs/a9cd8a18-681f-4ef7-927f-65a2d9169d26?index=0" TargetMode="External"/><Relationship Id="rId246" Type="http://schemas.openxmlformats.org/officeDocument/2006/relationships/hyperlink" Target="https://alpha.midjourney.com/jobs/e8e96f76-94bd-41ae-b1bd-4ca96aebdd1e?index=3" TargetMode="External"/><Relationship Id="rId367" Type="http://schemas.openxmlformats.org/officeDocument/2006/relationships/hyperlink" Target="https://alpha.midjourney.com/jobs/ade40824-39ca-4001-a6f9-b17abaa7f8c9?index=2" TargetMode="External"/><Relationship Id="rId124" Type="http://schemas.openxmlformats.org/officeDocument/2006/relationships/hyperlink" Target="https://alpha.midjourney.com/jobs/bce87206-d1bc-4ae5-b2a8-99df10be783b?index=2" TargetMode="External"/><Relationship Id="rId245" Type="http://schemas.openxmlformats.org/officeDocument/2006/relationships/hyperlink" Target="https://alpha.midjourney.com/jobs/04e07353-17ab-4846-84bc-818bc402f09d?index=1" TargetMode="External"/><Relationship Id="rId366" Type="http://schemas.openxmlformats.org/officeDocument/2006/relationships/hyperlink" Target="https://alpha.midjourney.com/jobs/95d4bd24-c3f9-417f-be00-e2b02341a172?index=0" TargetMode="External"/><Relationship Id="rId123" Type="http://schemas.openxmlformats.org/officeDocument/2006/relationships/hyperlink" Target="https://alpha.midjourney.com/jobs/bce87206-d1bc-4ae5-b2a8-99df10be783b?index=3" TargetMode="External"/><Relationship Id="rId244" Type="http://schemas.openxmlformats.org/officeDocument/2006/relationships/hyperlink" Target="https://alpha.midjourney.com/jobs/16ee0dc4-08e6-49e0-be6c-5041c7b5d4f9?index=1" TargetMode="External"/><Relationship Id="rId365" Type="http://schemas.openxmlformats.org/officeDocument/2006/relationships/hyperlink" Target="https://alpha.midjourney.com/jobs/64a2413c-9261-4124-ba7d-e64c2319aae0?index=0" TargetMode="External"/><Relationship Id="rId122" Type="http://schemas.openxmlformats.org/officeDocument/2006/relationships/hyperlink" Target="https://alpha.midjourney.com/jobs/8fbe44e4-705c-4ee4-adbc-6e435546facc?index=3" TargetMode="External"/><Relationship Id="rId243" Type="http://schemas.openxmlformats.org/officeDocument/2006/relationships/hyperlink" Target="https://alpha.midjourney.com/jobs/22f743bd-9c45-49eb-bcae-584391aba2aa?index=1" TargetMode="External"/><Relationship Id="rId364" Type="http://schemas.openxmlformats.org/officeDocument/2006/relationships/hyperlink" Target="https://alpha.midjourney.com/jobs/b7fa891c-92aa-4309-9f37-1140cd8df7b3?index=2" TargetMode="External"/><Relationship Id="rId95" Type="http://schemas.openxmlformats.org/officeDocument/2006/relationships/hyperlink" Target="https://alpha.midjourney.com/jobs/7dd032d6-0ed5-4d3f-926c-322526d5acea?index=3" TargetMode="External"/><Relationship Id="rId94" Type="http://schemas.openxmlformats.org/officeDocument/2006/relationships/hyperlink" Target="https://alpha.midjourney.com/jobs/6a07ff77-26e4-4409-95e3-13b470abd6f9?index=1" TargetMode="External"/><Relationship Id="rId97" Type="http://schemas.openxmlformats.org/officeDocument/2006/relationships/hyperlink" Target="https://alpha.midjourney.com/jobs/081fdde2-8231-41d5-aa5c-be3ff2f37b5d?index=2" TargetMode="External"/><Relationship Id="rId96" Type="http://schemas.openxmlformats.org/officeDocument/2006/relationships/hyperlink" Target="https://alpha.midjourney.com/jobs/78be4041-6983-4fec-ac2f-158748bc0f07?index=1" TargetMode="External"/><Relationship Id="rId99" Type="http://schemas.openxmlformats.org/officeDocument/2006/relationships/hyperlink" Target="https://alpha.midjourney.com/jobs/7f7e7244-f70d-4340-bc00-db8ba5869d51?index=0" TargetMode="External"/><Relationship Id="rId98" Type="http://schemas.openxmlformats.org/officeDocument/2006/relationships/hyperlink" Target="https://alpha.midjourney.com/jobs/e641b986-4bf2-46ee-bff1-f15abfe257b6?index=0" TargetMode="External"/><Relationship Id="rId91" Type="http://schemas.openxmlformats.org/officeDocument/2006/relationships/hyperlink" Target="https://alpha.midjourney.com/jobs/b7bb5d22-b78d-4859-ab62-b8e907414ebf?index=1" TargetMode="External"/><Relationship Id="rId90" Type="http://schemas.openxmlformats.org/officeDocument/2006/relationships/hyperlink" Target="https://alpha.midjourney.com/jobs/b96d47c1-e03b-4dad-bc97-123945866ebe?index=3" TargetMode="External"/><Relationship Id="rId93" Type="http://schemas.openxmlformats.org/officeDocument/2006/relationships/hyperlink" Target="https://alpha.midjourney.com/jobs/021e9046-af64-4322-8e14-9b735bb77e33?index=3" TargetMode="External"/><Relationship Id="rId92" Type="http://schemas.openxmlformats.org/officeDocument/2006/relationships/hyperlink" Target="https://alpha.midjourney.com/jobs/f605d05d-eca6-4ad3-8b9d-de3c34ab78f5?index=1" TargetMode="External"/><Relationship Id="rId118" Type="http://schemas.openxmlformats.org/officeDocument/2006/relationships/hyperlink" Target="https://alpha.midjourney.com/jobs/02663ec4-f725-4dc6-b3bf-a41c24089531?index=2" TargetMode="External"/><Relationship Id="rId239" Type="http://schemas.openxmlformats.org/officeDocument/2006/relationships/hyperlink" Target="https://alpha.midjourney.com/jobs/de56f839-6491-46cf-880d-6d928a2517da?index=0" TargetMode="External"/><Relationship Id="rId117" Type="http://schemas.openxmlformats.org/officeDocument/2006/relationships/hyperlink" Target="https://alpha.midjourney.com/jobs/ecf46218-d382-4bbc-897b-729a460f33de?index=0" TargetMode="External"/><Relationship Id="rId238" Type="http://schemas.openxmlformats.org/officeDocument/2006/relationships/hyperlink" Target="https://alpha.midjourney.com/jobs/032d003e-cfc5-416a-b659-1bdded298c0e?index=1" TargetMode="External"/><Relationship Id="rId359" Type="http://schemas.openxmlformats.org/officeDocument/2006/relationships/hyperlink" Target="https://alpha.midjourney.com/jobs/a6b8108d-1bb5-42d2-a7a0-28095eb3d2c2?index=2" TargetMode="External"/><Relationship Id="rId116" Type="http://schemas.openxmlformats.org/officeDocument/2006/relationships/hyperlink" Target="https://alpha.midjourney.com/jobs/c55ff963-8780-49f5-820d-fdb412bd03ab?index=3" TargetMode="External"/><Relationship Id="rId237" Type="http://schemas.openxmlformats.org/officeDocument/2006/relationships/hyperlink" Target="https://alpha.midjourney.com/jobs/1c379fb0-c7fe-4bce-a2e2-c1046dca0a59?index=0" TargetMode="External"/><Relationship Id="rId358" Type="http://schemas.openxmlformats.org/officeDocument/2006/relationships/hyperlink" Target="https://alpha.midjourney.com/jobs/7f15e033-4d9d-48a2-9a39-7197c3b9bf07?index=3" TargetMode="External"/><Relationship Id="rId115" Type="http://schemas.openxmlformats.org/officeDocument/2006/relationships/hyperlink" Target="https://alpha.midjourney.com/jobs/e476fa49-0867-4ba0-b9df-543b391f48db?index=0" TargetMode="External"/><Relationship Id="rId236" Type="http://schemas.openxmlformats.org/officeDocument/2006/relationships/hyperlink" Target="https://alpha.midjourney.com/jobs/1c379fb0-c7fe-4bce-a2e2-c1046dca0a59?index=1" TargetMode="External"/><Relationship Id="rId357" Type="http://schemas.openxmlformats.org/officeDocument/2006/relationships/hyperlink" Target="https://alpha.midjourney.com/jobs/f29821d3-a78b-46a9-ab7b-9b476d6ecfd7?index=1" TargetMode="External"/><Relationship Id="rId119" Type="http://schemas.openxmlformats.org/officeDocument/2006/relationships/hyperlink" Target="https://alpha.midjourney.com/jobs/960b0142-dad3-4a5e-9497-c50337bfa517?index=0" TargetMode="External"/><Relationship Id="rId110" Type="http://schemas.openxmlformats.org/officeDocument/2006/relationships/hyperlink" Target="https://alpha.midjourney.com/jobs/7438c9cc-d782-4fee-9713-d3f301d7df3e?index=1" TargetMode="External"/><Relationship Id="rId231" Type="http://schemas.openxmlformats.org/officeDocument/2006/relationships/hyperlink" Target="https://alpha.midjourney.com/jobs/23146584-f12d-4df7-9044-bc3fddd5aed1?index=2" TargetMode="External"/><Relationship Id="rId352" Type="http://schemas.openxmlformats.org/officeDocument/2006/relationships/hyperlink" Target="https://alpha.midjourney.com/jobs/fc65d230-0b7a-4bbd-9653-6fa105e5bcec?index=3" TargetMode="External"/><Relationship Id="rId230" Type="http://schemas.openxmlformats.org/officeDocument/2006/relationships/hyperlink" Target="https://alpha.midjourney.com/jobs/3ece9766-fbca-4a9f-b43c-ceacdfd34356?index=0" TargetMode="External"/><Relationship Id="rId351" Type="http://schemas.openxmlformats.org/officeDocument/2006/relationships/hyperlink" Target="https://alpha.midjourney.com/jobs/0bfb1ddb-5317-44ca-ac28-18bec4484bb2?index=2" TargetMode="External"/><Relationship Id="rId350" Type="http://schemas.openxmlformats.org/officeDocument/2006/relationships/hyperlink" Target="https://alpha.midjourney.com/jobs/eb6b6ed8-09d8-4cb7-8e72-89daeeb5ad45?index=1" TargetMode="External"/><Relationship Id="rId114" Type="http://schemas.openxmlformats.org/officeDocument/2006/relationships/hyperlink" Target="https://alpha.midjourney.com/jobs/97d76fab-e567-498a-9cd5-fce2669c45a7?index=1" TargetMode="External"/><Relationship Id="rId235" Type="http://schemas.openxmlformats.org/officeDocument/2006/relationships/hyperlink" Target="https://alpha.midjourney.com/jobs/1c379fb0-c7fe-4bce-a2e2-c1046dca0a59?index=3" TargetMode="External"/><Relationship Id="rId356" Type="http://schemas.openxmlformats.org/officeDocument/2006/relationships/hyperlink" Target="https://alpha.midjourney.com/jobs/888400b6-fc24-4382-9b4f-cb536d1c6259?index=2" TargetMode="External"/><Relationship Id="rId113" Type="http://schemas.openxmlformats.org/officeDocument/2006/relationships/hyperlink" Target="https://alpha.midjourney.com/jobs/9b9f1932-7b85-4dc2-b89b-c5db313881fe?index=1" TargetMode="External"/><Relationship Id="rId234" Type="http://schemas.openxmlformats.org/officeDocument/2006/relationships/hyperlink" Target="https://alpha.midjourney.com/jobs/1b37b6ab-c626-42c3-a564-3b3f1a292370?index=3" TargetMode="External"/><Relationship Id="rId355" Type="http://schemas.openxmlformats.org/officeDocument/2006/relationships/hyperlink" Target="https://alpha.midjourney.com/jobs/3500932c-0e0c-496e-8393-7f54603731c9?index=3" TargetMode="External"/><Relationship Id="rId112" Type="http://schemas.openxmlformats.org/officeDocument/2006/relationships/hyperlink" Target="https://alpha.midjourney.com/jobs/97f8b1ac-677e-491b-803f-a08321d0a5b3?index=0" TargetMode="External"/><Relationship Id="rId233" Type="http://schemas.openxmlformats.org/officeDocument/2006/relationships/hyperlink" Target="https://alpha.midjourney.com/jobs/d1d4e43a-6294-4cca-b9e9-a8a9b7c14773?index=2" TargetMode="External"/><Relationship Id="rId354" Type="http://schemas.openxmlformats.org/officeDocument/2006/relationships/hyperlink" Target="https://alpha.midjourney.com/jobs/48703433-d069-4669-a233-4fb736b88afa?index=0" TargetMode="External"/><Relationship Id="rId111" Type="http://schemas.openxmlformats.org/officeDocument/2006/relationships/hyperlink" Target="https://alpha.midjourney.com/jobs/7e117333-a3b5-48ce-84fb-ea1d5889f52c?index=3" TargetMode="External"/><Relationship Id="rId232" Type="http://schemas.openxmlformats.org/officeDocument/2006/relationships/hyperlink" Target="https://alpha.midjourney.com/jobs/e7c5e4fe-638b-4178-857e-6623f117ac1e?index=3" TargetMode="External"/><Relationship Id="rId353" Type="http://schemas.openxmlformats.org/officeDocument/2006/relationships/hyperlink" Target="https://alpha.midjourney.com/jobs/48703433-d069-4669-a233-4fb736b88afa?index=2" TargetMode="External"/><Relationship Id="rId305" Type="http://schemas.openxmlformats.org/officeDocument/2006/relationships/hyperlink" Target="https://alpha.midjourney.com/jobs/8572f917-df31-4408-8707-1d30d6ca5130?index=2" TargetMode="External"/><Relationship Id="rId304" Type="http://schemas.openxmlformats.org/officeDocument/2006/relationships/hyperlink" Target="https://alpha.midjourney.com/jobs/9f59a1ed-24af-4d99-acaa-6a2a05df2427?index=3" TargetMode="External"/><Relationship Id="rId303" Type="http://schemas.openxmlformats.org/officeDocument/2006/relationships/hyperlink" Target="https://alpha.midjourney.com/jobs/7fc25a68-b33f-47f1-a6ec-9553717b1c97?index=1" TargetMode="External"/><Relationship Id="rId302" Type="http://schemas.openxmlformats.org/officeDocument/2006/relationships/hyperlink" Target="https://alpha.midjourney.com/jobs/7fc25a68-b33f-47f1-a6ec-9553717b1c97?index=0" TargetMode="External"/><Relationship Id="rId309" Type="http://schemas.openxmlformats.org/officeDocument/2006/relationships/hyperlink" Target="https://alpha.midjourney.com/jobs/c9877abe-5367-4550-95bd-009c5ca1c395?index=2" TargetMode="External"/><Relationship Id="rId308" Type="http://schemas.openxmlformats.org/officeDocument/2006/relationships/hyperlink" Target="https://alpha.midjourney.com/jobs/2ddb8064-c0f9-4c6e-bd7c-5450e649e0ba?index=0" TargetMode="External"/><Relationship Id="rId307" Type="http://schemas.openxmlformats.org/officeDocument/2006/relationships/hyperlink" Target="https://alpha.midjourney.com/jobs/2ddb8064-c0f9-4c6e-bd7c-5450e649e0ba?index=1" TargetMode="External"/><Relationship Id="rId306" Type="http://schemas.openxmlformats.org/officeDocument/2006/relationships/hyperlink" Target="https://alpha.midjourney.com/jobs/fb929c6c-57e6-433a-a266-d6503efa9f59?index=3" TargetMode="External"/><Relationship Id="rId301" Type="http://schemas.openxmlformats.org/officeDocument/2006/relationships/hyperlink" Target="https://alpha.midjourney.com/jobs/a57b5b64-f263-4fdf-af6b-1b93580bfe5e?index=0" TargetMode="External"/><Relationship Id="rId300" Type="http://schemas.openxmlformats.org/officeDocument/2006/relationships/hyperlink" Target="https://alpha.midjourney.com/jobs/99049fea-fc5d-4752-b9db-6d8c91ccc8ae?index=2" TargetMode="External"/><Relationship Id="rId413" Type="http://schemas.openxmlformats.org/officeDocument/2006/relationships/drawing" Target="../drawings/drawing1.xml"/><Relationship Id="rId412" Type="http://schemas.openxmlformats.org/officeDocument/2006/relationships/hyperlink" Target="https://alpha.midjourney.com/jobs/b6b028b1-6920-4dde-9694-73d589c7969e?index=1" TargetMode="External"/><Relationship Id="rId411" Type="http://schemas.openxmlformats.org/officeDocument/2006/relationships/hyperlink" Target="https://alpha.midjourney.com/jobs/e9cfddb2-74e8-4821-93ef-db5a57e9c0e6?index=1" TargetMode="External"/><Relationship Id="rId410" Type="http://schemas.openxmlformats.org/officeDocument/2006/relationships/hyperlink" Target="https://alpha.midjourney.com/jobs/05ead972-45fd-4d93-b3b6-736da52e9d68?index=1" TargetMode="External"/><Relationship Id="rId206" Type="http://schemas.openxmlformats.org/officeDocument/2006/relationships/hyperlink" Target="https://alpha.midjourney.com/jobs/2245d2f9-6faa-4d4c-9ddb-94e018ca54af?index=0" TargetMode="External"/><Relationship Id="rId327" Type="http://schemas.openxmlformats.org/officeDocument/2006/relationships/hyperlink" Target="https://alpha.midjourney.com/jobs/c014fa78-9b56-4e92-9380-05f3c1bc63f2?index=3" TargetMode="External"/><Relationship Id="rId205" Type="http://schemas.openxmlformats.org/officeDocument/2006/relationships/hyperlink" Target="https://alpha.midjourney.com/jobs/f076bedf-28b1-43a4-bdf8-5e57ad378122?index=3" TargetMode="External"/><Relationship Id="rId326" Type="http://schemas.openxmlformats.org/officeDocument/2006/relationships/hyperlink" Target="https://alpha.midjourney.com/jobs/23c28003-cb9d-4252-b47e-eb31b79c4746?index=3" TargetMode="External"/><Relationship Id="rId204" Type="http://schemas.openxmlformats.org/officeDocument/2006/relationships/hyperlink" Target="https://alpha.midjourney.com/jobs/33065fbd-b99a-477c-aeda-1e82ea951a22?index=3" TargetMode="External"/><Relationship Id="rId325" Type="http://schemas.openxmlformats.org/officeDocument/2006/relationships/hyperlink" Target="https://alpha.midjourney.com/jobs/92e4fd9a-ec61-456e-ae1a-ccf89544238d?index=1" TargetMode="External"/><Relationship Id="rId203" Type="http://schemas.openxmlformats.org/officeDocument/2006/relationships/hyperlink" Target="https://alpha.midjourney.com/jobs/59d1a1e1-529a-4cc6-b261-fdc197b29a2b?index=1" TargetMode="External"/><Relationship Id="rId324" Type="http://schemas.openxmlformats.org/officeDocument/2006/relationships/hyperlink" Target="https://alpha.midjourney.com/jobs/ce81bdef-692d-43ea-9dce-a4b313702bd0?index=2" TargetMode="External"/><Relationship Id="rId209" Type="http://schemas.openxmlformats.org/officeDocument/2006/relationships/hyperlink" Target="https://alpha.midjourney.com/jobs/8c7e4ea8-e35f-4309-86b6-e6a9f1efaecb?index=2" TargetMode="External"/><Relationship Id="rId208" Type="http://schemas.openxmlformats.org/officeDocument/2006/relationships/hyperlink" Target="https://alpha.midjourney.com/jobs/8c7e4ea8-e35f-4309-86b6-e6a9f1efaecb?index=1" TargetMode="External"/><Relationship Id="rId329" Type="http://schemas.openxmlformats.org/officeDocument/2006/relationships/hyperlink" Target="https://alpha.midjourney.com/jobs/ea69db27-0094-46a2-957d-df9c6587cd8f?index=1" TargetMode="External"/><Relationship Id="rId207" Type="http://schemas.openxmlformats.org/officeDocument/2006/relationships/hyperlink" Target="https://alpha.midjourney.com/jobs/2245d2f9-6faa-4d4c-9ddb-94e018ca54af?index=2" TargetMode="External"/><Relationship Id="rId328" Type="http://schemas.openxmlformats.org/officeDocument/2006/relationships/hyperlink" Target="https://alpha.midjourney.com/jobs/c014fa78-9b56-4e92-9380-05f3c1bc63f2?index=0" TargetMode="External"/><Relationship Id="rId202" Type="http://schemas.openxmlformats.org/officeDocument/2006/relationships/hyperlink" Target="https://alpha.midjourney.com/jobs/1be84c96-df08-4398-88f9-09e5ad8ff402?index=2" TargetMode="External"/><Relationship Id="rId323" Type="http://schemas.openxmlformats.org/officeDocument/2006/relationships/hyperlink" Target="https://alpha.midjourney.com/jobs/ac379b8f-0976-49e8-9984-afd4fa85d72d?index=0" TargetMode="External"/><Relationship Id="rId201" Type="http://schemas.openxmlformats.org/officeDocument/2006/relationships/hyperlink" Target="https://alpha.midjourney.com/jobs/f6913507-2389-4765-a6a4-189bde5ce495?index=2" TargetMode="External"/><Relationship Id="rId322" Type="http://schemas.openxmlformats.org/officeDocument/2006/relationships/hyperlink" Target="https://alpha.midjourney.com/jobs/ac379b8f-0976-49e8-9984-afd4fa85d72d?index=2" TargetMode="External"/><Relationship Id="rId200" Type="http://schemas.openxmlformats.org/officeDocument/2006/relationships/hyperlink" Target="https://alpha.midjourney.com/jobs/f6913507-2389-4765-a6a4-189bde5ce495?index=1" TargetMode="External"/><Relationship Id="rId321" Type="http://schemas.openxmlformats.org/officeDocument/2006/relationships/hyperlink" Target="https://alpha.midjourney.com/jobs/88722dbd-81e5-4a88-b7b1-4d119407e4eb?index=2" TargetMode="External"/><Relationship Id="rId320" Type="http://schemas.openxmlformats.org/officeDocument/2006/relationships/hyperlink" Target="https://alpha.midjourney.com/jobs/648f33e0-f155-4776-b3ef-cb6a2da47ad2?index=0" TargetMode="External"/><Relationship Id="rId316" Type="http://schemas.openxmlformats.org/officeDocument/2006/relationships/hyperlink" Target="https://alpha.midjourney.com/jobs/b782234a-ae27-4ab3-a874-11519512ecce?index=1" TargetMode="External"/><Relationship Id="rId315" Type="http://schemas.openxmlformats.org/officeDocument/2006/relationships/hyperlink" Target="https://alpha.midjourney.com/jobs/b1f8f3d5-445f-4c75-8c69-dc3c00dd6a2a?index=1" TargetMode="External"/><Relationship Id="rId314" Type="http://schemas.openxmlformats.org/officeDocument/2006/relationships/hyperlink" Target="https://alpha.midjourney.com/jobs/b1f8f3d5-445f-4c75-8c69-dc3c00dd6a2a?index=3" TargetMode="External"/><Relationship Id="rId313" Type="http://schemas.openxmlformats.org/officeDocument/2006/relationships/hyperlink" Target="https://alpha.midjourney.com/jobs/b6935539-efed-401f-850a-d485cb53a209?index=2" TargetMode="External"/><Relationship Id="rId319" Type="http://schemas.openxmlformats.org/officeDocument/2006/relationships/hyperlink" Target="https://alpha.midjourney.com/jobs/48fb748c-ced1-4a11-b902-08569b23ea3e?index=3" TargetMode="External"/><Relationship Id="rId318" Type="http://schemas.openxmlformats.org/officeDocument/2006/relationships/hyperlink" Target="https://alpha.midjourney.com/jobs/bace0219-18ab-4fad-b1cf-6dd7f636ba09?index=1" TargetMode="External"/><Relationship Id="rId317" Type="http://schemas.openxmlformats.org/officeDocument/2006/relationships/hyperlink" Target="https://alpha.midjourney.com/jobs/bace0219-18ab-4fad-b1cf-6dd7f636ba09?index=3" TargetMode="External"/><Relationship Id="rId312" Type="http://schemas.openxmlformats.org/officeDocument/2006/relationships/hyperlink" Target="https://alpha.midjourney.com/jobs/efc96ed0-d87b-4d29-bb86-f29795728bf8?index=2" TargetMode="External"/><Relationship Id="rId311" Type="http://schemas.openxmlformats.org/officeDocument/2006/relationships/hyperlink" Target="https://alpha.midjourney.com/jobs/3f700745-93e9-491e-b302-0f3b8129cd3a?index=3" TargetMode="External"/><Relationship Id="rId310" Type="http://schemas.openxmlformats.org/officeDocument/2006/relationships/hyperlink" Target="https://alpha.midjourney.com/jobs/304afcfd-7894-408f-9075-b9665b0da9bb?index=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7" t="s">
        <v>82</v>
      </c>
      <c r="B11" s="10" t="s">
        <v>15</v>
      </c>
      <c r="C11" s="12">
        <v>1.0</v>
      </c>
      <c r="D11" s="12" t="s">
        <v>83</v>
      </c>
      <c r="E11" s="1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f>
        <v/>
      </c>
      <c r="G11" s="21" t="s">
        <v>85</v>
      </c>
      <c r="H11" s="12">
        <v>2.0</v>
      </c>
      <c r="I11" s="12" t="s">
        <v>32</v>
      </c>
      <c r="J11" s="24" t="s">
        <v>33</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IFERROR(__xludf.DUMMYFUNCTION("IF(REGEXMATCH($B11,P$1),$D11,"""")"),"Construct Undead")</f>
        <v>Construct Undead</v>
      </c>
      <c r="Q11" s="14">
        <f>IFERROR(__xludf.DUMMYFUNCTION("IF($A11="""","""",LEN(REGEXREPLACE($I11,"",\s?"","""")))"),1.0)</f>
        <v>1</v>
      </c>
      <c r="R11" s="15" t="s">
        <v>86</v>
      </c>
      <c r="S11" s="17" t="s">
        <v>87</v>
      </c>
      <c r="T11" s="14"/>
      <c r="U11" s="14"/>
      <c r="V11" s="14"/>
      <c r="W11" s="14"/>
      <c r="X11" s="14"/>
      <c r="Y11" s="14"/>
      <c r="Z11" s="14"/>
      <c r="AA11" s="14"/>
      <c r="AB11" s="14"/>
    </row>
    <row r="12">
      <c r="A12" s="20" t="s">
        <v>88</v>
      </c>
      <c r="B12" s="28"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Crystal|.*crystal.*b"&amp;"ury""),""Empty-Crystal"","""")&amp;IF(REGEXMATCH($E12,""Move|move""),""Move"","""")"),"Move")</f>
        <v>Move</v>
      </c>
      <c r="G12" s="13" t="s">
        <v>91</v>
      </c>
      <c r="H12" s="12">
        <v>3.0</v>
      </c>
      <c r="I12" s="12" t="s">
        <v>92</v>
      </c>
      <c r="J12" s="12" t="s">
        <v>69</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IFERROR(__xludf.DUMMYFUNCTION("IF(REGEXMATCH($B12,P$1),$D12,"""")"),"Angel Wizard")</f>
        <v>Angel Wizard</v>
      </c>
      <c r="Q12" s="14">
        <f>IFERROR(__xludf.DUMMYFUNCTION("IF($A12="""","""",LEN(REGEXREPLACE($I12,"",\s?"","""")))"),3.0)</f>
        <v>3</v>
      </c>
      <c r="R12" s="15" t="s">
        <v>93</v>
      </c>
      <c r="S12" s="17" t="s">
        <v>94</v>
      </c>
      <c r="T12" s="17" t="s">
        <v>95</v>
      </c>
      <c r="U12" s="17" t="s">
        <v>96</v>
      </c>
      <c r="V12" s="14"/>
      <c r="W12" s="14"/>
      <c r="X12" s="14"/>
      <c r="Y12" s="14"/>
      <c r="Z12" s="14"/>
      <c r="AA12" s="14"/>
      <c r="AB12" s="14"/>
    </row>
    <row r="13">
      <c r="A13" s="27" t="s">
        <v>97</v>
      </c>
      <c r="B13" s="10" t="s">
        <v>15</v>
      </c>
      <c r="C13" s="12">
        <v>1.0</v>
      </c>
      <c r="D13" s="12" t="s">
        <v>47</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f>
        <v/>
      </c>
      <c r="G13" s="13" t="s">
        <v>98</v>
      </c>
      <c r="H13" s="12">
        <v>3.0</v>
      </c>
      <c r="I13" s="12" t="s">
        <v>99</v>
      </c>
      <c r="J13" s="12" t="s">
        <v>33</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Warrior")</f>
        <v>Angel Warrior</v>
      </c>
      <c r="Q13" s="14">
        <f>IFERROR(__xludf.DUMMYFUNCTION("IF($A13="""","""",LEN(REGEXREPLACE($I13,"",\s?"","""")))"),2.0)</f>
        <v>2</v>
      </c>
      <c r="R13" s="29" t="s">
        <v>100</v>
      </c>
      <c r="S13" s="30" t="s">
        <v>101</v>
      </c>
      <c r="T13" s="30" t="s">
        <v>102</v>
      </c>
      <c r="U13" s="31"/>
      <c r="V13" s="31"/>
      <c r="W13" s="31"/>
      <c r="X13" s="31"/>
      <c r="Y13" s="31"/>
      <c r="Z13" s="31"/>
      <c r="AA13" s="31"/>
      <c r="AB13" s="31"/>
    </row>
    <row r="14">
      <c r="A14" s="10" t="s">
        <v>103</v>
      </c>
      <c r="B14" s="10" t="s">
        <v>15</v>
      </c>
      <c r="C14" s="12">
        <v>1.0</v>
      </c>
      <c r="D14" s="12" t="s">
        <v>104</v>
      </c>
      <c r="E14" s="10" t="s">
        <v>105</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Crystal|.*crystal.*b"&amp;"ury""),""Empty-Crystal"","""")&amp;IF(REGEXMATCH($E14,""Move|move""),""Move"","""")"),"Divine ")</f>
        <v>Divine </v>
      </c>
      <c r="G14" s="13" t="s">
        <v>106</v>
      </c>
      <c r="H14" s="12">
        <v>1.0</v>
      </c>
      <c r="I14" s="12" t="s">
        <v>99</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IFERROR(__xludf.DUMMYFUNCTION("IF(REGEXMATCH($B14,P$1),$D14,"""")"),"Animal")</f>
        <v>Animal</v>
      </c>
      <c r="Q14" s="14">
        <f>IFERROR(__xludf.DUMMYFUNCTION("IF($A14="""","""",LEN(REGEXREPLACE($I14,"",\s?"","""")))"),2.0)</f>
        <v>2</v>
      </c>
      <c r="R14" s="15" t="s">
        <v>107</v>
      </c>
      <c r="S14" s="17" t="s">
        <v>108</v>
      </c>
      <c r="T14" s="14"/>
      <c r="U14" s="14"/>
      <c r="V14" s="14"/>
      <c r="W14" s="14"/>
      <c r="X14" s="14"/>
      <c r="Y14" s="14"/>
      <c r="Z14" s="14"/>
      <c r="AA14" s="14"/>
      <c r="AB14" s="14"/>
    </row>
    <row r="15">
      <c r="A15" s="20" t="s">
        <v>109</v>
      </c>
      <c r="B15" s="20" t="s">
        <v>15</v>
      </c>
      <c r="C15" s="19">
        <v>1.0</v>
      </c>
      <c r="D15" s="19" t="s">
        <v>35</v>
      </c>
      <c r="E15" s="20" t="s">
        <v>110</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Crystal|.*crystal.*b"&amp;"ury""),""Empty-Crystal"","""")&amp;IF(REGEXMATCH($E15,""Move|move""),""Move"","""")"),"Ramp Copy ")</f>
        <v>Ramp Copy </v>
      </c>
      <c r="G15" s="21" t="s">
        <v>111</v>
      </c>
      <c r="H15" s="19">
        <v>2.0</v>
      </c>
      <c r="I15" s="19" t="s">
        <v>92</v>
      </c>
      <c r="J15" s="19" t="s">
        <v>69</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IFERROR(__xludf.DUMMYFUNCTION("IF(REGEXMATCH($B15,P$1),$D15,"""")"),"Angel")</f>
        <v>Angel</v>
      </c>
      <c r="Q15" s="14">
        <f>IFERROR(__xludf.DUMMYFUNCTION("IF($A15="""","""",LEN(REGEXREPLACE($I15,"",\s?"","""")))"),3.0)</f>
        <v>3</v>
      </c>
      <c r="R15" s="15" t="s">
        <v>100</v>
      </c>
      <c r="S15" s="17" t="s">
        <v>112</v>
      </c>
      <c r="T15" s="14"/>
      <c r="U15" s="14"/>
      <c r="V15" s="14"/>
      <c r="W15" s="14"/>
      <c r="X15" s="14"/>
      <c r="Y15" s="14"/>
      <c r="Z15" s="14"/>
      <c r="AA15" s="14"/>
      <c r="AB15" s="14"/>
    </row>
    <row r="16">
      <c r="A16" s="10" t="s">
        <v>113</v>
      </c>
      <c r="B16" s="10" t="s">
        <v>15</v>
      </c>
      <c r="C16" s="12">
        <v>1.0</v>
      </c>
      <c r="D16" s="12" t="s">
        <v>114</v>
      </c>
      <c r="E16" s="10" t="s">
        <v>115</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Crystal|.*crystal.*b"&amp;"ury""),""Empty-Crystal"","""")&amp;IF(REGEXMATCH($E16,""Move|move""),""Move"","""")"),"Unearth Aggro ")</f>
        <v>Unearth Aggro </v>
      </c>
      <c r="G16" s="13" t="s">
        <v>116</v>
      </c>
      <c r="H16" s="12">
        <v>6.0</v>
      </c>
      <c r="I16" s="12" t="s">
        <v>117</v>
      </c>
      <c r="J16" s="12" t="s">
        <v>33</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IFERROR(__xludf.DUMMYFUNCTION("IF(REGEXMATCH($B16,P$1),$D16,"""")"),"Animal Undead")</f>
        <v>Animal Undead</v>
      </c>
      <c r="Q16" s="14">
        <f>IFERROR(__xludf.DUMMYFUNCTION("IF($A16="""","""",LEN(REGEXREPLACE($I16,"",\s?"","""")))"),6.0)</f>
        <v>6</v>
      </c>
      <c r="R16" s="15" t="s">
        <v>118</v>
      </c>
      <c r="S16" s="17" t="s">
        <v>119</v>
      </c>
      <c r="T16" s="14"/>
      <c r="U16" s="14"/>
      <c r="V16" s="14"/>
      <c r="W16" s="14"/>
      <c r="X16" s="14"/>
      <c r="Y16" s="14"/>
      <c r="Z16" s="14"/>
      <c r="AA16" s="14"/>
      <c r="AB16" s="14"/>
    </row>
    <row r="17">
      <c r="A17" s="10" t="s">
        <v>120</v>
      </c>
      <c r="B17" s="10" t="s">
        <v>15</v>
      </c>
      <c r="C17" s="12">
        <v>1.0</v>
      </c>
      <c r="D17" s="12" t="s">
        <v>121</v>
      </c>
      <c r="E17" s="10" t="s">
        <v>122</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Crystal|.*crystal.*b"&amp;"ury""),""Empty-Crystal"","""")&amp;IF(REGEXMATCH($E17,""Move|move""),""Move"","""")"),"Ramp Control ")</f>
        <v>Ramp Control </v>
      </c>
      <c r="G17" s="13" t="s">
        <v>123</v>
      </c>
      <c r="H17" s="12">
        <v>2.0</v>
      </c>
      <c r="I17" s="12" t="s">
        <v>99</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Construct")</f>
        <v>Animal Construct</v>
      </c>
      <c r="Q17" s="14">
        <f>IFERROR(__xludf.DUMMYFUNCTION("IF($A17="""","""",LEN(REGEXREPLACE($I17,"",\s?"","""")))"),2.0)</f>
        <v>2</v>
      </c>
      <c r="R17" s="29" t="s">
        <v>124</v>
      </c>
      <c r="S17" s="30" t="s">
        <v>125</v>
      </c>
      <c r="T17" s="31"/>
      <c r="U17" s="31"/>
      <c r="V17" s="31"/>
      <c r="W17" s="31"/>
      <c r="X17" s="31"/>
      <c r="Y17" s="31"/>
      <c r="Z17" s="31"/>
      <c r="AA17" s="31"/>
      <c r="AB17" s="31"/>
    </row>
    <row r="18">
      <c r="A18" s="27" t="s">
        <v>126</v>
      </c>
      <c r="B18" s="10" t="s">
        <v>15</v>
      </c>
      <c r="C18" s="12">
        <v>1.0</v>
      </c>
      <c r="D18" s="24" t="s">
        <v>77</v>
      </c>
      <c r="E18" s="20" t="s">
        <v>127</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Crystal|.*crystal.*b"&amp;"ury""),""Empty-Crystal"","""")&amp;IF(REGEXMATCH($E18,""Move|move""),""Move"","""")"),"Construct ")</f>
        <v>Construct </v>
      </c>
      <c r="G18" s="21" t="s">
        <v>128</v>
      </c>
      <c r="H18" s="12">
        <v>3.0</v>
      </c>
      <c r="I18" s="12" t="s">
        <v>56</v>
      </c>
      <c r="J18" s="24"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IFERROR(__xludf.DUMMYFUNCTION("IF(REGEXMATCH($B18,P$1),$D18,"""")"),"Construct")</f>
        <v>Construct</v>
      </c>
      <c r="Q18" s="14">
        <f>IFERROR(__xludf.DUMMYFUNCTION("IF($A18="""","""",LEN(REGEXREPLACE($I18,"",\s?"","""")))"),3.0)</f>
        <v>3</v>
      </c>
      <c r="R18" s="15" t="s">
        <v>129</v>
      </c>
      <c r="S18" s="17" t="s">
        <v>130</v>
      </c>
      <c r="T18" s="14"/>
      <c r="U18" s="14"/>
      <c r="V18" s="14"/>
      <c r="W18" s="14"/>
      <c r="X18" s="14"/>
      <c r="Y18" s="14"/>
      <c r="Z18" s="14"/>
      <c r="AA18" s="14"/>
      <c r="AB18" s="14"/>
    </row>
    <row r="19" hidden="1">
      <c r="A19" s="10" t="s">
        <v>131</v>
      </c>
      <c r="B19" s="11" t="s">
        <v>15</v>
      </c>
      <c r="C19" s="12">
        <v>2.0</v>
      </c>
      <c r="D19" s="12" t="s">
        <v>35</v>
      </c>
      <c r="E19" s="10" t="s">
        <v>132</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133</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10" t="s">
        <v>134</v>
      </c>
      <c r="B20" s="10" t="s">
        <v>15</v>
      </c>
      <c r="C20" s="12">
        <v>1.0</v>
      </c>
      <c r="D20" s="12" t="s">
        <v>135</v>
      </c>
      <c r="E20" s="1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Crystal|.*crystal.*b"&amp;"ury""),""Empty-Crystal"","""")&amp;IF(REGEXMATCH($E20,""Move|move""),""Move"","""")"),"Control ")</f>
        <v>Control </v>
      </c>
      <c r="G20" s="13" t="s">
        <v>137</v>
      </c>
      <c r="H20" s="12">
        <v>2.0</v>
      </c>
      <c r="I20" s="12" t="s">
        <v>99</v>
      </c>
      <c r="J20" s="12"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IFERROR(__xludf.DUMMYFUNCTION("IF(REGEXMATCH($B20,P$1),$D20,"""")"),"Human Hunter")</f>
        <v>Human Hunter</v>
      </c>
      <c r="Q20" s="14">
        <f>IFERROR(__xludf.DUMMYFUNCTION("IF($A20="""","""",LEN(REGEXREPLACE($I20,"",\s?"","""")))"),2.0)</f>
        <v>2</v>
      </c>
      <c r="R20" s="15" t="s">
        <v>138</v>
      </c>
      <c r="S20" s="17" t="s">
        <v>139</v>
      </c>
      <c r="T20" s="14"/>
      <c r="U20" s="14"/>
      <c r="V20" s="14"/>
      <c r="W20" s="14"/>
      <c r="X20" s="14"/>
      <c r="Y20" s="14"/>
      <c r="Z20" s="14"/>
      <c r="AA20" s="14"/>
      <c r="AB20" s="14"/>
    </row>
    <row r="21">
      <c r="A21" s="10" t="s">
        <v>140</v>
      </c>
      <c r="B21" s="10" t="s">
        <v>15</v>
      </c>
      <c r="C21" s="12">
        <v>1.0</v>
      </c>
      <c r="D21" s="3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Crystal|.*crystal.*b"&amp;"ury""),""Empty-Crystal"","""")&amp;IF(REGEXMATCH($E21,""Move|move""),""Move"","""")"),"Angel ")</f>
        <v>Angel </v>
      </c>
      <c r="G21" s="13" t="s">
        <v>143</v>
      </c>
      <c r="H21" s="12">
        <v>4.0</v>
      </c>
      <c r="I21" s="12" t="s">
        <v>144</v>
      </c>
      <c r="J21" s="12" t="s">
        <v>69</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IFERROR(__xludf.DUMMYFUNCTION("IF(REGEXMATCH($B21,P$1),$D21,"""")"),"Angel Spirit")</f>
        <v>Angel Spirit</v>
      </c>
      <c r="Q21" s="14">
        <f>IFERROR(__xludf.DUMMYFUNCTION("IF($A21="""","""",LEN(REGEXREPLACE($I21,"",\s?"","""")))"),4.0)</f>
        <v>4</v>
      </c>
      <c r="R21" s="15" t="s">
        <v>145</v>
      </c>
      <c r="S21" s="17" t="s">
        <v>146</v>
      </c>
      <c r="T21" s="14"/>
      <c r="U21" s="14"/>
      <c r="V21" s="14"/>
      <c r="W21" s="14"/>
      <c r="X21" s="14"/>
      <c r="Y21" s="14"/>
      <c r="Z21" s="14"/>
      <c r="AA21" s="14"/>
      <c r="AB21" s="14"/>
    </row>
    <row r="22">
      <c r="A22" s="10" t="s">
        <v>147</v>
      </c>
      <c r="B22" s="10" t="s">
        <v>15</v>
      </c>
      <c r="C22" s="12">
        <v>1.0</v>
      </c>
      <c r="D22" s="12" t="s">
        <v>121</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Crystal|.*crystal.*b"&amp;"ury""),""Empty-Crystal"","""")&amp;IF(REGEXMATCH($E22,""Move|move""),""Move"","""")"),"Ramp Control ")</f>
        <v>Ramp Control </v>
      </c>
      <c r="G22" s="13" t="s">
        <v>149</v>
      </c>
      <c r="H22" s="12">
        <v>3.0</v>
      </c>
      <c r="I22" s="12" t="s">
        <v>92</v>
      </c>
      <c r="J22" s="19"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IFERROR(__xludf.DUMMYFUNCTION("IF(REGEXMATCH($B22,P$1),$D22,"""")"),"Animal Construct")</f>
        <v>Animal Construct</v>
      </c>
      <c r="Q22" s="14">
        <f>IFERROR(__xludf.DUMMYFUNCTION("IF($A22="""","""",LEN(REGEXREPLACE($I22,"",\s?"","""")))"),3.0)</f>
        <v>3</v>
      </c>
      <c r="R22" s="29" t="s">
        <v>150</v>
      </c>
      <c r="S22" s="30" t="s">
        <v>151</v>
      </c>
      <c r="T22" s="31"/>
      <c r="U22" s="31"/>
      <c r="V22" s="31"/>
      <c r="W22" s="31"/>
      <c r="X22" s="31"/>
      <c r="Y22" s="31"/>
      <c r="Z22" s="31"/>
      <c r="AA22" s="31"/>
      <c r="AB22" s="31"/>
    </row>
    <row r="23" hidden="1">
      <c r="A23" s="20" t="s">
        <v>152</v>
      </c>
      <c r="B23" s="20" t="s">
        <v>15</v>
      </c>
      <c r="C23" s="19">
        <v>0.0</v>
      </c>
      <c r="D23" s="19" t="s">
        <v>89</v>
      </c>
      <c r="E23" s="20" t="s">
        <v>153</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154</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20" t="s">
        <v>155</v>
      </c>
      <c r="B24" s="10" t="s">
        <v>15</v>
      </c>
      <c r="C24" s="12">
        <v>1.0</v>
      </c>
      <c r="D24" s="12" t="s">
        <v>77</v>
      </c>
      <c r="E24" s="10" t="s">
        <v>156</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Ramp ")</f>
        <v>Construct Ramp </v>
      </c>
      <c r="G24" s="13" t="s">
        <v>157</v>
      </c>
      <c r="H24" s="12">
        <v>3.0</v>
      </c>
      <c r="I24" s="12" t="s">
        <v>144</v>
      </c>
      <c r="J24" s="12"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IFERROR(__xludf.DUMMYFUNCTION("IF(REGEXMATCH($B24,P$1),$D24,"""")"),"Construct")</f>
        <v>Construct</v>
      </c>
      <c r="Q24" s="14">
        <f>IFERROR(__xludf.DUMMYFUNCTION("IF($A24="""","""",LEN(REGEXREPLACE($I24,"",\s?"","""")))"),4.0)</f>
        <v>4</v>
      </c>
      <c r="R24" s="15" t="s">
        <v>158</v>
      </c>
      <c r="S24" s="17" t="s">
        <v>159</v>
      </c>
      <c r="T24" s="14"/>
      <c r="U24" s="14"/>
      <c r="V24" s="14"/>
      <c r="W24" s="14"/>
      <c r="X24" s="14"/>
      <c r="Y24" s="14"/>
      <c r="Z24" s="14"/>
      <c r="AA24" s="14"/>
      <c r="AB24" s="14"/>
    </row>
    <row r="25" hidden="1">
      <c r="A25" s="20" t="s">
        <v>160</v>
      </c>
      <c r="B25" s="11" t="s">
        <v>15</v>
      </c>
      <c r="C25" s="12">
        <v>2.0</v>
      </c>
      <c r="D25" s="19" t="s">
        <v>35</v>
      </c>
      <c r="E25" s="20" t="s">
        <v>161</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162</v>
      </c>
      <c r="H25" s="19">
        <v>4.0</v>
      </c>
      <c r="I25" s="19" t="s">
        <v>92</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163</v>
      </c>
      <c r="B26" s="11" t="s">
        <v>15</v>
      </c>
      <c r="C26" s="12">
        <v>2.0</v>
      </c>
      <c r="D26" s="12" t="s">
        <v>47</v>
      </c>
      <c r="E26" s="10" t="s">
        <v>164</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165</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166</v>
      </c>
      <c r="B27" s="18" t="s">
        <v>15</v>
      </c>
      <c r="C27" s="19">
        <v>2.0</v>
      </c>
      <c r="D27" s="19" t="s">
        <v>167</v>
      </c>
      <c r="E27" s="33" t="s">
        <v>168</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169</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5" t="s">
        <v>170</v>
      </c>
      <c r="B28" s="10" t="s">
        <v>15</v>
      </c>
      <c r="C28" s="12">
        <v>1.0</v>
      </c>
      <c r="D28" s="12" t="s">
        <v>77</v>
      </c>
      <c r="E28" s="20" t="s">
        <v>171</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172</v>
      </c>
      <c r="H28" s="12">
        <v>6.0</v>
      </c>
      <c r="I28" s="12" t="s">
        <v>173</v>
      </c>
      <c r="J28" s="19"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IFERROR(__xludf.DUMMYFUNCTION("IF($A28="""","""",LEN(REGEXREPLACE($I28,"",\s?"","""")))"),7.0)</f>
        <v>7</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181</v>
      </c>
      <c r="E30" s="10" t="s">
        <v>182</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Crystal|.*crystal.*b"&amp;"ury""),""Empty-Crystal"","""")&amp;IF(REGEXMATCH($E30,""Move|move""),""Move"","""")"),"Ramp ")</f>
        <v>Ramp </v>
      </c>
      <c r="G30" s="13" t="s">
        <v>183</v>
      </c>
      <c r="H30" s="12">
        <v>2.0</v>
      </c>
      <c r="I30" s="12" t="s">
        <v>144</v>
      </c>
      <c r="J30" s="12" t="s">
        <v>33</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IFERROR(__xludf.DUMMYFUNCTION("IF(REGEXMATCH($B30,P$1),$D30,"""")"),"Angel Plant")</f>
        <v>Angel Plant</v>
      </c>
      <c r="Q30" s="14">
        <f>IFERROR(__xludf.DUMMYFUNCTION("IF($A30="""","""",LEN(REGEXREPLACE($I30,"",\s?"","""")))"),4.0)</f>
        <v>4</v>
      </c>
      <c r="R30" s="15" t="s">
        <v>184</v>
      </c>
      <c r="S30" s="17" t="s">
        <v>185</v>
      </c>
      <c r="T30" s="14"/>
      <c r="U30" s="14"/>
      <c r="V30" s="14"/>
      <c r="W30" s="14"/>
      <c r="X30" s="14"/>
      <c r="Y30" s="14"/>
      <c r="Z30" s="14"/>
      <c r="AA30" s="14"/>
      <c r="AB30" s="14"/>
    </row>
    <row r="31">
      <c r="A31" s="10" t="s">
        <v>186</v>
      </c>
      <c r="B31" s="10" t="s">
        <v>15</v>
      </c>
      <c r="C31" s="12">
        <v>1.0</v>
      </c>
      <c r="D31" s="12" t="s">
        <v>187</v>
      </c>
      <c r="E31" s="2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Crystal|.*crystal.*b"&amp;"ury""),""Empty-Crystal"","""")&amp;IF(REGEXMATCH($E31,""Move|move""),""Move"","""")"),"Divine ")</f>
        <v>Divine </v>
      </c>
      <c r="G31" s="21" t="s">
        <v>189</v>
      </c>
      <c r="H31" s="12">
        <v>2.0</v>
      </c>
      <c r="I31" s="12" t="s">
        <v>32</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IFERROR(__xludf.DUMMYFUNCTION("IF(REGEXMATCH($B31,P$1),$D31,"""")"),"Undead Warrior")</f>
        <v>Undead Warrior</v>
      </c>
      <c r="Q31" s="14">
        <f>IFERROR(__xludf.DUMMYFUNCTION("IF($A31="""","""",LEN(REGEXREPLACE($I31,"",\s?"","""")))"),1.0)</f>
        <v>1</v>
      </c>
      <c r="R31" s="15" t="s">
        <v>190</v>
      </c>
      <c r="S31" s="17" t="s">
        <v>191</v>
      </c>
      <c r="T31" s="14"/>
      <c r="U31" s="14"/>
      <c r="V31" s="14"/>
      <c r="W31" s="14"/>
      <c r="X31" s="14"/>
      <c r="Y31" s="14"/>
      <c r="Z31" s="14"/>
      <c r="AA31" s="14"/>
      <c r="AB31" s="14"/>
    </row>
    <row r="32">
      <c r="A32" s="10" t="s">
        <v>192</v>
      </c>
      <c r="B32" s="10" t="s">
        <v>15</v>
      </c>
      <c r="C32" s="12">
        <v>1.0</v>
      </c>
      <c r="D32" s="12" t="s">
        <v>104</v>
      </c>
      <c r="E32" s="10" t="s">
        <v>193</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13" t="s">
        <v>194</v>
      </c>
      <c r="H32" s="12">
        <v>0.0</v>
      </c>
      <c r="I32" s="12" t="s">
        <v>56</v>
      </c>
      <c r="J32" s="12" t="s">
        <v>39</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IFERROR(__xludf.DUMMYFUNCTION("IF(REGEXMATCH($B32,P$1),$D32,"""")"),"Animal")</f>
        <v>Animal</v>
      </c>
      <c r="Q32" s="14">
        <f>IFERROR(__xludf.DUMMYFUNCTION("IF($A32="""","""",LEN(REGEXREPLACE($I32,"",\s?"","""")))"),3.0)</f>
        <v>3</v>
      </c>
      <c r="R32" s="15" t="s">
        <v>195</v>
      </c>
      <c r="S32" s="17" t="s">
        <v>196</v>
      </c>
      <c r="T32" s="14"/>
      <c r="U32" s="14"/>
      <c r="V32" s="14"/>
      <c r="W32" s="14"/>
      <c r="X32" s="14"/>
      <c r="Y32" s="14"/>
      <c r="Z32" s="14"/>
      <c r="AA32" s="14"/>
      <c r="AB32" s="14"/>
    </row>
    <row r="33" hidden="1">
      <c r="A33" s="20" t="s">
        <v>197</v>
      </c>
      <c r="B33" s="11" t="s">
        <v>15</v>
      </c>
      <c r="C33" s="12">
        <v>2.0</v>
      </c>
      <c r="D33" s="19" t="s">
        <v>77</v>
      </c>
      <c r="E33" s="20" t="s">
        <v>198</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199</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200</v>
      </c>
      <c r="B34" s="10" t="s">
        <v>15</v>
      </c>
      <c r="C34" s="12">
        <v>1.0</v>
      </c>
      <c r="D34" s="12" t="s">
        <v>121</v>
      </c>
      <c r="E34" s="10" t="s">
        <v>201</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202</v>
      </c>
      <c r="H34" s="12">
        <v>4.0</v>
      </c>
      <c r="I34" s="12" t="s">
        <v>144</v>
      </c>
      <c r="J34" s="12" t="s">
        <v>33</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 Construct")</f>
        <v>Animal Construct</v>
      </c>
      <c r="Q34" s="14">
        <f>IFERROR(__xludf.DUMMYFUNCTION("IF($A34="""","""",LEN(REGEXREPLACE($I34,"",\s?"","""")))"),4.0)</f>
        <v>4</v>
      </c>
      <c r="R34" s="15" t="s">
        <v>203</v>
      </c>
      <c r="S34" s="17" t="s">
        <v>204</v>
      </c>
      <c r="T34" s="14"/>
      <c r="U34" s="14"/>
      <c r="V34" s="14"/>
      <c r="W34" s="14"/>
      <c r="X34" s="14"/>
      <c r="Y34" s="14"/>
      <c r="Z34" s="14"/>
      <c r="AA34" s="14"/>
      <c r="AB34" s="14"/>
    </row>
    <row r="35">
      <c r="A35" s="10" t="s">
        <v>205</v>
      </c>
      <c r="B35" s="10" t="s">
        <v>15</v>
      </c>
      <c r="C35" s="12">
        <v>1.0</v>
      </c>
      <c r="D35" s="12" t="s">
        <v>206</v>
      </c>
      <c r="E35" s="10"/>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207</v>
      </c>
      <c r="H35" s="12">
        <v>4.0</v>
      </c>
      <c r="I35" s="12" t="s">
        <v>208</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IFERROR(__xludf.DUMMYFUNCTION("IF(REGEXMATCH($B35,P$1),$D35,"""")"),"Angel Animal")</f>
        <v>Angel Animal</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92</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4"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35"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99</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t="s">
        <v>226</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Crystal|.*crystal.*b"&amp;"ury""),""Empty-Crystal"","""")&amp;IF(REGEXMATCH($E40,""Move|move""),""Move"","""")"),"Warrior Demon Demon ")</f>
        <v>Warrior Demon Demon </v>
      </c>
      <c r="G40" s="13" t="s">
        <v>227</v>
      </c>
      <c r="H40" s="12">
        <v>3.0</v>
      </c>
      <c r="I40" s="12" t="s">
        <v>208</v>
      </c>
      <c r="J40" s="12" t="s">
        <v>69</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Hunter")</f>
        <v>Angel Hunter</v>
      </c>
      <c r="Q40" s="14">
        <f>IFERROR(__xludf.DUMMYFUNCTION("IF($A40="""","""",LEN(REGEXREPLACE($I40,"",\s?"","""")))"),4.0)</f>
        <v>4</v>
      </c>
      <c r="R40" s="15" t="s">
        <v>228</v>
      </c>
      <c r="S40" s="17" t="s">
        <v>229</v>
      </c>
      <c r="T40" s="17" t="s">
        <v>230</v>
      </c>
      <c r="U40" s="14"/>
      <c r="V40" s="14"/>
      <c r="W40" s="14"/>
      <c r="X40" s="14"/>
      <c r="Y40" s="14"/>
      <c r="Z40" s="14"/>
      <c r="AA40" s="14"/>
      <c r="AB40" s="14"/>
    </row>
    <row r="41">
      <c r="A41" s="10" t="s">
        <v>231</v>
      </c>
      <c r="B41" s="10" t="s">
        <v>15</v>
      </c>
      <c r="C41" s="12">
        <v>1.0</v>
      </c>
      <c r="D41" s="12" t="s">
        <v>232</v>
      </c>
      <c r="E41" s="33" t="s">
        <v>233</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Crystal|.*crystal.*b"&amp;"ury""),""Empty-Crystal"","""")&amp;IF(REGEXMATCH($E41,""Move|move""),""Move"","""")"),"Divine ")</f>
        <v>Divine </v>
      </c>
      <c r="G41" s="13" t="s">
        <v>234</v>
      </c>
      <c r="H41" s="12">
        <v>6.0</v>
      </c>
      <c r="I41" s="12" t="s">
        <v>63</v>
      </c>
      <c r="J41" s="12" t="s">
        <v>33</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IFERROR(__xludf.DUMMYFUNCTION("IF(REGEXMATCH($B41,P$1),$D41,"""")"),"Construct Warrior")</f>
        <v>Construct Warrior</v>
      </c>
      <c r="Q41" s="14">
        <f>IFERROR(__xludf.DUMMYFUNCTION("IF($A41="""","""",LEN(REGEXREPLACE($I41,"",\s?"","""")))"),6.0)</f>
        <v>6</v>
      </c>
      <c r="R41" s="15" t="s">
        <v>235</v>
      </c>
      <c r="S41" s="17" t="s">
        <v>236</v>
      </c>
      <c r="T41" s="14"/>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144</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f>
        <v/>
      </c>
      <c r="G43" s="13" t="s">
        <v>241</v>
      </c>
      <c r="H43" s="12">
        <v>9.0</v>
      </c>
      <c r="I43" s="12" t="s">
        <v>117</v>
      </c>
      <c r="J43" s="12" t="s">
        <v>69</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Spirit")</f>
        <v>Construct Spirit</v>
      </c>
      <c r="Q43" s="14">
        <f>IFERROR(__xludf.DUMMYFUNCTION("IF($A43="""","""",LEN(REGEXREPLACE($I43,"",\s?"","""")))"),6.0)</f>
        <v>6</v>
      </c>
      <c r="R43" s="15" t="s">
        <v>242</v>
      </c>
      <c r="S43" s="17" t="s">
        <v>243</v>
      </c>
      <c r="T43" s="14"/>
      <c r="U43" s="14"/>
      <c r="V43" s="14"/>
      <c r="W43" s="14"/>
      <c r="X43" s="14"/>
      <c r="Y43" s="14"/>
      <c r="Z43" s="14"/>
      <c r="AA43" s="14"/>
      <c r="AB43" s="14"/>
    </row>
    <row r="44" hidden="1">
      <c r="A44" s="20" t="s">
        <v>244</v>
      </c>
      <c r="B44" s="11" t="s">
        <v>15</v>
      </c>
      <c r="C44" s="12">
        <v>2.0</v>
      </c>
      <c r="D44" s="19" t="s">
        <v>245</v>
      </c>
      <c r="E44" s="20" t="s">
        <v>246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247</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27" t="s">
        <v>248</v>
      </c>
      <c r="B45" s="10" t="s">
        <v>15</v>
      </c>
      <c r="C45" s="12">
        <v>1.0</v>
      </c>
      <c r="D45" s="12" t="s">
        <v>245</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249</v>
      </c>
      <c r="H45" s="24">
        <v>3.0</v>
      </c>
      <c r="I45" s="12" t="s">
        <v>32</v>
      </c>
      <c r="J45" s="24" t="s">
        <v>69</v>
      </c>
      <c r="L45" s="12" t="s">
        <v>245</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Insect")</f>
        <v>Construct Insect</v>
      </c>
      <c r="Q45" s="14">
        <f>IFERROR(__xludf.DUMMYFUNCTION("IF($A45="""","""",LEN(REGEXREPLACE($I45,"",\s?"","""")))"),1.0)</f>
        <v>1</v>
      </c>
      <c r="S45" s="14"/>
      <c r="T45" s="14"/>
      <c r="U45" s="14"/>
      <c r="V45" s="14"/>
      <c r="W45" s="14"/>
      <c r="X45" s="14"/>
      <c r="Y45" s="14"/>
      <c r="Z45" s="14"/>
      <c r="AA45" s="14"/>
      <c r="AB45" s="14"/>
    </row>
    <row r="46" hidden="1">
      <c r="A46" s="35" t="s">
        <v>250</v>
      </c>
      <c r="B46" s="18" t="s">
        <v>15</v>
      </c>
      <c r="C46" s="19">
        <v>2.0</v>
      </c>
      <c r="D46" s="19" t="s">
        <v>251</v>
      </c>
      <c r="E46" s="20" t="s">
        <v>252</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253</v>
      </c>
      <c r="H46" s="19">
        <v>2.0</v>
      </c>
      <c r="I46" s="19" t="s">
        <v>99</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254</v>
      </c>
      <c r="B47" s="11" t="s">
        <v>15</v>
      </c>
      <c r="C47" s="12">
        <v>2.0</v>
      </c>
      <c r="D47" s="19" t="s">
        <v>44</v>
      </c>
      <c r="E47" s="20" t="s">
        <v>255</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256</v>
      </c>
      <c r="H47" s="19">
        <v>1.0</v>
      </c>
      <c r="I47" s="19" t="s">
        <v>92</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257</v>
      </c>
      <c r="B48" s="10" t="s">
        <v>258</v>
      </c>
      <c r="C48" s="12">
        <v>1.0</v>
      </c>
      <c r="D48" s="12" t="s">
        <v>221</v>
      </c>
      <c r="E48" s="10" t="s">
        <v>259</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260</v>
      </c>
      <c r="H48" s="12">
        <v>2.0</v>
      </c>
      <c r="I48" s="12" t="s">
        <v>261</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262</v>
      </c>
      <c r="S48" s="17" t="s">
        <v>263</v>
      </c>
      <c r="T48" s="14"/>
      <c r="U48" s="14"/>
      <c r="V48" s="14"/>
      <c r="W48" s="14"/>
      <c r="X48" s="14"/>
      <c r="Y48" s="14"/>
      <c r="Z48" s="14"/>
      <c r="AA48" s="14"/>
      <c r="AB48" s="14"/>
    </row>
    <row r="49" hidden="1">
      <c r="A49" s="10" t="s">
        <v>264</v>
      </c>
      <c r="B49" s="10" t="s">
        <v>258</v>
      </c>
      <c r="C49" s="12">
        <v>2.0</v>
      </c>
      <c r="D49" s="12" t="s">
        <v>221</v>
      </c>
      <c r="E49" s="10" t="s">
        <v>265</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266</v>
      </c>
      <c r="H49" s="12">
        <v>7.0</v>
      </c>
      <c r="I49" s="12" t="s">
        <v>267</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268</v>
      </c>
      <c r="B50" s="10" t="s">
        <v>258</v>
      </c>
      <c r="C50" s="12">
        <v>2.0</v>
      </c>
      <c r="D50" s="12" t="s">
        <v>89</v>
      </c>
      <c r="E50" s="10" t="s">
        <v>269</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270</v>
      </c>
      <c r="H50" s="12">
        <v>4.0</v>
      </c>
      <c r="I50" s="12" t="s">
        <v>208</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271</v>
      </c>
      <c r="B51" s="20" t="s">
        <v>258</v>
      </c>
      <c r="C51" s="19">
        <v>0.0</v>
      </c>
      <c r="D51" s="19" t="s">
        <v>272</v>
      </c>
      <c r="E51" s="20" t="s">
        <v>273</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274</v>
      </c>
      <c r="H51" s="19">
        <v>4.0</v>
      </c>
      <c r="I51" s="19" t="s">
        <v>275</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276</v>
      </c>
      <c r="B52" s="10" t="s">
        <v>258</v>
      </c>
      <c r="C52" s="12">
        <v>1.0</v>
      </c>
      <c r="D52" s="12" t="s">
        <v>277</v>
      </c>
      <c r="E52" s="10" t="s">
        <v>278</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279</v>
      </c>
      <c r="H52" s="12">
        <v>5.0</v>
      </c>
      <c r="I52" s="12" t="s">
        <v>280</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281</v>
      </c>
      <c r="S52" s="37" t="s">
        <v>282</v>
      </c>
      <c r="T52" s="14"/>
      <c r="U52" s="14"/>
      <c r="V52" s="14"/>
      <c r="W52" s="14"/>
      <c r="X52" s="14"/>
      <c r="Y52" s="14"/>
      <c r="Z52" s="14"/>
      <c r="AA52" s="14"/>
      <c r="AB52" s="14"/>
    </row>
    <row r="53">
      <c r="A53" s="10" t="s">
        <v>283</v>
      </c>
      <c r="B53" s="10" t="s">
        <v>258</v>
      </c>
      <c r="C53" s="12">
        <v>1.0</v>
      </c>
      <c r="D53" s="12" t="s">
        <v>284</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285</v>
      </c>
      <c r="H53" s="12">
        <v>2.0</v>
      </c>
      <c r="I53" s="12" t="s">
        <v>261</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286</v>
      </c>
      <c r="S53" s="17" t="s">
        <v>287</v>
      </c>
      <c r="T53" s="14"/>
      <c r="U53" s="14"/>
      <c r="V53" s="14"/>
      <c r="W53" s="14"/>
      <c r="X53" s="14"/>
      <c r="Y53" s="14"/>
      <c r="Z53" s="14"/>
      <c r="AA53" s="14"/>
      <c r="AB53" s="14"/>
    </row>
    <row r="54" hidden="1">
      <c r="A54" s="20" t="s">
        <v>288</v>
      </c>
      <c r="B54" s="20" t="s">
        <v>258</v>
      </c>
      <c r="C54" s="19">
        <v>2.0</v>
      </c>
      <c r="D54" s="19" t="s">
        <v>141</v>
      </c>
      <c r="E54" s="20" t="s">
        <v>289</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290</v>
      </c>
      <c r="H54" s="19">
        <v>6.0</v>
      </c>
      <c r="I54" s="19" t="s">
        <v>275</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291</v>
      </c>
      <c r="B55" s="20" t="s">
        <v>292</v>
      </c>
      <c r="C55" s="19">
        <v>2.0</v>
      </c>
      <c r="D55" s="19" t="s">
        <v>135</v>
      </c>
      <c r="E55" s="20" t="s">
        <v>293</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294</v>
      </c>
      <c r="H55" s="19">
        <v>3.0</v>
      </c>
      <c r="I55" s="19" t="s">
        <v>295</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296</v>
      </c>
      <c r="B56" s="10" t="s">
        <v>292</v>
      </c>
      <c r="C56" s="12">
        <v>2.0</v>
      </c>
      <c r="D56" s="12" t="s">
        <v>297</v>
      </c>
      <c r="E56" s="10" t="s">
        <v>298</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299</v>
      </c>
      <c r="H56" s="12">
        <v>4.0</v>
      </c>
      <c r="I56" s="12" t="s">
        <v>300</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301</v>
      </c>
      <c r="B57" s="20" t="s">
        <v>292</v>
      </c>
      <c r="C57" s="19">
        <v>1.0</v>
      </c>
      <c r="D57" s="19" t="s">
        <v>232</v>
      </c>
      <c r="E57" s="20" t="s">
        <v>302</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303</v>
      </c>
      <c r="H57" s="19">
        <v>4.0</v>
      </c>
      <c r="I57" s="19" t="s">
        <v>304</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305</v>
      </c>
      <c r="S57" s="17" t="s">
        <v>306</v>
      </c>
      <c r="T57" s="14"/>
      <c r="U57" s="14"/>
      <c r="V57" s="14"/>
      <c r="W57" s="14"/>
      <c r="X57" s="14"/>
      <c r="Y57" s="14"/>
      <c r="Z57" s="14"/>
      <c r="AA57" s="14"/>
      <c r="AB57" s="14"/>
    </row>
    <row r="58">
      <c r="A58" s="10" t="s">
        <v>307</v>
      </c>
      <c r="B58" s="10" t="s">
        <v>292</v>
      </c>
      <c r="C58" s="12">
        <v>1.0</v>
      </c>
      <c r="D58" s="12" t="s">
        <v>308</v>
      </c>
      <c r="E58" s="10" t="s">
        <v>309</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310</v>
      </c>
      <c r="H58" s="12">
        <v>3.0</v>
      </c>
      <c r="I58" s="12" t="s">
        <v>311</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312</v>
      </c>
      <c r="S58" s="17" t="s">
        <v>313</v>
      </c>
      <c r="T58" s="14"/>
      <c r="U58" s="14"/>
      <c r="V58" s="14"/>
      <c r="W58" s="14"/>
      <c r="X58" s="14"/>
      <c r="Y58" s="14"/>
      <c r="Z58" s="14"/>
      <c r="AA58" s="14"/>
      <c r="AB58" s="14"/>
    </row>
    <row r="59">
      <c r="A59" s="10" t="s">
        <v>314</v>
      </c>
      <c r="B59" s="10" t="s">
        <v>292</v>
      </c>
      <c r="C59" s="12">
        <v>1.0</v>
      </c>
      <c r="D59" s="12" t="s">
        <v>315</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316</v>
      </c>
      <c r="H59" s="12">
        <v>2.0</v>
      </c>
      <c r="I59" s="12" t="s">
        <v>317</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318</v>
      </c>
      <c r="S59" s="17" t="s">
        <v>319</v>
      </c>
      <c r="T59" s="14"/>
      <c r="U59" s="14"/>
      <c r="V59" s="14"/>
      <c r="W59" s="14"/>
      <c r="X59" s="14"/>
      <c r="Y59" s="14"/>
      <c r="Z59" s="14"/>
      <c r="AA59" s="14"/>
      <c r="AB59" s="14"/>
    </row>
    <row r="60" hidden="1">
      <c r="A60" s="25" t="s">
        <v>320</v>
      </c>
      <c r="B60" s="10" t="s">
        <v>292</v>
      </c>
      <c r="C60" s="12">
        <v>2.0</v>
      </c>
      <c r="D60" s="12" t="s">
        <v>141</v>
      </c>
      <c r="E60" s="10" t="s">
        <v>321</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322</v>
      </c>
      <c r="H60" s="12">
        <v>3.0</v>
      </c>
      <c r="I60" s="12" t="s">
        <v>311</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323</v>
      </c>
      <c r="B61" s="38" t="s">
        <v>292</v>
      </c>
      <c r="C61" s="19">
        <v>2.0</v>
      </c>
      <c r="D61" s="19" t="s">
        <v>35</v>
      </c>
      <c r="E61" s="20" t="s">
        <v>324</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325</v>
      </c>
      <c r="H61" s="19">
        <v>3.0</v>
      </c>
      <c r="I61" s="19" t="s">
        <v>311</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326</v>
      </c>
      <c r="B62" s="10" t="s">
        <v>327</v>
      </c>
      <c r="C62" s="12">
        <v>2.0</v>
      </c>
      <c r="D62" s="12" t="s">
        <v>181</v>
      </c>
      <c r="E62" s="10" t="s">
        <v>328</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329</v>
      </c>
      <c r="H62" s="12">
        <v>3.0</v>
      </c>
      <c r="I62" s="12" t="s">
        <v>330</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331</v>
      </c>
      <c r="B63" s="20" t="s">
        <v>327</v>
      </c>
      <c r="C63" s="19">
        <v>2.0</v>
      </c>
      <c r="D63" s="19" t="s">
        <v>332</v>
      </c>
      <c r="E63" s="20" t="s">
        <v>333</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334</v>
      </c>
      <c r="H63" s="19">
        <v>6.0</v>
      </c>
      <c r="I63" s="19" t="s">
        <v>335</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336</v>
      </c>
      <c r="B64" s="10" t="s">
        <v>327</v>
      </c>
      <c r="C64" s="12">
        <v>1.0</v>
      </c>
      <c r="D64" s="12" t="s">
        <v>337</v>
      </c>
      <c r="E64" s="20" t="s">
        <v>338</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339</v>
      </c>
      <c r="H64" s="12">
        <v>3.0</v>
      </c>
      <c r="I64" s="12" t="s">
        <v>340</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341</v>
      </c>
      <c r="S64" s="17" t="s">
        <v>342</v>
      </c>
      <c r="T64" s="14"/>
      <c r="U64" s="14"/>
      <c r="V64" s="14"/>
      <c r="W64" s="14"/>
      <c r="X64" s="14"/>
      <c r="Y64" s="14"/>
      <c r="Z64" s="14"/>
      <c r="AA64" s="14"/>
      <c r="AB64" s="14"/>
    </row>
    <row r="65" hidden="1">
      <c r="A65" s="25" t="s">
        <v>343</v>
      </c>
      <c r="B65" s="10" t="s">
        <v>327</v>
      </c>
      <c r="C65" s="12">
        <v>2.0</v>
      </c>
      <c r="D65" s="12" t="s">
        <v>344</v>
      </c>
      <c r="E65" s="10" t="s">
        <v>345</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346</v>
      </c>
      <c r="H65" s="12">
        <v>4.0</v>
      </c>
      <c r="I65" s="12" t="s">
        <v>347</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348</v>
      </c>
      <c r="B66" s="10" t="s">
        <v>327</v>
      </c>
      <c r="C66" s="19">
        <v>1.0</v>
      </c>
      <c r="D66" s="12" t="s">
        <v>349</v>
      </c>
      <c r="E66" s="10" t="s">
        <v>350</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351</v>
      </c>
      <c r="H66" s="12">
        <v>0.0</v>
      </c>
      <c r="I66" s="12" t="s">
        <v>352</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353</v>
      </c>
      <c r="S66" s="17" t="s">
        <v>354</v>
      </c>
      <c r="T66" s="14"/>
      <c r="U66" s="14"/>
      <c r="V66" s="14"/>
      <c r="W66" s="14"/>
      <c r="X66" s="14"/>
      <c r="Y66" s="14"/>
      <c r="Z66" s="14"/>
      <c r="AA66" s="14"/>
      <c r="AB66" s="14"/>
    </row>
    <row r="67" hidden="1">
      <c r="A67" s="20" t="s">
        <v>355</v>
      </c>
      <c r="B67" s="39" t="s">
        <v>327</v>
      </c>
      <c r="C67" s="19">
        <v>2.0</v>
      </c>
      <c r="D67" s="19" t="s">
        <v>356</v>
      </c>
      <c r="E67" s="20" t="s">
        <v>357</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358</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359</v>
      </c>
      <c r="B68" s="20" t="s">
        <v>327</v>
      </c>
      <c r="C68" s="19">
        <v>2.0</v>
      </c>
      <c r="D68" s="19" t="s">
        <v>360</v>
      </c>
      <c r="E68" s="20" t="s">
        <v>361</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362</v>
      </c>
      <c r="H68" s="19">
        <v>3.0</v>
      </c>
      <c r="I68" s="19" t="s">
        <v>330</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363</v>
      </c>
      <c r="B69" s="10" t="s">
        <v>327</v>
      </c>
      <c r="C69" s="12">
        <v>1.0</v>
      </c>
      <c r="D69" s="12" t="s">
        <v>364</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365</v>
      </c>
      <c r="H69" s="12">
        <v>2.0</v>
      </c>
      <c r="I69" s="12" t="s">
        <v>366</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367</v>
      </c>
      <c r="S69" s="17" t="s">
        <v>368</v>
      </c>
      <c r="T69" s="17" t="s">
        <v>369</v>
      </c>
      <c r="U69" s="17" t="s">
        <v>370</v>
      </c>
      <c r="V69" s="14"/>
      <c r="W69" s="14"/>
      <c r="X69" s="14"/>
      <c r="Y69" s="14"/>
      <c r="Z69" s="14"/>
      <c r="AA69" s="14"/>
      <c r="AB69" s="14"/>
    </row>
    <row r="70" hidden="1">
      <c r="A70" s="10" t="s">
        <v>371</v>
      </c>
      <c r="B70" s="10" t="s">
        <v>372</v>
      </c>
      <c r="C70" s="12">
        <v>2.0</v>
      </c>
      <c r="D70" s="12" t="s">
        <v>135</v>
      </c>
      <c r="E70" s="10" t="s">
        <v>373</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374</v>
      </c>
      <c r="H70" s="12">
        <v>4.0</v>
      </c>
      <c r="I70" s="12" t="s">
        <v>375</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376</v>
      </c>
      <c r="B71" s="10" t="s">
        <v>372</v>
      </c>
      <c r="C71" s="12">
        <v>1.0</v>
      </c>
      <c r="D71" s="12" t="s">
        <v>35</v>
      </c>
      <c r="E71" s="10" t="s">
        <v>377</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378</v>
      </c>
      <c r="H71" s="12">
        <v>4.0</v>
      </c>
      <c r="I71" s="12" t="s">
        <v>379</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380</v>
      </c>
      <c r="S71" s="17" t="s">
        <v>381</v>
      </c>
      <c r="T71" s="17" t="s">
        <v>382</v>
      </c>
      <c r="U71" s="17" t="s">
        <v>383</v>
      </c>
      <c r="V71" s="17" t="s">
        <v>384</v>
      </c>
      <c r="W71" s="17" t="s">
        <v>385</v>
      </c>
      <c r="X71" s="17" t="s">
        <v>386</v>
      </c>
      <c r="Y71" s="17" t="s">
        <v>387</v>
      </c>
      <c r="Z71" s="17" t="s">
        <v>388</v>
      </c>
      <c r="AA71" s="17" t="s">
        <v>389</v>
      </c>
      <c r="AB71" s="17" t="s">
        <v>390</v>
      </c>
    </row>
    <row r="72">
      <c r="A72" s="10" t="s">
        <v>391</v>
      </c>
      <c r="B72" s="10" t="s">
        <v>372</v>
      </c>
      <c r="C72" s="12">
        <v>1.0</v>
      </c>
      <c r="D72" s="12" t="s">
        <v>392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393</v>
      </c>
      <c r="H72" s="12">
        <v>2.0</v>
      </c>
      <c r="I72" s="12" t="s">
        <v>394</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395</v>
      </c>
      <c r="S72" s="17" t="s">
        <v>396</v>
      </c>
      <c r="T72" s="17" t="s">
        <v>397</v>
      </c>
      <c r="U72" s="17" t="s">
        <v>398</v>
      </c>
      <c r="V72" s="17" t="s">
        <v>399</v>
      </c>
      <c r="W72" s="17" t="s">
        <v>400</v>
      </c>
      <c r="X72" s="17" t="s">
        <v>401</v>
      </c>
      <c r="Y72" s="17" t="s">
        <v>402</v>
      </c>
      <c r="Z72" s="17" t="s">
        <v>403</v>
      </c>
      <c r="AA72" s="17" t="s">
        <v>404</v>
      </c>
      <c r="AB72" s="17" t="s">
        <v>405</v>
      </c>
    </row>
    <row r="73" hidden="1">
      <c r="A73" s="20" t="s">
        <v>406</v>
      </c>
      <c r="B73" s="20" t="s">
        <v>372</v>
      </c>
      <c r="C73" s="19">
        <v>2.0</v>
      </c>
      <c r="D73" s="19" t="s">
        <v>407</v>
      </c>
      <c r="E73" s="20" t="s">
        <v>408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409</v>
      </c>
      <c r="H73" s="19">
        <v>6.0</v>
      </c>
      <c r="I73" s="19" t="s">
        <v>410</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411</v>
      </c>
      <c r="B74" s="10" t="s">
        <v>372</v>
      </c>
      <c r="C74" s="12">
        <v>1.0</v>
      </c>
      <c r="D74" s="12" t="s">
        <v>221</v>
      </c>
      <c r="E74" s="10" t="s">
        <v>412</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413</v>
      </c>
      <c r="H74" s="12">
        <v>3.0</v>
      </c>
      <c r="I74" s="12" t="s">
        <v>414</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415</v>
      </c>
      <c r="S74" s="17" t="s">
        <v>416</v>
      </c>
      <c r="T74" s="17" t="s">
        <v>417</v>
      </c>
      <c r="U74" s="17" t="s">
        <v>418</v>
      </c>
      <c r="V74" s="17" t="s">
        <v>419</v>
      </c>
      <c r="W74" s="17" t="s">
        <v>420</v>
      </c>
      <c r="X74" s="17" t="s">
        <v>421</v>
      </c>
      <c r="Y74" s="17" t="s">
        <v>422</v>
      </c>
      <c r="Z74" s="14"/>
      <c r="AA74" s="14"/>
      <c r="AB74" s="14"/>
    </row>
    <row r="75" hidden="1">
      <c r="A75" s="20" t="s">
        <v>423</v>
      </c>
      <c r="B75" s="40" t="s">
        <v>11</v>
      </c>
      <c r="C75" s="19">
        <v>2.0</v>
      </c>
      <c r="D75" s="19" t="s">
        <v>44</v>
      </c>
      <c r="E75" s="20" t="s">
        <v>424</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425</v>
      </c>
      <c r="H75" s="19">
        <v>2.0</v>
      </c>
      <c r="I75" s="12" t="s">
        <v>426</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20" t="s">
        <v>427</v>
      </c>
      <c r="B76" s="10" t="s">
        <v>11</v>
      </c>
      <c r="C76" s="12">
        <v>1.0</v>
      </c>
      <c r="D76" s="24" t="s">
        <v>428</v>
      </c>
      <c r="E76" s="35" t="s">
        <v>429</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f>
        <v/>
      </c>
      <c r="G76" s="21" t="s">
        <v>430</v>
      </c>
      <c r="H76" s="24">
        <v>5.0</v>
      </c>
      <c r="I76" s="12" t="s">
        <v>431</v>
      </c>
      <c r="J76" s="24" t="s">
        <v>33</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IFERROR(__xludf.DUMMYFUNCTION("IF($A76="""","""",LEN(REGEXREPLACE($I76,"",\s?"","""")))"),5.0)</f>
        <v>5</v>
      </c>
      <c r="R76" s="15" t="s">
        <v>432</v>
      </c>
      <c r="S76" s="17" t="s">
        <v>433</v>
      </c>
      <c r="T76" s="17" t="s">
        <v>434</v>
      </c>
      <c r="U76" s="17" t="s">
        <v>435</v>
      </c>
      <c r="V76" s="17" t="s">
        <v>436</v>
      </c>
      <c r="W76" s="17" t="s">
        <v>437</v>
      </c>
      <c r="X76" s="17" t="s">
        <v>438</v>
      </c>
      <c r="Y76" s="17" t="s">
        <v>439</v>
      </c>
      <c r="Z76" s="17" t="s">
        <v>440</v>
      </c>
      <c r="AA76" s="17" t="s">
        <v>441</v>
      </c>
      <c r="AB76" s="17" t="s">
        <v>442</v>
      </c>
    </row>
    <row r="77" hidden="1">
      <c r="A77" s="10" t="s">
        <v>443</v>
      </c>
      <c r="B77" s="41" t="s">
        <v>11</v>
      </c>
      <c r="C77" s="12">
        <v>2.0</v>
      </c>
      <c r="D77" s="12" t="s">
        <v>308</v>
      </c>
      <c r="E77" s="10" t="s">
        <v>444</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445</v>
      </c>
      <c r="H77" s="12">
        <v>4.0</v>
      </c>
      <c r="I77" s="12" t="s">
        <v>446</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447</v>
      </c>
      <c r="B78" s="42" t="s">
        <v>11</v>
      </c>
      <c r="C78" s="19">
        <v>2.0</v>
      </c>
      <c r="D78" s="19" t="s">
        <v>428</v>
      </c>
      <c r="E78" s="20" t="s">
        <v>448</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449</v>
      </c>
      <c r="H78" s="19">
        <v>3.0</v>
      </c>
      <c r="I78" s="19" t="s">
        <v>426</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450</v>
      </c>
      <c r="B79" s="41" t="s">
        <v>11</v>
      </c>
      <c r="C79" s="12">
        <v>2.0</v>
      </c>
      <c r="D79" s="12" t="s">
        <v>221</v>
      </c>
      <c r="E79" s="10" t="s">
        <v>451</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452</v>
      </c>
      <c r="H79" s="12">
        <v>2.0</v>
      </c>
      <c r="I79" s="12" t="s">
        <v>453</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25" t="s">
        <v>454</v>
      </c>
      <c r="B80" s="10" t="s">
        <v>11</v>
      </c>
      <c r="C80" s="12">
        <v>1.0</v>
      </c>
      <c r="D80" s="12" t="s">
        <v>455</v>
      </c>
      <c r="E80" s="10" t="s">
        <v>456</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Crystal|.*crystal.*b"&amp;"ury""),""Empty-Crystal"","""")&amp;IF(REGEXMATCH($E80,""Move|move""),""Move"","""")"),"Elemental ")</f>
        <v>Elemental </v>
      </c>
      <c r="G80" s="13" t="s">
        <v>457</v>
      </c>
      <c r="H80" s="12">
        <v>1.0</v>
      </c>
      <c r="I80" s="12" t="s">
        <v>453</v>
      </c>
      <c r="J80" s="12" t="s">
        <v>33</v>
      </c>
      <c r="L80" s="14" t="str">
        <f>IFERROR(__xludf.DUMMYFUNCTION("IF(REGEXMATCH($B80,L$1),$D80,"""")"),"Spirit Wizard")</f>
        <v>Spirit Wizard</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IFERROR(__xludf.DUMMYFUNCTION("IF($A80="""","""",LEN(REGEXREPLACE($I80,"",\s?"","""")))"),1.0)</f>
        <v>1</v>
      </c>
      <c r="R80" s="15" t="s">
        <v>458</v>
      </c>
      <c r="S80" s="17" t="s">
        <v>459</v>
      </c>
      <c r="T80" s="17" t="s">
        <v>460</v>
      </c>
      <c r="U80" s="17" t="s">
        <v>461</v>
      </c>
      <c r="V80" s="17" t="s">
        <v>462</v>
      </c>
      <c r="W80" s="17" t="s">
        <v>463</v>
      </c>
      <c r="X80" s="17" t="s">
        <v>464</v>
      </c>
      <c r="Y80" s="17" t="s">
        <v>465</v>
      </c>
      <c r="Z80" s="16" t="s">
        <v>466</v>
      </c>
      <c r="AA80" s="17" t="s">
        <v>467</v>
      </c>
      <c r="AB80" s="17" t="s">
        <v>468</v>
      </c>
    </row>
    <row r="81" hidden="1">
      <c r="A81" s="20" t="s">
        <v>469</v>
      </c>
      <c r="B81" s="43" t="s">
        <v>11</v>
      </c>
      <c r="C81" s="19">
        <v>2.0</v>
      </c>
      <c r="D81" s="19" t="s">
        <v>470</v>
      </c>
      <c r="E81" s="20" t="s">
        <v>471</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472</v>
      </c>
      <c r="H81" s="19">
        <v>3.0</v>
      </c>
      <c r="I81" s="19" t="s">
        <v>426</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10" t="s">
        <v>473</v>
      </c>
      <c r="B82" s="10" t="s">
        <v>11</v>
      </c>
      <c r="C82" s="12">
        <v>1.0</v>
      </c>
      <c r="D82" s="12" t="s">
        <v>470</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44" t="s">
        <v>474</v>
      </c>
      <c r="H82" s="12">
        <v>3.0</v>
      </c>
      <c r="I82" s="12" t="s">
        <v>475</v>
      </c>
      <c r="J82" s="12" t="s">
        <v>33</v>
      </c>
      <c r="L82" s="14" t="str">
        <f>IFERROR(__xludf.DUMMYFUNCTION("IF(REGEXMATCH($B82,L$1),$D82,"""")"),"Human Warrior")</f>
        <v>Human Warrior</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IFERROR(__xludf.DUMMYFUNCTION("IF($A82="""","""",LEN(REGEXREPLACE($I82,"",\s?"","""")))"),2.0)</f>
        <v>2</v>
      </c>
      <c r="R82" s="15" t="s">
        <v>476</v>
      </c>
      <c r="S82" s="17" t="s">
        <v>477</v>
      </c>
      <c r="T82" s="17" t="s">
        <v>478</v>
      </c>
      <c r="U82" s="17" t="s">
        <v>479</v>
      </c>
      <c r="V82" s="17" t="s">
        <v>480</v>
      </c>
      <c r="W82" s="17" t="s">
        <v>481</v>
      </c>
      <c r="X82" s="17" t="s">
        <v>482</v>
      </c>
      <c r="Y82" s="17" t="s">
        <v>483</v>
      </c>
      <c r="Z82" s="17" t="s">
        <v>484</v>
      </c>
      <c r="AA82" s="17" t="s">
        <v>485</v>
      </c>
      <c r="AB82" s="17" t="s">
        <v>486</v>
      </c>
    </row>
    <row r="83">
      <c r="A83" s="20" t="s">
        <v>487</v>
      </c>
      <c r="B83" s="10" t="s">
        <v>11</v>
      </c>
      <c r="C83" s="12">
        <v>1.0</v>
      </c>
      <c r="D83" s="12" t="s">
        <v>44</v>
      </c>
      <c r="E83" s="10" t="s">
        <v>488</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f>
        <v/>
      </c>
      <c r="G83" s="13" t="s">
        <v>489</v>
      </c>
      <c r="H83" s="12">
        <v>1.0</v>
      </c>
      <c r="I83" s="45" t="s">
        <v>453</v>
      </c>
      <c r="J83" s="12" t="s">
        <v>33</v>
      </c>
      <c r="L83" s="14" t="str">
        <f>IFERROR(__xludf.DUMMYFUNCTION("IF(REGEXMATCH($B83,L$1),$D83,"""")"),"Human")</f>
        <v>Human</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490</v>
      </c>
      <c r="S83" s="17" t="s">
        <v>491</v>
      </c>
      <c r="T83" s="17" t="s">
        <v>492</v>
      </c>
      <c r="U83" s="17" t="s">
        <v>493</v>
      </c>
      <c r="V83" s="17" t="s">
        <v>494</v>
      </c>
      <c r="W83" s="17" t="s">
        <v>495</v>
      </c>
      <c r="X83" s="17" t="s">
        <v>496</v>
      </c>
      <c r="Y83" s="17" t="s">
        <v>497</v>
      </c>
      <c r="Z83" s="17" t="s">
        <v>498</v>
      </c>
      <c r="AA83" s="17" t="s">
        <v>499</v>
      </c>
      <c r="AB83" s="17" t="s">
        <v>500</v>
      </c>
    </row>
    <row r="84">
      <c r="A84" s="25" t="s">
        <v>501</v>
      </c>
      <c r="B84" s="10" t="s">
        <v>11</v>
      </c>
      <c r="C84" s="12">
        <v>1.0</v>
      </c>
      <c r="D84" s="12" t="s">
        <v>502</v>
      </c>
      <c r="E84" s="10" t="s">
        <v>503</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Crystal|.*crystal.*b"&amp;"ury""),""Empty-Crystal"","""")&amp;IF(REGEXMATCH($E84,""Move|move""),""Move"","""")"),"Ramp ")</f>
        <v>Ramp </v>
      </c>
      <c r="G84" s="13" t="s">
        <v>504</v>
      </c>
      <c r="H84" s="12">
        <v>5.0</v>
      </c>
      <c r="I84" s="12" t="s">
        <v>505</v>
      </c>
      <c r="J84" s="12" t="s">
        <v>33</v>
      </c>
      <c r="L84" s="14" t="str">
        <f>IFERROR(__xludf.DUMMYFUNCTION("IF(REGEXMATCH($B84,L$1),$D84,"""")"),"Dragon Human")</f>
        <v>Dragon Human</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IFERROR(__xludf.DUMMYFUNCTION("IF($A84="""","""",LEN(REGEXREPLACE($I84,"",\s?"","""")))"),6.0)</f>
        <v>6</v>
      </c>
      <c r="R84" s="15" t="s">
        <v>506</v>
      </c>
      <c r="S84" s="17" t="s">
        <v>507</v>
      </c>
      <c r="T84" s="17" t="s">
        <v>508</v>
      </c>
      <c r="U84" s="17" t="s">
        <v>509</v>
      </c>
      <c r="V84" s="17" t="s">
        <v>510</v>
      </c>
      <c r="W84" s="17" t="s">
        <v>511</v>
      </c>
      <c r="X84" s="17" t="s">
        <v>512</v>
      </c>
      <c r="Y84" s="17" t="s">
        <v>513</v>
      </c>
      <c r="Z84" s="17" t="s">
        <v>514</v>
      </c>
      <c r="AA84" s="17" t="s">
        <v>515</v>
      </c>
      <c r="AB84" s="17" t="s">
        <v>516</v>
      </c>
    </row>
    <row r="85">
      <c r="A85" s="10" t="s">
        <v>517</v>
      </c>
      <c r="B85" s="10" t="s">
        <v>11</v>
      </c>
      <c r="C85" s="12">
        <v>1.0</v>
      </c>
      <c r="D85" s="12" t="s">
        <v>407</v>
      </c>
      <c r="E85" s="10" t="s">
        <v>518</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Crystal|.*crystal.*b"&amp;"ury""),""Empty-Crystal"","""")&amp;IF(REGEXMATCH($E85,""Move|move""),""Move"","""")"),"Elemental ")</f>
        <v>Elemental </v>
      </c>
      <c r="G85" s="13" t="s">
        <v>519</v>
      </c>
      <c r="H85" s="12">
        <v>1.0</v>
      </c>
      <c r="I85" s="12" t="s">
        <v>475</v>
      </c>
      <c r="J85" s="12" t="s">
        <v>33</v>
      </c>
      <c r="L85" s="14" t="str">
        <f>IFERROR(__xludf.DUMMYFUNCTION("IF(REGEXMATCH($B85,L$1),$D85,"""")"),"Spirit")</f>
        <v>Spirit</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IFERROR(__xludf.DUMMYFUNCTION("IF($A85="""","""",LEN(REGEXREPLACE($I85,"",\s?"","""")))"),2.0)</f>
        <v>2</v>
      </c>
      <c r="R85" s="15" t="s">
        <v>520</v>
      </c>
      <c r="S85" s="17" t="s">
        <v>521</v>
      </c>
      <c r="T85" s="17" t="s">
        <v>522</v>
      </c>
      <c r="U85" s="17" t="s">
        <v>523</v>
      </c>
      <c r="V85" s="17" t="s">
        <v>524</v>
      </c>
      <c r="W85" s="17" t="s">
        <v>525</v>
      </c>
      <c r="X85" s="17" t="s">
        <v>526</v>
      </c>
      <c r="Y85" s="17" t="s">
        <v>527</v>
      </c>
      <c r="Z85" s="17" t="s">
        <v>528</v>
      </c>
      <c r="AA85" s="17" t="s">
        <v>529</v>
      </c>
      <c r="AB85" s="17" t="s">
        <v>530</v>
      </c>
    </row>
    <row r="86">
      <c r="A86" s="27" t="s">
        <v>531</v>
      </c>
      <c r="B86" s="10" t="s">
        <v>11</v>
      </c>
      <c r="C86" s="12">
        <v>1.0</v>
      </c>
      <c r="D86" s="24" t="s">
        <v>428</v>
      </c>
      <c r="E86" s="10" t="s">
        <v>532</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Crystal|.*crystal.*b"&amp;"ury""),""Empty-Crystal"","""")&amp;IF(REGEXMATCH($E86,""Move|move""),""Move"","""")"),"Unearth Aggro ")</f>
        <v>Unearth Aggro </v>
      </c>
      <c r="G86" s="13" t="s">
        <v>533</v>
      </c>
      <c r="H86" s="12">
        <v>2.0</v>
      </c>
      <c r="I86" s="12" t="s">
        <v>453</v>
      </c>
      <c r="J86" s="24" t="s">
        <v>33</v>
      </c>
      <c r="L86" s="14" t="str">
        <f>IFERROR(__xludf.DUMMYFUNCTION("IF(REGEXMATCH($B86,L$1),$D86,"""")"),"Dragon")</f>
        <v>Dragon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IFERROR(__xludf.DUMMYFUNCTION("IF($A86="""","""",LEN(REGEXREPLACE($I86,"",\s?"","""")))"),1.0)</f>
        <v>1</v>
      </c>
      <c r="R86" s="15" t="s">
        <v>534</v>
      </c>
      <c r="S86" s="17" t="s">
        <v>535</v>
      </c>
      <c r="T86" s="17" t="s">
        <v>536</v>
      </c>
      <c r="U86" s="17" t="s">
        <v>537</v>
      </c>
      <c r="V86" s="17" t="s">
        <v>538</v>
      </c>
      <c r="W86" s="14"/>
      <c r="X86" s="14"/>
      <c r="Y86" s="14"/>
      <c r="Z86" s="14"/>
      <c r="AA86" s="14"/>
      <c r="AB86" s="14"/>
    </row>
    <row r="87">
      <c r="A87" s="10" t="s">
        <v>539</v>
      </c>
      <c r="B87" s="10" t="s">
        <v>11</v>
      </c>
      <c r="C87" s="12">
        <v>1.0</v>
      </c>
      <c r="D87" s="12" t="s">
        <v>407</v>
      </c>
      <c r="E87" s="10" t="s">
        <v>540</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f>
        <v/>
      </c>
      <c r="G87" s="13" t="s">
        <v>541</v>
      </c>
      <c r="H87" s="12">
        <v>3.0</v>
      </c>
      <c r="I87" s="12" t="s">
        <v>542</v>
      </c>
      <c r="J87" s="19"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IFERROR(__xludf.DUMMYFUNCTION("IF($A87="""","""",LEN(REGEXREPLACE($I87,"",\s?"","""")))"),4.0)</f>
        <v>4</v>
      </c>
      <c r="R87" s="15" t="s">
        <v>543</v>
      </c>
      <c r="S87" s="17" t="s">
        <v>544</v>
      </c>
      <c r="T87" s="17" t="s">
        <v>545</v>
      </c>
      <c r="U87" s="17" t="s">
        <v>546</v>
      </c>
      <c r="V87" s="17" t="s">
        <v>547</v>
      </c>
      <c r="W87" s="17" t="s">
        <v>548</v>
      </c>
      <c r="X87" s="17" t="s">
        <v>549</v>
      </c>
      <c r="Y87" s="17" t="s">
        <v>550</v>
      </c>
      <c r="Z87" s="17" t="s">
        <v>551</v>
      </c>
      <c r="AA87" s="17" t="s">
        <v>552</v>
      </c>
      <c r="AB87" s="17" t="s">
        <v>553</v>
      </c>
    </row>
    <row r="88" hidden="1">
      <c r="A88" s="20" t="s">
        <v>554</v>
      </c>
      <c r="B88" s="46" t="s">
        <v>11</v>
      </c>
      <c r="C88" s="19">
        <v>2.0</v>
      </c>
      <c r="D88" s="19" t="s">
        <v>555</v>
      </c>
      <c r="E88" s="20" t="s">
        <v>556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7" t="s">
        <v>557</v>
      </c>
      <c r="H88" s="12">
        <v>3.0</v>
      </c>
      <c r="I88" s="12" t="s">
        <v>558</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559</v>
      </c>
      <c r="B89" s="48" t="s">
        <v>11</v>
      </c>
      <c r="C89" s="12">
        <v>2.0</v>
      </c>
      <c r="D89" s="12" t="s">
        <v>560</v>
      </c>
      <c r="E89" s="20" t="s">
        <v>561</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49" t="s">
        <v>562</v>
      </c>
      <c r="H89" s="12">
        <v>3.0</v>
      </c>
      <c r="I89" s="12" t="s">
        <v>542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0" t="s">
        <v>563</v>
      </c>
      <c r="B90" s="10" t="s">
        <v>11</v>
      </c>
      <c r="C90" s="12">
        <v>1.0</v>
      </c>
      <c r="D90" s="12" t="s">
        <v>564</v>
      </c>
      <c r="E90" s="10" t="s">
        <v>565</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f>
        <v/>
      </c>
      <c r="G90" s="21" t="s">
        <v>566</v>
      </c>
      <c r="H90" s="12">
        <v>4.0</v>
      </c>
      <c r="I90" s="12" t="s">
        <v>567</v>
      </c>
      <c r="J90" s="12" t="s">
        <v>33</v>
      </c>
      <c r="L90" s="14" t="str">
        <f>IFERROR(__xludf.DUMMYFUNCTION("IF(REGEXMATCH($B90,L$1),$D90,"""")"),"Dragon Spirit")</f>
        <v>Dragon Spirit</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IFERROR(__xludf.DUMMYFUNCTION("IF($A90="""","""",LEN(REGEXREPLACE($I90,"",\s?"","""")))"),4.0)</f>
        <v>4</v>
      </c>
      <c r="R90" s="15" t="s">
        <v>568</v>
      </c>
      <c r="S90" s="17" t="s">
        <v>569</v>
      </c>
      <c r="T90" s="17" t="s">
        <v>570</v>
      </c>
      <c r="U90" s="17" t="s">
        <v>571</v>
      </c>
      <c r="V90" s="17" t="s">
        <v>572</v>
      </c>
      <c r="W90" s="17" t="s">
        <v>573</v>
      </c>
      <c r="X90" s="17" t="s">
        <v>574</v>
      </c>
      <c r="Y90" s="17" t="s">
        <v>575</v>
      </c>
      <c r="Z90" s="17" t="s">
        <v>576</v>
      </c>
      <c r="AA90" s="17" t="s">
        <v>577</v>
      </c>
      <c r="AB90" s="17" t="s">
        <v>578</v>
      </c>
    </row>
    <row r="91">
      <c r="A91" s="20" t="s">
        <v>579</v>
      </c>
      <c r="B91" s="20" t="s">
        <v>11</v>
      </c>
      <c r="C91" s="19">
        <v>1.0</v>
      </c>
      <c r="D91" s="19" t="s">
        <v>428</v>
      </c>
      <c r="E91" s="20"/>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f>
        <v/>
      </c>
      <c r="G91" s="21" t="s">
        <v>580</v>
      </c>
      <c r="H91" s="19">
        <v>9.0</v>
      </c>
      <c r="I91" s="19" t="s">
        <v>581</v>
      </c>
      <c r="J91" s="12" t="s">
        <v>33</v>
      </c>
      <c r="L91" s="14" t="str">
        <f>IFERROR(__xludf.DUMMYFUNCTION("IF(REGEXMATCH($B91,L$1),$D91,"""")"),"Dragon")</f>
        <v>Dragon</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IFERROR(__xludf.DUMMYFUNCTION("IF($A91="""","""",LEN(REGEXREPLACE($I91,"",\s?"","""")))"),7.0)</f>
        <v>7</v>
      </c>
      <c r="R91" s="15" t="s">
        <v>582</v>
      </c>
      <c r="S91" s="17" t="s">
        <v>583</v>
      </c>
      <c r="T91" s="17" t="s">
        <v>584</v>
      </c>
      <c r="U91" s="17" t="s">
        <v>585</v>
      </c>
      <c r="V91" s="17" t="s">
        <v>586</v>
      </c>
      <c r="W91" s="17" t="s">
        <v>587</v>
      </c>
      <c r="X91" s="17" t="s">
        <v>588</v>
      </c>
      <c r="Y91" s="17" t="s">
        <v>589</v>
      </c>
      <c r="Z91" s="17" t="s">
        <v>590</v>
      </c>
      <c r="AA91" s="17" t="s">
        <v>591</v>
      </c>
      <c r="AB91" s="17" t="s">
        <v>592</v>
      </c>
    </row>
    <row r="92">
      <c r="A92" s="20" t="s">
        <v>593</v>
      </c>
      <c r="B92" s="20" t="s">
        <v>11</v>
      </c>
      <c r="C92" s="19">
        <v>1.0</v>
      </c>
      <c r="D92" s="19" t="s">
        <v>407</v>
      </c>
      <c r="E92" s="20" t="s">
        <v>594</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Crystal|.*crystal.*b"&amp;"ury""),""Empty-Crystal"","""")&amp;IF(REGEXMATCH($E92,""Move|move""),""Move"","""")"),"Unearth Move")</f>
        <v>Unearth Move</v>
      </c>
      <c r="G92" s="50"/>
      <c r="H92" s="19">
        <v>3.0</v>
      </c>
      <c r="I92" s="19" t="s">
        <v>567</v>
      </c>
      <c r="J92" s="19" t="s">
        <v>33</v>
      </c>
      <c r="L92" s="14" t="str">
        <f>IFERROR(__xludf.DUMMYFUNCTION("IF(REGEXMATCH($B92,L$1),$D92,"""")"),"Spirit")</f>
        <v>Spirit</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595</v>
      </c>
      <c r="S92" s="17" t="s">
        <v>596</v>
      </c>
      <c r="T92" s="17" t="s">
        <v>597</v>
      </c>
      <c r="U92" s="17" t="s">
        <v>598</v>
      </c>
      <c r="V92" s="17" t="s">
        <v>599</v>
      </c>
      <c r="W92" s="17" t="s">
        <v>600</v>
      </c>
      <c r="X92" s="17" t="s">
        <v>601</v>
      </c>
      <c r="Y92" s="17" t="s">
        <v>602</v>
      </c>
      <c r="Z92" s="17" t="s">
        <v>603</v>
      </c>
      <c r="AA92" s="17" t="s">
        <v>604</v>
      </c>
      <c r="AB92" s="17" t="s">
        <v>605</v>
      </c>
    </row>
    <row r="93">
      <c r="A93" s="20" t="s">
        <v>606</v>
      </c>
      <c r="B93" s="20" t="s">
        <v>11</v>
      </c>
      <c r="C93" s="19">
        <v>1.0</v>
      </c>
      <c r="D93" s="51" t="s">
        <v>240</v>
      </c>
      <c r="E93" s="52" t="s">
        <v>607</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Crystal|.*crystal.*b"&amp;"ury""),""Empty-Crystal"","""")&amp;IF(REGEXMATCH($E93,""Move|move""),""Move"","""")"),"Ramp ")</f>
        <v>Ramp </v>
      </c>
      <c r="G93" s="21" t="s">
        <v>362</v>
      </c>
      <c r="H93" s="19">
        <v>3.0</v>
      </c>
      <c r="I93" s="19" t="s">
        <v>426</v>
      </c>
      <c r="J93" s="19" t="s">
        <v>33</v>
      </c>
      <c r="L93" s="14" t="str">
        <f>IFERROR(__xludf.DUMMYFUNCTION("IF(REGEXMATCH($B93,L$1),$D93,"""")"),"Construct Spirit")</f>
        <v>Construct 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IFERROR(__xludf.DUMMYFUNCTION("IF($A93="""","""",LEN(REGEXREPLACE($I93,"",\s?"","""")))"),3.0)</f>
        <v>3</v>
      </c>
      <c r="R93" s="15" t="s">
        <v>608</v>
      </c>
      <c r="S93" s="17" t="s">
        <v>609</v>
      </c>
      <c r="T93" s="17" t="s">
        <v>610</v>
      </c>
      <c r="U93" s="17" t="s">
        <v>611</v>
      </c>
      <c r="V93" s="17" t="s">
        <v>612</v>
      </c>
      <c r="W93" s="17" t="s">
        <v>613</v>
      </c>
      <c r="X93" s="17" t="s">
        <v>614</v>
      </c>
      <c r="Y93" s="17" t="s">
        <v>615</v>
      </c>
      <c r="Z93" s="17" t="s">
        <v>616</v>
      </c>
      <c r="AA93" s="17" t="s">
        <v>617</v>
      </c>
      <c r="AB93" s="17" t="s">
        <v>618</v>
      </c>
    </row>
    <row r="94" hidden="1">
      <c r="A94" s="20" t="s">
        <v>619</v>
      </c>
      <c r="B94" s="43" t="s">
        <v>11</v>
      </c>
      <c r="C94" s="19">
        <v>0.0</v>
      </c>
      <c r="D94" s="19" t="s">
        <v>245</v>
      </c>
      <c r="E94" s="20" t="s">
        <v>620</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621</v>
      </c>
      <c r="H94" s="19">
        <v>2.0</v>
      </c>
      <c r="I94" s="19" t="s">
        <v>475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622</v>
      </c>
      <c r="B95" s="43" t="s">
        <v>11</v>
      </c>
      <c r="C95" s="19">
        <v>2.0</v>
      </c>
      <c r="D95" s="19" t="s">
        <v>564</v>
      </c>
      <c r="E95" s="20" t="s">
        <v>623</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624</v>
      </c>
      <c r="H95" s="19">
        <v>1.0</v>
      </c>
      <c r="I95" s="19" t="s">
        <v>426</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625</v>
      </c>
      <c r="B96" s="48" t="s">
        <v>11</v>
      </c>
      <c r="C96" s="12">
        <v>2.0</v>
      </c>
      <c r="D96" s="24" t="s">
        <v>407</v>
      </c>
      <c r="E96" s="20" t="s">
        <v>626</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627</v>
      </c>
      <c r="H96" s="12">
        <v>2.0</v>
      </c>
      <c r="I96" s="12" t="s">
        <v>475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4" t="s">
        <v>628</v>
      </c>
      <c r="B97" s="10" t="s">
        <v>11</v>
      </c>
      <c r="C97" s="12">
        <v>1.0</v>
      </c>
      <c r="D97" s="24" t="s">
        <v>407</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629</v>
      </c>
      <c r="H97" s="24">
        <v>5.0</v>
      </c>
      <c r="I97" s="12" t="s">
        <v>542</v>
      </c>
      <c r="J97" s="24" t="s">
        <v>33</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IFERROR(__xludf.DUMMYFUNCTION("IF($A97="""","""",LEN(REGEXREPLACE($I97,"",\s?"","""")))"),4.0)</f>
        <v>4</v>
      </c>
      <c r="R97" s="15" t="s">
        <v>630</v>
      </c>
      <c r="S97" s="17" t="s">
        <v>631</v>
      </c>
      <c r="T97" s="17" t="s">
        <v>632</v>
      </c>
      <c r="U97" s="17" t="s">
        <v>633</v>
      </c>
      <c r="V97" s="17" t="s">
        <v>634</v>
      </c>
      <c r="W97" s="17" t="s">
        <v>635</v>
      </c>
      <c r="X97" s="17" t="s">
        <v>636</v>
      </c>
      <c r="Y97" s="17" t="s">
        <v>637</v>
      </c>
      <c r="Z97" s="17" t="s">
        <v>638</v>
      </c>
      <c r="AA97" s="17" t="s">
        <v>639</v>
      </c>
      <c r="AB97" s="17" t="s">
        <v>640</v>
      </c>
    </row>
    <row r="98">
      <c r="A98" s="27" t="s">
        <v>641</v>
      </c>
      <c r="B98" s="10" t="s">
        <v>11</v>
      </c>
      <c r="C98" s="12">
        <v>1.0</v>
      </c>
      <c r="D98" s="12" t="s">
        <v>308</v>
      </c>
      <c r="E98" s="10" t="s">
        <v>642</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f>
        <v/>
      </c>
      <c r="G98" s="13" t="s">
        <v>643</v>
      </c>
      <c r="H98" s="12">
        <v>2.0</v>
      </c>
      <c r="I98" s="12" t="s">
        <v>567</v>
      </c>
      <c r="J98" s="24" t="s">
        <v>33</v>
      </c>
      <c r="L98" s="14" t="str">
        <f>IFERROR(__xludf.DUMMYFUNCTION("IF(REGEXMATCH($B98,L$1),$D98,"""")"),"Human Wizard")</f>
        <v>Human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IFERROR(__xludf.DUMMYFUNCTION("IF($A98="""","""",LEN(REGEXREPLACE($I98,"",\s?"","""")))"),4.0)</f>
        <v>4</v>
      </c>
      <c r="R98" s="15" t="s">
        <v>644</v>
      </c>
      <c r="S98" s="17" t="s">
        <v>645</v>
      </c>
      <c r="T98" s="17" t="s">
        <v>646</v>
      </c>
      <c r="U98" s="17" t="s">
        <v>647</v>
      </c>
      <c r="V98" s="17" t="s">
        <v>648</v>
      </c>
      <c r="W98" s="17" t="s">
        <v>649</v>
      </c>
      <c r="X98" s="17" t="s">
        <v>650</v>
      </c>
      <c r="Y98" s="17" t="s">
        <v>651</v>
      </c>
      <c r="Z98" s="17" t="s">
        <v>652</v>
      </c>
      <c r="AA98" s="17" t="s">
        <v>653</v>
      </c>
      <c r="AB98" s="17" t="s">
        <v>654</v>
      </c>
    </row>
    <row r="99">
      <c r="A99" s="53" t="s">
        <v>655</v>
      </c>
      <c r="B99" s="20" t="s">
        <v>11</v>
      </c>
      <c r="C99" s="19">
        <v>1.0</v>
      </c>
      <c r="D99" s="19" t="s">
        <v>656</v>
      </c>
      <c r="E99" s="20" t="s">
        <v>657</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54"/>
      <c r="H99" s="19">
        <v>2.0</v>
      </c>
      <c r="I99" s="19" t="s">
        <v>558</v>
      </c>
      <c r="J99" s="19" t="s">
        <v>39</v>
      </c>
      <c r="L99" s="14" t="str">
        <f>IFERROR(__xludf.DUMMYFUNCTION("IF(REGEXMATCH($B99,L$1),$D99,"""")"),"Insect")</f>
        <v>Insect</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IFERROR(__xludf.DUMMYFUNCTION("IF($A99="""","""",LEN(REGEXREPLACE($I99,"",\s?"","""")))"),3.0)</f>
        <v>3</v>
      </c>
      <c r="R99" s="15" t="s">
        <v>658</v>
      </c>
      <c r="S99" s="17" t="s">
        <v>659</v>
      </c>
      <c r="T99" s="17" t="s">
        <v>660</v>
      </c>
      <c r="U99" s="17" t="s">
        <v>661</v>
      </c>
      <c r="V99" s="17" t="s">
        <v>662</v>
      </c>
      <c r="W99" s="17" t="s">
        <v>663</v>
      </c>
      <c r="X99" s="17" t="s">
        <v>664</v>
      </c>
      <c r="Y99" s="17" t="s">
        <v>665</v>
      </c>
      <c r="Z99" s="17" t="s">
        <v>666</v>
      </c>
      <c r="AA99" s="17" t="s">
        <v>667</v>
      </c>
      <c r="AB99" s="17" t="s">
        <v>668</v>
      </c>
    </row>
    <row r="100" hidden="1">
      <c r="A100" s="10" t="s">
        <v>669</v>
      </c>
      <c r="B100" s="41" t="s">
        <v>11</v>
      </c>
      <c r="C100" s="12">
        <v>2.0</v>
      </c>
      <c r="D100" s="12" t="s">
        <v>670</v>
      </c>
      <c r="E100" s="10" t="s">
        <v>671</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672</v>
      </c>
      <c r="H100" s="12">
        <v>5.0</v>
      </c>
      <c r="I100" s="12" t="s">
        <v>673</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674</v>
      </c>
      <c r="B101" s="10" t="s">
        <v>11</v>
      </c>
      <c r="C101" s="12">
        <v>1.0</v>
      </c>
      <c r="D101" s="12" t="s">
        <v>407</v>
      </c>
      <c r="E101" s="10" t="s">
        <v>675</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f>
        <v/>
      </c>
      <c r="G101" s="13" t="s">
        <v>676</v>
      </c>
      <c r="H101" s="12">
        <v>5.0</v>
      </c>
      <c r="I101" s="12" t="s">
        <v>505</v>
      </c>
      <c r="J101" s="12" t="s">
        <v>39</v>
      </c>
      <c r="L101" s="14" t="str">
        <f>IFERROR(__xludf.DUMMYFUNCTION("IF(REGEXMATCH($B101,L$1),$D101,"""")"),"Spirit")</f>
        <v>Spirit</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IFERROR(__xludf.DUMMYFUNCTION("IF($A101="""","""",LEN(REGEXREPLACE($I101,"",\s?"","""")))"),6.0)</f>
        <v>6</v>
      </c>
      <c r="R101" s="15" t="s">
        <v>677</v>
      </c>
      <c r="S101" s="17" t="s">
        <v>678</v>
      </c>
      <c r="T101" s="17" t="s">
        <v>679</v>
      </c>
      <c r="U101" s="17" t="s">
        <v>680</v>
      </c>
      <c r="V101" s="17" t="s">
        <v>681</v>
      </c>
      <c r="W101" s="17" t="s">
        <v>682</v>
      </c>
      <c r="X101" s="17" t="s">
        <v>683</v>
      </c>
      <c r="Y101" s="17" t="s">
        <v>684</v>
      </c>
      <c r="Z101" s="17" t="s">
        <v>685</v>
      </c>
      <c r="AA101" s="17" t="s">
        <v>686</v>
      </c>
      <c r="AB101" s="17" t="s">
        <v>687</v>
      </c>
    </row>
    <row r="102" hidden="1">
      <c r="A102" s="20" t="s">
        <v>688</v>
      </c>
      <c r="B102" s="43" t="s">
        <v>11</v>
      </c>
      <c r="C102" s="19">
        <v>2.0</v>
      </c>
      <c r="D102" s="19" t="s">
        <v>689</v>
      </c>
      <c r="E102" s="20" t="s">
        <v>690</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362</v>
      </c>
      <c r="H102" s="19">
        <v>3.0</v>
      </c>
      <c r="I102" s="19" t="s">
        <v>426</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691</v>
      </c>
      <c r="B103" s="41" t="s">
        <v>11</v>
      </c>
      <c r="C103" s="12">
        <v>2.0</v>
      </c>
      <c r="D103" s="12" t="s">
        <v>692</v>
      </c>
      <c r="E103" s="10" t="s">
        <v>693</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694</v>
      </c>
      <c r="H103" s="12">
        <v>2.0</v>
      </c>
      <c r="I103" s="12" t="s">
        <v>426</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53" t="s">
        <v>695</v>
      </c>
      <c r="B104" s="55" t="s">
        <v>11</v>
      </c>
      <c r="C104" s="56">
        <v>0.0</v>
      </c>
      <c r="D104" s="56" t="s">
        <v>272</v>
      </c>
      <c r="E104" s="57" t="s">
        <v>696</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8" t="s">
        <v>697</v>
      </c>
      <c r="H104" s="59">
        <v>2.0</v>
      </c>
      <c r="I104" s="56" t="s">
        <v>475</v>
      </c>
      <c r="J104" s="59"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698</v>
      </c>
      <c r="B105" s="48" t="s">
        <v>11</v>
      </c>
      <c r="C105" s="12">
        <v>2.0</v>
      </c>
      <c r="D105" s="12" t="s">
        <v>656</v>
      </c>
      <c r="E105" s="10" t="s">
        <v>699</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700</v>
      </c>
      <c r="H105" s="12">
        <v>1.0</v>
      </c>
      <c r="I105" s="12" t="s">
        <v>453</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701</v>
      </c>
      <c r="B106" s="43" t="s">
        <v>11</v>
      </c>
      <c r="C106" s="19">
        <v>2.0</v>
      </c>
      <c r="D106" s="19" t="s">
        <v>308</v>
      </c>
      <c r="E106" s="20" t="s">
        <v>702</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362</v>
      </c>
      <c r="H106" s="19">
        <v>4.0</v>
      </c>
      <c r="I106" s="19" t="s">
        <v>567</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703</v>
      </c>
      <c r="B107" s="20" t="s">
        <v>11</v>
      </c>
      <c r="C107" s="19">
        <v>2.0</v>
      </c>
      <c r="D107" s="19" t="s">
        <v>560</v>
      </c>
      <c r="E107" s="20" t="s">
        <v>704</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705</v>
      </c>
      <c r="H107" s="19">
        <v>3.0</v>
      </c>
      <c r="I107" s="19" t="s">
        <v>558</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10" t="s">
        <v>706</v>
      </c>
      <c r="B108" s="10" t="s">
        <v>11</v>
      </c>
      <c r="C108" s="12">
        <v>1.0</v>
      </c>
      <c r="D108" s="12" t="s">
        <v>707</v>
      </c>
      <c r="E108" s="20" t="s">
        <v>708</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3" t="s">
        <v>709</v>
      </c>
      <c r="H108" s="12">
        <v>4.0</v>
      </c>
      <c r="I108" s="12" t="s">
        <v>431</v>
      </c>
      <c r="J108" s="12" t="s">
        <v>39</v>
      </c>
      <c r="L108" s="14" t="str">
        <f>IFERROR(__xludf.DUMMYFUNCTION("IF(REGEXMATCH($B108,L$1),$D108,"""")"),"Dragon Hunter")</f>
        <v>Dragon Hunter</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IFERROR(__xludf.DUMMYFUNCTION("IF($A108="""","""",LEN(REGEXREPLACE($I108,"",\s?"","""")))"),5.0)</f>
        <v>5</v>
      </c>
      <c r="R108" s="15" t="s">
        <v>710</v>
      </c>
      <c r="S108" s="17" t="s">
        <v>711</v>
      </c>
      <c r="T108" s="17" t="s">
        <v>712</v>
      </c>
      <c r="U108" s="17" t="s">
        <v>713</v>
      </c>
      <c r="V108" s="17" t="s">
        <v>714</v>
      </c>
      <c r="W108" s="17" t="s">
        <v>715</v>
      </c>
      <c r="X108" s="17" t="s">
        <v>716</v>
      </c>
      <c r="Y108" s="17" t="s">
        <v>717</v>
      </c>
      <c r="Z108" s="17" t="s">
        <v>718</v>
      </c>
      <c r="AA108" s="17" t="s">
        <v>719</v>
      </c>
      <c r="AB108" s="17" t="s">
        <v>720</v>
      </c>
    </row>
    <row r="109">
      <c r="A109" s="27" t="s">
        <v>721</v>
      </c>
      <c r="B109" s="10" t="s">
        <v>11</v>
      </c>
      <c r="C109" s="19">
        <v>1.0</v>
      </c>
      <c r="D109" s="12" t="s">
        <v>722</v>
      </c>
      <c r="E109" s="10" t="s">
        <v>723</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Copy ")</f>
        <v>Ramp Copy </v>
      </c>
      <c r="G109" s="60" t="s">
        <v>724</v>
      </c>
      <c r="H109" s="24">
        <v>7.0</v>
      </c>
      <c r="I109" s="12" t="s">
        <v>725</v>
      </c>
      <c r="J109" s="24" t="s">
        <v>39</v>
      </c>
      <c r="L109" s="14" t="str">
        <f>IFERROR(__xludf.DUMMYFUNCTION("IF(REGEXMATCH($B109,L$1),$D109,"""")"),"Spirit Dragon")</f>
        <v>Spirit Dragon</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IFERROR(__xludf.DUMMYFUNCTION("IF($A109="""","""",LEN(REGEXREPLACE($I109,"",\s?"","""")))"),6.0)</f>
        <v>6</v>
      </c>
      <c r="R109" s="15" t="s">
        <v>726</v>
      </c>
      <c r="S109" s="17" t="s">
        <v>727</v>
      </c>
      <c r="T109" s="17" t="s">
        <v>728</v>
      </c>
      <c r="U109" s="17" t="s">
        <v>729</v>
      </c>
      <c r="V109" s="17" t="s">
        <v>730</v>
      </c>
      <c r="W109" s="17" t="s">
        <v>731</v>
      </c>
      <c r="X109" s="17" t="s">
        <v>732</v>
      </c>
      <c r="Y109" s="17" t="s">
        <v>733</v>
      </c>
      <c r="Z109" s="17" t="s">
        <v>734</v>
      </c>
      <c r="AA109" s="17" t="s">
        <v>735</v>
      </c>
      <c r="AB109" s="17" t="s">
        <v>736</v>
      </c>
    </row>
    <row r="110" hidden="1">
      <c r="A110" s="20" t="s">
        <v>737</v>
      </c>
      <c r="B110" s="43" t="s">
        <v>11</v>
      </c>
      <c r="C110" s="19">
        <v>2.0</v>
      </c>
      <c r="D110" s="19" t="s">
        <v>738</v>
      </c>
      <c r="E110" s="20" t="s">
        <v>252</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739</v>
      </c>
      <c r="H110" s="19">
        <v>2.0</v>
      </c>
      <c r="I110" s="19" t="s">
        <v>475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740</v>
      </c>
      <c r="B111" s="20" t="s">
        <v>11</v>
      </c>
      <c r="C111" s="19">
        <v>1.0</v>
      </c>
      <c r="D111" s="19" t="s">
        <v>741</v>
      </c>
      <c r="E111" s="20" t="s">
        <v>742</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Crystal|.*crystal.*bury""),""Empty-Crystal"","""")&amp;IF(REGEXMATCH($E111,""Move|move""),""Move"","""")"),"Copy ")</f>
        <v>Copy </v>
      </c>
      <c r="G111" s="21" t="s">
        <v>111</v>
      </c>
      <c r="H111" s="19">
        <v>3.0</v>
      </c>
      <c r="I111" s="19" t="s">
        <v>431</v>
      </c>
      <c r="J111" s="19" t="s">
        <v>39</v>
      </c>
      <c r="L111" s="14" t="str">
        <f>IFERROR(__xludf.DUMMYFUNCTION("IF(REGEXMATCH($B111,L$1),$D111,"""")"),"Demon Dinosaur")</f>
        <v>Demon Dinosaur</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IFERROR(__xludf.DUMMYFUNCTION("IF($A111="""","""",LEN(REGEXREPLACE($I111,"",\s?"","""")))"),5.0)</f>
        <v>5</v>
      </c>
      <c r="R111" s="15" t="s">
        <v>743</v>
      </c>
      <c r="S111" s="17" t="s">
        <v>744</v>
      </c>
      <c r="T111" s="17" t="s">
        <v>745</v>
      </c>
      <c r="U111" s="17" t="s">
        <v>746</v>
      </c>
      <c r="V111" s="17" t="s">
        <v>747</v>
      </c>
      <c r="W111" s="17" t="s">
        <v>748</v>
      </c>
      <c r="X111" s="14"/>
      <c r="Y111" s="14"/>
      <c r="Z111" s="14"/>
      <c r="AA111" s="14"/>
      <c r="AB111" s="14"/>
    </row>
    <row r="112">
      <c r="A112" s="10" t="s">
        <v>749</v>
      </c>
      <c r="B112" s="10" t="s">
        <v>11</v>
      </c>
      <c r="C112" s="12">
        <v>1.0</v>
      </c>
      <c r="D112" s="12" t="s">
        <v>428</v>
      </c>
      <c r="E112" s="10" t="s">
        <v>750</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Crystal|.*crystal.*bury""),""Empty-Crystal"","""")&amp;IF(REGEXMATCH($E112,""Move|move""),""Move"","""")"),"Unearth ")</f>
        <v>Unearth </v>
      </c>
      <c r="G112" s="13" t="s">
        <v>751</v>
      </c>
      <c r="H112" s="12">
        <v>2.0</v>
      </c>
      <c r="I112" s="12" t="s">
        <v>475</v>
      </c>
      <c r="J112" s="12" t="s">
        <v>69</v>
      </c>
      <c r="L112" s="14" t="str">
        <f>IFERROR(__xludf.DUMMYFUNCTION("IF(REGEXMATCH($B112,L$1),$D112,"""")"),"Dragon")</f>
        <v>Dragon</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IFERROR(__xludf.DUMMYFUNCTION("IF($A112="""","""",LEN(REGEXREPLACE($I112,"",\s?"","""")))"),2.0)</f>
        <v>2</v>
      </c>
      <c r="R112" s="15" t="s">
        <v>752</v>
      </c>
      <c r="S112" s="17" t="s">
        <v>753</v>
      </c>
      <c r="T112" s="17" t="s">
        <v>754</v>
      </c>
      <c r="U112" s="17" t="s">
        <v>755</v>
      </c>
      <c r="V112" s="17" t="s">
        <v>756</v>
      </c>
      <c r="W112" s="17" t="s">
        <v>757</v>
      </c>
      <c r="X112" s="17" t="s">
        <v>758</v>
      </c>
      <c r="Y112" s="17" t="s">
        <v>759</v>
      </c>
      <c r="Z112" s="17" t="s">
        <v>760</v>
      </c>
      <c r="AA112" s="17" t="s">
        <v>761</v>
      </c>
      <c r="AB112" s="17" t="s">
        <v>762</v>
      </c>
    </row>
    <row r="113" hidden="1">
      <c r="A113" s="10" t="s">
        <v>763</v>
      </c>
      <c r="B113" s="48" t="s">
        <v>11</v>
      </c>
      <c r="C113" s="12">
        <v>2.0</v>
      </c>
      <c r="D113" s="12" t="s">
        <v>308</v>
      </c>
      <c r="E113" s="10" t="s">
        <v>764</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453</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765</v>
      </c>
      <c r="B114" s="61" t="s">
        <v>11</v>
      </c>
      <c r="C114" s="12">
        <v>0.0</v>
      </c>
      <c r="D114" s="12" t="s">
        <v>428</v>
      </c>
      <c r="E114" s="10" t="s">
        <v>766</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767</v>
      </c>
      <c r="H114" s="12">
        <v>3.0</v>
      </c>
      <c r="I114" s="12" t="s">
        <v>426</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768</v>
      </c>
      <c r="B115" s="28" t="s">
        <v>11</v>
      </c>
      <c r="C115" s="12">
        <v>1.0</v>
      </c>
      <c r="D115" s="12" t="s">
        <v>308</v>
      </c>
      <c r="E115" s="10" t="s">
        <v>769</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Crystal|.*crystal.*bury""),""Empty-Crystal"","""")&amp;IF(REGEXMATCH($E115,""Move|move""),""Move"","""")"),"Dragon Ramp Control ")</f>
        <v>Dragon Ramp Control </v>
      </c>
      <c r="G115" s="13" t="s">
        <v>770</v>
      </c>
      <c r="H115" s="12">
        <v>2.0</v>
      </c>
      <c r="I115" s="12" t="s">
        <v>426</v>
      </c>
      <c r="J115" s="12" t="s">
        <v>69</v>
      </c>
      <c r="L115" s="14" t="str">
        <f>IFERROR(__xludf.DUMMYFUNCTION("IF(REGEXMATCH($B115,L$1),$D115,"""")"),"Human Wizard")</f>
        <v>Human Wizard</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IFERROR(__xludf.DUMMYFUNCTION("IF($A115="""","""",LEN(REGEXREPLACE($I115,"",\s?"","""")))"),3.0)</f>
        <v>3</v>
      </c>
      <c r="R115" s="15" t="s">
        <v>771</v>
      </c>
      <c r="S115" s="17" t="s">
        <v>772</v>
      </c>
      <c r="T115" s="17" t="s">
        <v>773</v>
      </c>
      <c r="U115" s="17" t="s">
        <v>774</v>
      </c>
      <c r="V115" s="17" t="s">
        <v>775</v>
      </c>
      <c r="W115" s="17" t="s">
        <v>776</v>
      </c>
      <c r="X115" s="17" t="s">
        <v>777</v>
      </c>
      <c r="Y115" s="17" t="s">
        <v>778</v>
      </c>
      <c r="Z115" s="17" t="s">
        <v>779</v>
      </c>
      <c r="AA115" s="17" t="s">
        <v>780</v>
      </c>
      <c r="AB115" s="17" t="s">
        <v>781</v>
      </c>
    </row>
    <row r="116">
      <c r="A116" s="10" t="s">
        <v>782</v>
      </c>
      <c r="B116" s="28" t="s">
        <v>11</v>
      </c>
      <c r="C116" s="12">
        <v>1.0</v>
      </c>
      <c r="D116" s="12" t="s">
        <v>455</v>
      </c>
      <c r="E116" s="10" t="s">
        <v>783</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Crystal|.*crystal.*bury""),""Empty-Crystal"","""")&amp;IF(REGEXMATCH($E116,""Move|move""),""Move"","""")"),"Dragon ")</f>
        <v>Dragon </v>
      </c>
      <c r="G116" s="13" t="s">
        <v>784</v>
      </c>
      <c r="H116" s="12">
        <v>3.0</v>
      </c>
      <c r="I116" s="12" t="s">
        <v>567</v>
      </c>
      <c r="J116" s="12" t="s">
        <v>69</v>
      </c>
      <c r="L116" s="14" t="str">
        <f>IFERROR(__xludf.DUMMYFUNCTION("IF(REGEXMATCH($B116,L$1),$D116,"""")"),"Spirit Wizard")</f>
        <v>Spirit Wizard</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R116" s="15" t="s">
        <v>785</v>
      </c>
      <c r="S116" s="17" t="s">
        <v>786</v>
      </c>
      <c r="T116" s="17" t="s">
        <v>787</v>
      </c>
      <c r="U116" s="17" t="s">
        <v>788</v>
      </c>
      <c r="V116" s="17" t="s">
        <v>789</v>
      </c>
      <c r="W116" s="17" t="s">
        <v>790</v>
      </c>
      <c r="X116" s="17" t="s">
        <v>791</v>
      </c>
      <c r="Y116" s="17" t="s">
        <v>792</v>
      </c>
      <c r="Z116" s="17" t="s">
        <v>793</v>
      </c>
      <c r="AA116" s="17" t="s">
        <v>794</v>
      </c>
      <c r="AB116" s="17" t="s">
        <v>795</v>
      </c>
    </row>
    <row r="117">
      <c r="A117" s="35" t="s">
        <v>796</v>
      </c>
      <c r="B117" s="39" t="s">
        <v>11</v>
      </c>
      <c r="C117" s="19">
        <v>1.0</v>
      </c>
      <c r="D117" s="19" t="s">
        <v>332</v>
      </c>
      <c r="E117" s="20" t="s">
        <v>797</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Crystal|.*crystal.*bury""),""Empty-Crystal"","""")&amp;IF(REGEXMATCH($E117,""Move|move""),""Move"","""")"),"Elemental ")</f>
        <v>Elemental </v>
      </c>
      <c r="G117" s="21" t="s">
        <v>798</v>
      </c>
      <c r="H117" s="19">
        <v>4.0</v>
      </c>
      <c r="I117" s="19" t="s">
        <v>505</v>
      </c>
      <c r="J117" s="19" t="s">
        <v>69</v>
      </c>
      <c r="L117" s="14" t="str">
        <f>IFERROR(__xludf.DUMMYFUNCTION("IF(REGEXMATCH($B117,L$1),$D117,"""")"),"Insect Wizard")</f>
        <v>Insect Wizard</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IFERROR(__xludf.DUMMYFUNCTION("IF($A117="""","""",LEN(REGEXREPLACE($I117,"",\s?"","""")))"),6.0)</f>
        <v>6</v>
      </c>
      <c r="R117" s="15" t="s">
        <v>799</v>
      </c>
      <c r="S117" s="17" t="s">
        <v>800</v>
      </c>
      <c r="T117" s="17" t="s">
        <v>801</v>
      </c>
      <c r="U117" s="17" t="s">
        <v>802</v>
      </c>
      <c r="V117" s="17" t="s">
        <v>803</v>
      </c>
      <c r="W117" s="17" t="s">
        <v>804</v>
      </c>
      <c r="X117" s="17" t="s">
        <v>805</v>
      </c>
      <c r="Y117" s="17" t="s">
        <v>806</v>
      </c>
      <c r="Z117" s="17" t="s">
        <v>807</v>
      </c>
      <c r="AA117" s="17" t="s">
        <v>808</v>
      </c>
      <c r="AB117" s="17" t="s">
        <v>809</v>
      </c>
    </row>
    <row r="118" hidden="1">
      <c r="A118" s="20" t="s">
        <v>810</v>
      </c>
      <c r="B118" s="42" t="s">
        <v>11</v>
      </c>
      <c r="C118" s="19">
        <v>2.0</v>
      </c>
      <c r="D118" s="19" t="s">
        <v>560</v>
      </c>
      <c r="E118" s="20" t="s">
        <v>811</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362</v>
      </c>
      <c r="H118" s="19">
        <v>4.0</v>
      </c>
      <c r="I118" s="19" t="s">
        <v>431</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10" t="s">
        <v>812</v>
      </c>
      <c r="B119" s="28" t="s">
        <v>11</v>
      </c>
      <c r="C119" s="12">
        <v>1.0</v>
      </c>
      <c r="D119" s="12" t="s">
        <v>428</v>
      </c>
      <c r="E119" s="62" t="s">
        <v>813</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Crystal|.*crystal.*bury""),""Empty-Crystal"","""")&amp;IF(REGEXMATCH($E119,""Move|move""),""Move"","""")"),"Control Aggro ")</f>
        <v>Control Aggro </v>
      </c>
      <c r="G119" s="44" t="s">
        <v>814</v>
      </c>
      <c r="H119" s="12">
        <v>5.0</v>
      </c>
      <c r="I119" s="12" t="s">
        <v>431</v>
      </c>
      <c r="J119" s="12" t="s">
        <v>69</v>
      </c>
      <c r="L119" s="14" t="str">
        <f>IFERROR(__xludf.DUMMYFUNCTION("IF(REGEXMATCH($B119,L$1),$D119,"""")"),"Dragon")</f>
        <v>Dragon</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IFERROR(__xludf.DUMMYFUNCTION("IF($A119="""","""",LEN(REGEXREPLACE($I119,"",\s?"","""")))"),5.0)</f>
        <v>5</v>
      </c>
      <c r="R119" s="15" t="s">
        <v>815</v>
      </c>
      <c r="S119" s="17" t="s">
        <v>816</v>
      </c>
      <c r="T119" s="17" t="s">
        <v>817</v>
      </c>
      <c r="U119" s="17" t="s">
        <v>818</v>
      </c>
      <c r="V119" s="17" t="s">
        <v>819</v>
      </c>
      <c r="W119" s="17" t="s">
        <v>820</v>
      </c>
      <c r="X119" s="17" t="s">
        <v>821</v>
      </c>
      <c r="Y119" s="17" t="s">
        <v>822</v>
      </c>
      <c r="Z119" s="17" t="s">
        <v>823</v>
      </c>
      <c r="AA119" s="17" t="s">
        <v>824</v>
      </c>
      <c r="AB119" s="17" t="s">
        <v>825</v>
      </c>
    </row>
    <row r="120" hidden="1">
      <c r="A120" s="10" t="s">
        <v>826</v>
      </c>
      <c r="B120" s="63" t="s">
        <v>11</v>
      </c>
      <c r="C120" s="12">
        <v>2.0</v>
      </c>
      <c r="D120" s="12" t="s">
        <v>407</v>
      </c>
      <c r="E120" s="22" t="s">
        <v>827</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7" t="s">
        <v>828</v>
      </c>
      <c r="H120" s="12">
        <v>5.0</v>
      </c>
      <c r="I120" s="12" t="s">
        <v>505</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829</v>
      </c>
      <c r="B121" s="64" t="s">
        <v>11</v>
      </c>
      <c r="C121" s="12">
        <v>2.0</v>
      </c>
      <c r="D121" s="12" t="s">
        <v>707</v>
      </c>
      <c r="E121" s="10" t="s">
        <v>830</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831</v>
      </c>
      <c r="H121" s="12">
        <v>4.0</v>
      </c>
      <c r="I121" s="12" t="s">
        <v>567</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35" t="s">
        <v>832</v>
      </c>
      <c r="B122" s="39" t="s">
        <v>11</v>
      </c>
      <c r="C122" s="19">
        <v>2.0</v>
      </c>
      <c r="D122" s="19" t="s">
        <v>360</v>
      </c>
      <c r="E122" s="20" t="s">
        <v>833</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834</v>
      </c>
      <c r="H122" s="19">
        <v>3.0</v>
      </c>
      <c r="I122" s="19" t="s">
        <v>567</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835</v>
      </c>
      <c r="B123" s="39" t="s">
        <v>11</v>
      </c>
      <c r="C123" s="19">
        <v>1.0</v>
      </c>
      <c r="D123" s="19" t="s">
        <v>407</v>
      </c>
      <c r="E123" s="20" t="s">
        <v>836</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Crystal|.*crystal.*bury""),""Empty-Crystal"","""")&amp;IF(REGEXMATCH($E123,""Move|move""),""Move"","""")"),"Ramp Move")</f>
        <v>Ramp Move</v>
      </c>
      <c r="G123" s="21" t="s">
        <v>362</v>
      </c>
      <c r="H123" s="19">
        <v>3.0</v>
      </c>
      <c r="I123" s="19" t="s">
        <v>567</v>
      </c>
      <c r="J123" s="19" t="s">
        <v>69</v>
      </c>
      <c r="L123" s="14" t="str">
        <f>IFERROR(__xludf.DUMMYFUNCTION("IF(REGEXMATCH($B123,L$1),$D123,"""")"),"Spirit")</f>
        <v>Spirit</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IFERROR(__xludf.DUMMYFUNCTION("IF($A123="""","""",LEN(REGEXREPLACE($I123,"",\s?"","""")))"),4.0)</f>
        <v>4</v>
      </c>
      <c r="R123" s="15" t="s">
        <v>837</v>
      </c>
      <c r="S123" s="17" t="s">
        <v>838</v>
      </c>
      <c r="T123" s="17" t="s">
        <v>839</v>
      </c>
      <c r="U123" s="17" t="s">
        <v>840</v>
      </c>
      <c r="V123" s="17" t="s">
        <v>841</v>
      </c>
      <c r="W123" s="17" t="s">
        <v>842</v>
      </c>
      <c r="X123" s="17" t="s">
        <v>843</v>
      </c>
      <c r="Y123" s="17" t="s">
        <v>844</v>
      </c>
      <c r="Z123" s="17" t="s">
        <v>845</v>
      </c>
      <c r="AA123" s="17" t="s">
        <v>846</v>
      </c>
      <c r="AB123" s="17" t="s">
        <v>847</v>
      </c>
    </row>
    <row r="124" hidden="1">
      <c r="A124" s="20" t="s">
        <v>848</v>
      </c>
      <c r="B124" s="42" t="s">
        <v>11</v>
      </c>
      <c r="C124" s="19">
        <v>2.0</v>
      </c>
      <c r="D124" s="19" t="s">
        <v>849</v>
      </c>
      <c r="E124" s="20" t="s">
        <v>850</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50"/>
      <c r="H124" s="19">
        <v>3.0</v>
      </c>
      <c r="I124" s="19" t="s">
        <v>542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851</v>
      </c>
      <c r="B125" s="40" t="s">
        <v>11</v>
      </c>
      <c r="C125" s="19">
        <v>2.0</v>
      </c>
      <c r="D125" s="19" t="s">
        <v>221</v>
      </c>
      <c r="E125" s="20" t="s">
        <v>852</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853</v>
      </c>
      <c r="H125" s="19">
        <v>3.0</v>
      </c>
      <c r="I125" s="12" t="s">
        <v>426</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10" t="s">
        <v>854</v>
      </c>
      <c r="B126" s="28" t="s">
        <v>11</v>
      </c>
      <c r="C126" s="12">
        <v>1.0</v>
      </c>
      <c r="D126" s="19" t="s">
        <v>855</v>
      </c>
      <c r="E126" s="20" t="s">
        <v>856</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Crystal|.*crystal.*bury""),""Empty-Crystal"","""")&amp;IF(REGEXMATCH($E126,""Move|move""),""Move"","""")"),"Control Empty-Crystal")</f>
        <v>Control Empty-Crystal</v>
      </c>
      <c r="G126" s="21" t="s">
        <v>857</v>
      </c>
      <c r="H126" s="19">
        <v>6.0</v>
      </c>
      <c r="I126" s="19" t="s">
        <v>542</v>
      </c>
      <c r="J126" s="12" t="s">
        <v>69</v>
      </c>
      <c r="L126" s="14" t="str">
        <f>IFERROR(__xludf.DUMMYFUNCTION("IF(REGEXMATCH($B126,L$1),$D126,"""")"),"Crystalblight? Dragon Wizard")</f>
        <v>Crystalblight? Dragon Wizard</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IFERROR(__xludf.DUMMYFUNCTION("IF($A126="""","""",LEN(REGEXREPLACE($I126,"",\s?"","""")))"),4.0)</f>
        <v>4</v>
      </c>
      <c r="R126" s="15" t="s">
        <v>858</v>
      </c>
      <c r="S126" s="17" t="s">
        <v>859</v>
      </c>
      <c r="T126" s="17" t="s">
        <v>860</v>
      </c>
      <c r="U126" s="17" t="s">
        <v>861</v>
      </c>
      <c r="V126" s="17" t="s">
        <v>862</v>
      </c>
      <c r="W126" s="17" t="s">
        <v>863</v>
      </c>
      <c r="X126" s="17" t="s">
        <v>864</v>
      </c>
      <c r="Y126" s="14"/>
      <c r="Z126" s="14"/>
      <c r="AA126" s="14"/>
      <c r="AB126" s="14"/>
    </row>
    <row r="127" hidden="1">
      <c r="A127" s="20" t="s">
        <v>865</v>
      </c>
      <c r="B127" s="42" t="s">
        <v>11</v>
      </c>
      <c r="C127" s="19">
        <v>2.0</v>
      </c>
      <c r="D127" s="19" t="s">
        <v>564</v>
      </c>
      <c r="E127" s="20" t="s">
        <v>866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362</v>
      </c>
      <c r="H127" s="19">
        <v>4.0</v>
      </c>
      <c r="I127" s="19" t="s">
        <v>446</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867</v>
      </c>
      <c r="B128" s="42" t="s">
        <v>11</v>
      </c>
      <c r="C128" s="19">
        <v>2.0</v>
      </c>
      <c r="D128" s="19" t="s">
        <v>407</v>
      </c>
      <c r="E128" s="20" t="s">
        <v>868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50"/>
      <c r="H128" s="19">
        <v>5.0</v>
      </c>
      <c r="I128" s="19" t="s">
        <v>475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31" t="s">
        <v>869</v>
      </c>
      <c r="B129" s="65" t="s">
        <v>11</v>
      </c>
      <c r="C129" s="56">
        <v>1.0</v>
      </c>
      <c r="D129" s="66" t="s">
        <v>135</v>
      </c>
      <c r="E129" s="33" t="s">
        <v>870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Crystal|.*crystal.*bury""),""Empty-Crystal"","""")&amp;IF(REGEXMATCH($E129,""Move|move""),""Move"","""")"),"Control Empty-Crystal")</f>
        <v>Control Empty-Crystal</v>
      </c>
      <c r="G129" s="67" t="s">
        <v>857</v>
      </c>
      <c r="H129" s="66">
        <v>4.0</v>
      </c>
      <c r="I129" s="66" t="s">
        <v>431</v>
      </c>
      <c r="J129" s="68" t="s">
        <v>69</v>
      </c>
      <c r="L129" s="14" t="str">
        <f>IFERROR(__xludf.DUMMYFUNCTION("IF(REGEXMATCH($B129,L$1),$D129,"""")"),"Human Hunter")</f>
        <v>Human Hunter</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871</v>
      </c>
      <c r="S129" s="17" t="s">
        <v>872</v>
      </c>
      <c r="T129" s="17" t="s">
        <v>873</v>
      </c>
      <c r="U129" s="17" t="s">
        <v>874</v>
      </c>
      <c r="V129" s="17" t="s">
        <v>875</v>
      </c>
      <c r="W129" s="17" t="s">
        <v>876</v>
      </c>
      <c r="X129" s="17" t="s">
        <v>877</v>
      </c>
      <c r="Y129" s="17" t="s">
        <v>878</v>
      </c>
      <c r="Z129" s="17" t="s">
        <v>879</v>
      </c>
      <c r="AA129" s="17" t="s">
        <v>880</v>
      </c>
      <c r="AB129" s="17" t="s">
        <v>881</v>
      </c>
    </row>
    <row r="130">
      <c r="A130" s="27" t="s">
        <v>882</v>
      </c>
      <c r="B130" s="28" t="s">
        <v>11</v>
      </c>
      <c r="C130" s="12">
        <v>1.0</v>
      </c>
      <c r="D130" s="12" t="s">
        <v>337</v>
      </c>
      <c r="E130" s="20" t="s">
        <v>883</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Crystal|.*crystal.*bury""),""Empty-Crystal"","""")&amp;IF(REGEXMATCH($E130,""Move|move""),""Move"","""")"),"Wizard ")</f>
        <v>Wizard </v>
      </c>
      <c r="G130" s="21" t="s">
        <v>884</v>
      </c>
      <c r="H130" s="24">
        <v>2.0</v>
      </c>
      <c r="I130" s="12" t="s">
        <v>475</v>
      </c>
      <c r="J130" s="24" t="s">
        <v>69</v>
      </c>
      <c r="L130" s="14" t="str">
        <f>IFERROR(__xludf.DUMMYFUNCTION("IF(REGEXMATCH($B130,L$1),$D130,"""")"),"Animal Wizard")</f>
        <v>Animal Wizard</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IFERROR(__xludf.DUMMYFUNCTION("IF($A130="""","""",LEN(REGEXREPLACE($I130,"",\s?"","""")))"),2.0)</f>
        <v>2</v>
      </c>
      <c r="R130" s="15" t="s">
        <v>885</v>
      </c>
      <c r="S130" s="17" t="s">
        <v>886</v>
      </c>
      <c r="T130" s="17" t="s">
        <v>887</v>
      </c>
      <c r="U130" s="17" t="s">
        <v>888</v>
      </c>
      <c r="V130" s="17" t="s">
        <v>889</v>
      </c>
      <c r="W130" s="17" t="s">
        <v>890</v>
      </c>
      <c r="X130" s="17" t="s">
        <v>891</v>
      </c>
      <c r="Y130" s="14"/>
      <c r="Z130" s="14"/>
      <c r="AA130" s="14"/>
      <c r="AB130" s="14"/>
    </row>
    <row r="131">
      <c r="A131" s="69" t="s">
        <v>892</v>
      </c>
      <c r="B131" s="28" t="s">
        <v>11</v>
      </c>
      <c r="C131" s="12">
        <v>1.0</v>
      </c>
      <c r="D131" s="12" t="s">
        <v>104</v>
      </c>
      <c r="E131" s="70" t="s">
        <v>893</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Crystal|.*crystal.*bury""),""Empty-Crystal"","""")&amp;IF(REGEXMATCH($E131,""Move|move""),""Move"","""")"),"Unearth Control ")</f>
        <v>Unearth Control </v>
      </c>
      <c r="G131" s="13" t="s">
        <v>894</v>
      </c>
      <c r="H131" s="24">
        <v>6.0</v>
      </c>
      <c r="I131" s="12" t="s">
        <v>895</v>
      </c>
      <c r="J131" s="12" t="s">
        <v>69</v>
      </c>
      <c r="L131" s="14" t="str">
        <f>IFERROR(__xludf.DUMMYFUNCTION("IF(REGEXMATCH($B131,L$1),$D131,"""")"),"Animal")</f>
        <v>Animal</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IFERROR(__xludf.DUMMYFUNCTION("IF($A131="""","""",LEN(REGEXREPLACE($I131,"",\s?"","""")))"),5.0)</f>
        <v>5</v>
      </c>
      <c r="R131" s="15" t="s">
        <v>896</v>
      </c>
      <c r="S131" s="17" t="s">
        <v>897</v>
      </c>
      <c r="T131" s="17" t="s">
        <v>898</v>
      </c>
      <c r="U131" s="17" t="s">
        <v>899</v>
      </c>
      <c r="V131" s="17" t="s">
        <v>900</v>
      </c>
      <c r="W131" s="17" t="s">
        <v>901</v>
      </c>
      <c r="X131" s="17" t="s">
        <v>902</v>
      </c>
      <c r="Y131" s="17" t="s">
        <v>903</v>
      </c>
      <c r="Z131" s="14"/>
      <c r="AA131" s="14"/>
      <c r="AB131" s="14"/>
    </row>
    <row r="132">
      <c r="A132" s="71" t="s">
        <v>904</v>
      </c>
      <c r="B132" s="72" t="s">
        <v>11</v>
      </c>
      <c r="C132" s="73">
        <v>1.0</v>
      </c>
      <c r="D132" s="73" t="s">
        <v>564</v>
      </c>
      <c r="E132" s="71" t="s">
        <v>905</v>
      </c>
      <c r="F132" s="74"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Crystal|.*crystal.*bury""),""Empty-Crystal"","""")&amp;IF(REGEXMATCH($E132,""Move|move""),""Move"","""")"),"Warrior Spirit Copy ")</f>
        <v>Warrior Spirit Copy </v>
      </c>
      <c r="G132" s="71"/>
      <c r="H132" s="73">
        <v>3.0</v>
      </c>
      <c r="I132" s="73" t="s">
        <v>567</v>
      </c>
      <c r="J132" s="73" t="s">
        <v>69</v>
      </c>
      <c r="K132" s="31"/>
      <c r="L132" s="71" t="str">
        <f>IFERROR(__xludf.DUMMYFUNCTION("IF(REGEXMATCH($B132,L$1),$D132,"""")"),"Dragon Spirit")</f>
        <v>Dragon Spirit</v>
      </c>
      <c r="M132" s="31" t="str">
        <f>IFERROR(__xludf.DUMMYFUNCTION("IF(REGEXMATCH($B132,M$1),$D132,"""")"),"")</f>
        <v/>
      </c>
      <c r="N132" s="31" t="str">
        <f>IFERROR(__xludf.DUMMYFUNCTION("IF(REGEXMATCH($B132,N$1),$D132,"""")"),"")</f>
        <v/>
      </c>
      <c r="O132" s="31" t="str">
        <f>IFERROR(__xludf.DUMMYFUNCTION("IF(REGEXMATCH($B132,O$1),$D132,"""")"),"")</f>
        <v/>
      </c>
      <c r="P132" s="31" t="str">
        <f>IFERROR(__xludf.DUMMYFUNCTION("IF(REGEXMATCH($B132,P$1),$D132,"""")"),"")</f>
        <v/>
      </c>
      <c r="Q132" s="75">
        <f>IFERROR(__xludf.DUMMYFUNCTION("IF($A132="""","""",LEN(REGEXREPLACE($I132,"",\s?"","""")))"),4.0)</f>
        <v>4</v>
      </c>
      <c r="R132" s="31"/>
      <c r="S132" s="31"/>
      <c r="T132" s="31"/>
      <c r="U132" s="31"/>
      <c r="V132" s="31"/>
      <c r="W132" s="31"/>
      <c r="X132" s="31"/>
      <c r="Y132" s="31"/>
      <c r="Z132" s="31"/>
      <c r="AA132" s="31"/>
      <c r="AB132" s="31"/>
    </row>
    <row r="133">
      <c r="A133" s="22" t="s">
        <v>906</v>
      </c>
      <c r="B133" s="28" t="s">
        <v>907</v>
      </c>
      <c r="C133" s="12">
        <v>1.0</v>
      </c>
      <c r="D133" s="12" t="s">
        <v>908</v>
      </c>
      <c r="E133" s="10"/>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3" t="s">
        <v>909</v>
      </c>
      <c r="H133" s="12">
        <v>2.0</v>
      </c>
      <c r="I133" s="12" t="s">
        <v>910</v>
      </c>
      <c r="J133" s="12" t="s">
        <v>33</v>
      </c>
      <c r="L133" s="14" t="str">
        <f>IFERROR(__xludf.DUMMYFUNCTION("IF(REGEXMATCH($B133,L$1),$D133,"""")"),"Bannerbearer Human Warrior")</f>
        <v>Bannerbearer Human Warrior</v>
      </c>
      <c r="M133" s="14" t="str">
        <f>IFERROR(__xludf.DUMMYFUNCTION("IF(REGEXMATCH($B133,M$1),$D133,"""")"),"")</f>
        <v/>
      </c>
      <c r="N133" s="14" t="str">
        <f>IFERROR(__xludf.DUMMYFUNCTION("IF(REGEXMATCH($B133,N$1),$D133,"""")"),"")</f>
        <v/>
      </c>
      <c r="O133" s="14" t="str">
        <f>IFERROR(__xludf.DUMMYFUNCTION("IF(REGEXMATCH($B133,O$1),$D133,"""")"),"Bannerbearer Human Warrior")</f>
        <v>Bannerbearer Human Warrior</v>
      </c>
      <c r="P133" s="14" t="str">
        <f>IFERROR(__xludf.DUMMYFUNCTION("IF(REGEXMATCH($B133,P$1),$D133,"""")"),"")</f>
        <v/>
      </c>
      <c r="Q133" s="14">
        <f>IFERROR(__xludf.DUMMYFUNCTION("IF($A133="""","""",LEN(REGEXREPLACE($I133,"",\s?"","""")))"),2.0)</f>
        <v>2</v>
      </c>
      <c r="R133" s="15" t="s">
        <v>911</v>
      </c>
      <c r="S133" s="17" t="s">
        <v>912</v>
      </c>
      <c r="T133" s="17" t="s">
        <v>913</v>
      </c>
      <c r="U133" s="17" t="s">
        <v>914</v>
      </c>
      <c r="V133" s="17" t="s">
        <v>915</v>
      </c>
      <c r="W133" s="17" t="s">
        <v>916</v>
      </c>
      <c r="X133" s="17" t="s">
        <v>917</v>
      </c>
      <c r="Y133" s="17" t="s">
        <v>918</v>
      </c>
      <c r="Z133" s="17" t="s">
        <v>919</v>
      </c>
      <c r="AA133" s="17" t="s">
        <v>920</v>
      </c>
      <c r="AB133" s="17" t="s">
        <v>921</v>
      </c>
    </row>
    <row r="134" hidden="1">
      <c r="A134" s="25" t="s">
        <v>922</v>
      </c>
      <c r="B134" s="28" t="s">
        <v>907</v>
      </c>
      <c r="C134" s="12">
        <v>2.0</v>
      </c>
      <c r="D134" s="12" t="s">
        <v>308</v>
      </c>
      <c r="E134" s="10" t="s">
        <v>923</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924</v>
      </c>
      <c r="H134" s="12">
        <v>3.0</v>
      </c>
      <c r="I134" s="12" t="s">
        <v>925</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926</v>
      </c>
      <c r="B135" s="28" t="s">
        <v>907</v>
      </c>
      <c r="C135" s="12">
        <v>1.0</v>
      </c>
      <c r="D135" s="12" t="s">
        <v>308</v>
      </c>
      <c r="E135" s="10" t="s">
        <v>927</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60" t="s">
        <v>928</v>
      </c>
      <c r="H135" s="12">
        <v>5.0</v>
      </c>
      <c r="I135" s="12" t="s">
        <v>929</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R135" s="15" t="s">
        <v>930</v>
      </c>
      <c r="S135" s="17" t="s">
        <v>931</v>
      </c>
      <c r="T135" s="17" t="s">
        <v>932</v>
      </c>
      <c r="U135" s="17" t="s">
        <v>933</v>
      </c>
      <c r="V135" s="17" t="s">
        <v>934</v>
      </c>
      <c r="W135" s="17" t="s">
        <v>935</v>
      </c>
      <c r="X135" s="17" t="s">
        <v>936</v>
      </c>
      <c r="Y135" s="17" t="s">
        <v>937</v>
      </c>
      <c r="Z135" s="17" t="s">
        <v>938</v>
      </c>
      <c r="AA135" s="14"/>
      <c r="AB135" s="14"/>
    </row>
    <row r="136" hidden="1">
      <c r="A136" s="22" t="s">
        <v>939</v>
      </c>
      <c r="B136" s="28" t="s">
        <v>907</v>
      </c>
      <c r="C136" s="12">
        <v>2.0</v>
      </c>
      <c r="D136" s="12" t="s">
        <v>940</v>
      </c>
      <c r="E136" s="10" t="s">
        <v>941</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942</v>
      </c>
      <c r="H136" s="12">
        <v>6.0</v>
      </c>
      <c r="I136" s="12" t="s">
        <v>943</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944</v>
      </c>
      <c r="B137" s="28" t="s">
        <v>945</v>
      </c>
      <c r="C137" s="12">
        <v>2.0</v>
      </c>
      <c r="D137" s="12" t="s">
        <v>946</v>
      </c>
      <c r="E137" s="76" t="s">
        <v>947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4" t="s">
        <v>948</v>
      </c>
      <c r="H137" s="12">
        <v>5.0</v>
      </c>
      <c r="I137" s="12" t="s">
        <v>949</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950</v>
      </c>
      <c r="B138" s="28" t="s">
        <v>907</v>
      </c>
      <c r="C138" s="12">
        <v>1.0</v>
      </c>
      <c r="D138" s="12" t="s">
        <v>951</v>
      </c>
      <c r="E138" s="10" t="s">
        <v>952</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Crystal|.*crystal.*bury""),""Empty-Crystal"","""")&amp;IF(REGEXMATCH($E138,""Move|move""),""Move"","""")"),"Dragon Human Copy ")</f>
        <v>Dragon Human Copy </v>
      </c>
      <c r="G138" s="13" t="s">
        <v>953</v>
      </c>
      <c r="H138" s="12">
        <v>2.0</v>
      </c>
      <c r="I138" s="12" t="s">
        <v>925</v>
      </c>
      <c r="J138" s="12" t="s">
        <v>69</v>
      </c>
      <c r="L138" s="14" t="str">
        <f>IFERROR(__xludf.DUMMYFUNCTION("IF(REGEXMATCH($B138,L$1),$D138,"""")"),"Human Dragon")</f>
        <v>Human Dragon</v>
      </c>
      <c r="M138" s="14" t="str">
        <f>IFERROR(__xludf.DUMMYFUNCTION("IF(REGEXMATCH($B138,M$1),$D138,"""")"),"")</f>
        <v/>
      </c>
      <c r="N138" s="14" t="str">
        <f>IFERROR(__xludf.DUMMYFUNCTION("IF(REGEXMATCH($B138,N$1),$D138,"""")"),"")</f>
        <v/>
      </c>
      <c r="O138" s="14" t="str">
        <f>IFERROR(__xludf.DUMMYFUNCTION("IF(REGEXMATCH($B138,O$1),$D138,"""")"),"Human Dragon")</f>
        <v>Human Dragon</v>
      </c>
      <c r="P138" s="14" t="str">
        <f>IFERROR(__xludf.DUMMYFUNCTION("IF(REGEXMATCH($B138,P$1),$D138,"""")"),"")</f>
        <v/>
      </c>
      <c r="Q138" s="14">
        <f>IFERROR(__xludf.DUMMYFUNCTION("IF($A138="""","""",LEN(REGEXREPLACE($I138,"",\s?"","""")))"),4.0)</f>
        <v>4</v>
      </c>
      <c r="R138" s="15" t="s">
        <v>954</v>
      </c>
      <c r="S138" s="17" t="s">
        <v>955</v>
      </c>
      <c r="T138" s="17" t="s">
        <v>956</v>
      </c>
      <c r="U138" s="17" t="s">
        <v>957</v>
      </c>
      <c r="V138" s="17" t="s">
        <v>958</v>
      </c>
      <c r="W138" s="17" t="s">
        <v>959</v>
      </c>
      <c r="X138" s="17" t="s">
        <v>960</v>
      </c>
      <c r="Y138" s="17" t="s">
        <v>961</v>
      </c>
      <c r="Z138" s="17" t="s">
        <v>962</v>
      </c>
      <c r="AA138" s="17" t="s">
        <v>963</v>
      </c>
      <c r="AB138" s="17" t="s">
        <v>964</v>
      </c>
    </row>
    <row r="139" hidden="1">
      <c r="A139" s="20" t="s">
        <v>965</v>
      </c>
      <c r="B139" s="39" t="s">
        <v>945</v>
      </c>
      <c r="C139" s="19">
        <v>0.0</v>
      </c>
      <c r="D139" s="19" t="s">
        <v>966</v>
      </c>
      <c r="E139" s="20" t="s">
        <v>967</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50"/>
      <c r="H139" s="19">
        <v>8.0</v>
      </c>
      <c r="I139" s="19" t="s">
        <v>968</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969</v>
      </c>
      <c r="B140" s="39" t="s">
        <v>945</v>
      </c>
      <c r="C140" s="19">
        <v>2.0</v>
      </c>
      <c r="D140" s="19" t="s">
        <v>135</v>
      </c>
      <c r="E140" s="20" t="s">
        <v>970</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971</v>
      </c>
      <c r="H140" s="19">
        <v>4.0</v>
      </c>
      <c r="I140" s="19" t="s">
        <v>972</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10" t="s">
        <v>973</v>
      </c>
      <c r="B141" s="28" t="s">
        <v>945</v>
      </c>
      <c r="C141" s="12">
        <v>1.0</v>
      </c>
      <c r="D141" s="32" t="s">
        <v>974</v>
      </c>
      <c r="E141" s="10" t="s">
        <v>975</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Nature ")</f>
        <v>Elemental Nature </v>
      </c>
      <c r="G141" s="13" t="s">
        <v>976</v>
      </c>
      <c r="H141" s="12">
        <v>6.0</v>
      </c>
      <c r="I141" s="12" t="s">
        <v>977</v>
      </c>
      <c r="J141" s="12" t="s">
        <v>39</v>
      </c>
      <c r="L141" s="14" t="str">
        <f>IFERROR(__xludf.DUMMYFUNCTION("IF(REGEXMATCH($B141,L$1),$D141,"""")"),"Dragon Plant")</f>
        <v>Dragon Plant</v>
      </c>
      <c r="M141" s="14" t="str">
        <f>IFERROR(__xludf.DUMMYFUNCTION("IF(REGEXMATCH($B141,M$1),$D141,"""")"),"Dragon Plant")</f>
        <v>Dragon Plant</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IFERROR(__xludf.DUMMYFUNCTION("IF($A141="""","""",LEN(REGEXREPLACE($I141,"",\s?"","""")))"),6.0)</f>
        <v>6</v>
      </c>
      <c r="R141" s="15" t="s">
        <v>978</v>
      </c>
      <c r="S141" s="17" t="s">
        <v>979</v>
      </c>
      <c r="T141" s="17" t="s">
        <v>980</v>
      </c>
      <c r="U141" s="17" t="s">
        <v>981</v>
      </c>
      <c r="V141" s="17" t="s">
        <v>982</v>
      </c>
      <c r="W141" s="17" t="s">
        <v>983</v>
      </c>
      <c r="X141" s="17" t="s">
        <v>984</v>
      </c>
      <c r="Y141" s="17" t="s">
        <v>985</v>
      </c>
      <c r="Z141" s="17" t="s">
        <v>986</v>
      </c>
      <c r="AA141" s="17" t="s">
        <v>987</v>
      </c>
      <c r="AB141" s="17" t="s">
        <v>988</v>
      </c>
    </row>
    <row r="142" hidden="1">
      <c r="A142" s="25" t="s">
        <v>989</v>
      </c>
      <c r="B142" s="28" t="s">
        <v>945</v>
      </c>
      <c r="C142" s="12">
        <v>2.0</v>
      </c>
      <c r="D142" s="32" t="s">
        <v>966</v>
      </c>
      <c r="E142" s="10" t="s">
        <v>990</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991</v>
      </c>
      <c r="H142" s="12">
        <v>5.0</v>
      </c>
      <c r="I142" s="12" t="s">
        <v>972</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20" t="s">
        <v>992</v>
      </c>
      <c r="B143" s="28" t="s">
        <v>945</v>
      </c>
      <c r="C143" s="12">
        <v>1.0</v>
      </c>
      <c r="D143" s="12" t="s">
        <v>993</v>
      </c>
      <c r="E143" s="10"/>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994</v>
      </c>
      <c r="H143" s="12">
        <v>2.0</v>
      </c>
      <c r="I143" s="12" t="s">
        <v>995</v>
      </c>
      <c r="J143" s="12" t="s">
        <v>33</v>
      </c>
      <c r="L143" s="14" t="str">
        <f>IFERROR(__xludf.DUMMYFUNCTION("IF(REGEXMATCH($B143,L$1),$D143,"""")"),"Animal Bannerbearer Hunter")</f>
        <v>Animal Bannerbearer Hunter</v>
      </c>
      <c r="M143" s="14" t="str">
        <f>IFERROR(__xludf.DUMMYFUNCTION("IF(REGEXMATCH($B143,M$1),$D143,"""")"),"Animal Bannerbearer Hunter")</f>
        <v>Animal Bannerbearer Hunter</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IFERROR(__xludf.DUMMYFUNCTION("IF($A143="""","""",LEN(REGEXREPLACE($I143,"",\s?"","""")))"),2.0)</f>
        <v>2</v>
      </c>
      <c r="R143" s="15" t="s">
        <v>996</v>
      </c>
      <c r="S143" s="17" t="s">
        <v>997</v>
      </c>
      <c r="T143" s="17" t="s">
        <v>998</v>
      </c>
      <c r="U143" s="17" t="s">
        <v>999</v>
      </c>
      <c r="V143" s="17" t="s">
        <v>1000</v>
      </c>
      <c r="W143" s="17" t="s">
        <v>1001</v>
      </c>
      <c r="X143" s="17" t="s">
        <v>1002</v>
      </c>
      <c r="Y143" s="17" t="s">
        <v>1003</v>
      </c>
      <c r="Z143" s="17" t="s">
        <v>1004</v>
      </c>
      <c r="AA143" s="14"/>
      <c r="AB143" s="14"/>
    </row>
    <row r="144" hidden="1">
      <c r="A144" s="20" t="s">
        <v>1005</v>
      </c>
      <c r="B144" s="39" t="s">
        <v>1006</v>
      </c>
      <c r="C144" s="19">
        <v>2.0</v>
      </c>
      <c r="D144" s="19" t="s">
        <v>455</v>
      </c>
      <c r="E144" s="20" t="s">
        <v>1007</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700</v>
      </c>
      <c r="H144" s="19">
        <v>0.0</v>
      </c>
      <c r="I144" s="19" t="s">
        <v>1008</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1009</v>
      </c>
      <c r="B145" s="39" t="s">
        <v>1006</v>
      </c>
      <c r="C145" s="19">
        <v>2.0</v>
      </c>
      <c r="D145" s="19" t="s">
        <v>1010</v>
      </c>
      <c r="E145" s="20" t="s">
        <v>1011</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1012</v>
      </c>
      <c r="H145" s="19">
        <v>3.0</v>
      </c>
      <c r="I145" s="19" t="s">
        <v>1013</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1014</v>
      </c>
      <c r="B146" s="28" t="s">
        <v>1006</v>
      </c>
      <c r="C146" s="12">
        <v>0.0</v>
      </c>
      <c r="D146" s="12" t="s">
        <v>689</v>
      </c>
      <c r="E146" s="10" t="s">
        <v>1015</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7" t="s">
        <v>1016</v>
      </c>
      <c r="H146" s="12">
        <v>7.0</v>
      </c>
      <c r="I146" s="12" t="s">
        <v>1017</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77" t="s">
        <v>1018</v>
      </c>
      <c r="B147" s="28" t="s">
        <v>945</v>
      </c>
      <c r="C147" s="12">
        <v>1.0</v>
      </c>
      <c r="D147" s="12" t="s">
        <v>564</v>
      </c>
      <c r="E147" s="10" t="s">
        <v>1019</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f>
        <v/>
      </c>
      <c r="G147" s="13" t="s">
        <v>1020</v>
      </c>
      <c r="H147" s="12">
        <v>5.0</v>
      </c>
      <c r="I147" s="12" t="s">
        <v>972</v>
      </c>
      <c r="J147" s="12" t="s">
        <v>69</v>
      </c>
      <c r="L147" s="14" t="str">
        <f>IFERROR(__xludf.DUMMYFUNCTION("IF(REGEXMATCH($B147,L$1),$D147,"""")"),"Dragon Spirit")</f>
        <v>Dragon Spirit</v>
      </c>
      <c r="M147" s="14" t="str">
        <f>IFERROR(__xludf.DUMMYFUNCTION("IF(REGEXMATCH($B147,M$1),$D147,"""")"),"Dragon Spirit")</f>
        <v>Dragon Spirit</v>
      </c>
      <c r="N147" s="14" t="str">
        <f>IFERROR(__xludf.DUMMYFUNCTION("IF(REGEXMATCH($B147,N$1),$D147,"""")"),"")</f>
        <v/>
      </c>
      <c r="O147" s="14" t="str">
        <f>IFERROR(__xludf.DUMMYFUNCTION("IF(REGEXMATCH($B147,O$1),$D147,"""")"),"")</f>
        <v/>
      </c>
      <c r="P147" s="14" t="str">
        <f>IFERROR(__xludf.DUMMYFUNCTION("IF(REGEXMATCH($B147,P$1),$D147,"""")"),"")</f>
        <v/>
      </c>
      <c r="Q147" s="14">
        <f>IFERROR(__xludf.DUMMYFUNCTION("IF($A147="""","""",LEN(REGEXREPLACE($I147,"",\s?"","""")))"),5.0)</f>
        <v>5</v>
      </c>
      <c r="R147" s="15" t="s">
        <v>1021</v>
      </c>
      <c r="S147" s="17" t="s">
        <v>1022</v>
      </c>
      <c r="T147" s="17" t="s">
        <v>1023</v>
      </c>
      <c r="U147" s="17" t="s">
        <v>1024</v>
      </c>
      <c r="V147" s="17" t="s">
        <v>1025</v>
      </c>
      <c r="W147" s="17" t="s">
        <v>1026</v>
      </c>
      <c r="X147" s="17" t="s">
        <v>1027</v>
      </c>
      <c r="Y147" s="17" t="s">
        <v>1028</v>
      </c>
      <c r="Z147" s="17" t="s">
        <v>1029</v>
      </c>
      <c r="AA147" s="17" t="s">
        <v>1030</v>
      </c>
      <c r="AB147" s="17" t="s">
        <v>1031</v>
      </c>
    </row>
    <row r="148" hidden="1">
      <c r="A148" s="10" t="s">
        <v>1032</v>
      </c>
      <c r="B148" s="28" t="s">
        <v>1006</v>
      </c>
      <c r="C148" s="19">
        <v>2.0</v>
      </c>
      <c r="D148" s="12" t="s">
        <v>1033</v>
      </c>
      <c r="E148" s="10" t="s">
        <v>1034</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1035</v>
      </c>
      <c r="H148" s="12">
        <v>4.0</v>
      </c>
      <c r="I148" s="12" t="s">
        <v>1013</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1036</v>
      </c>
      <c r="B149" s="28" t="s">
        <v>1006</v>
      </c>
      <c r="C149" s="19">
        <v>1.0</v>
      </c>
      <c r="D149" s="12" t="s">
        <v>1037</v>
      </c>
      <c r="E149" s="10" t="s">
        <v>1038</v>
      </c>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Crystal|.*crystal.*bury""),""Empty-Crystal"","""")&amp;IF(REGEXMATCH($E149,""Move|move""),""Move"","""")"),"Unearth Aggro ")</f>
        <v>Unearth Aggro </v>
      </c>
      <c r="G149" s="13" t="s">
        <v>1039</v>
      </c>
      <c r="H149" s="12">
        <v>5.0</v>
      </c>
      <c r="I149" s="12" t="s">
        <v>1013</v>
      </c>
      <c r="J149" s="12" t="s">
        <v>69</v>
      </c>
      <c r="L149" s="14" t="str">
        <f>IFERROR(__xludf.DUMMYFUNCTION("IF(REGEXMATCH($B149,L$1),$D149,"""")"),"Undead")</f>
        <v>Undead</v>
      </c>
      <c r="M149" s="14" t="str">
        <f>IFERROR(__xludf.DUMMYFUNCTION("IF(REGEXMATCH($B149,M$1),$D149,"""")"),"")</f>
        <v/>
      </c>
      <c r="N149" s="14" t="str">
        <f>IFERROR(__xludf.DUMMYFUNCTION("IF(REGEXMATCH($B149,N$1),$D149,"""")"),"Undead")</f>
        <v>Undead</v>
      </c>
      <c r="O149" s="14" t="str">
        <f>IFERROR(__xludf.DUMMYFUNCTION("IF(REGEXMATCH($B149,O$1),$D149,"""")"),"")</f>
        <v/>
      </c>
      <c r="P149" s="14" t="str">
        <f>IFERROR(__xludf.DUMMYFUNCTION("IF(REGEXMATCH($B149,P$1),$D149,"""")"),"")</f>
        <v/>
      </c>
      <c r="Q149" s="14">
        <f>IFERROR(__xludf.DUMMYFUNCTION("IF($A149="""","""",LEN(REGEXREPLACE($I149,"",\s?"","""")))"),5.0)</f>
        <v>5</v>
      </c>
      <c r="R149" s="15" t="s">
        <v>1040</v>
      </c>
      <c r="S149" s="17" t="s">
        <v>1041</v>
      </c>
      <c r="T149" s="17" t="s">
        <v>1042</v>
      </c>
      <c r="U149" s="17" t="s">
        <v>1043</v>
      </c>
      <c r="V149" s="17" t="s">
        <v>1044</v>
      </c>
      <c r="W149" s="17" t="s">
        <v>1045</v>
      </c>
      <c r="X149" s="17" t="s">
        <v>1046</v>
      </c>
      <c r="Y149" s="14"/>
      <c r="Z149" s="14"/>
      <c r="AA149" s="14"/>
      <c r="AB149" s="14"/>
    </row>
    <row r="150" hidden="1">
      <c r="A150" s="25" t="s">
        <v>1047</v>
      </c>
      <c r="B150" s="28" t="s">
        <v>1006</v>
      </c>
      <c r="C150" s="12">
        <v>2.0</v>
      </c>
      <c r="D150" s="12" t="s">
        <v>1048</v>
      </c>
      <c r="E150" s="10" t="s">
        <v>1049</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1050</v>
      </c>
      <c r="H150" s="12">
        <v>5.0</v>
      </c>
      <c r="I150" s="12" t="s">
        <v>1013</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1051</v>
      </c>
      <c r="B151" s="28" t="s">
        <v>1006</v>
      </c>
      <c r="C151" s="12">
        <v>1.0</v>
      </c>
      <c r="D151" s="12" t="s">
        <v>1052</v>
      </c>
      <c r="E151" s="10"/>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1053</v>
      </c>
      <c r="H151" s="12">
        <v>2.0</v>
      </c>
      <c r="I151" s="12" t="s">
        <v>1008</v>
      </c>
      <c r="J151" s="12" t="s">
        <v>33</v>
      </c>
      <c r="L151" s="14" t="str">
        <f>IFERROR(__xludf.DUMMYFUNCTION("IF(REGEXMATCH($B151,L$1),$D151,"""")"),"Bannerbearer Undead Warrior")</f>
        <v>Bannerbearer Undead Warrior</v>
      </c>
      <c r="M151" s="14" t="str">
        <f>IFERROR(__xludf.DUMMYFUNCTION("IF(REGEXMATCH($B151,M$1),$D151,"""")"),"")</f>
        <v/>
      </c>
      <c r="N151" s="14" t="str">
        <f>IFERROR(__xludf.DUMMYFUNCTION("IF(REGEXMATCH($B151,N$1),$D151,"""")"),"Bannerbearer Undead Warrior")</f>
        <v>Bannerbearer Undead Warrior</v>
      </c>
      <c r="O151" s="14" t="str">
        <f>IFERROR(__xludf.DUMMYFUNCTION("IF(REGEXMATCH($B151,O$1),$D151,"""")"),"")</f>
        <v/>
      </c>
      <c r="P151" s="14" t="str">
        <f>IFERROR(__xludf.DUMMYFUNCTION("IF(REGEXMATCH($B151,P$1),$D151,"""")"),"")</f>
        <v/>
      </c>
      <c r="Q151" s="14">
        <f>IFERROR(__xludf.DUMMYFUNCTION("IF($A151="""","""",LEN(REGEXREPLACE($I151,"",\s?"","""")))"),2.0)</f>
        <v>2</v>
      </c>
      <c r="R151" s="15" t="s">
        <v>1054</v>
      </c>
      <c r="S151" s="17" t="s">
        <v>1055</v>
      </c>
      <c r="T151" s="17" t="s">
        <v>1056</v>
      </c>
      <c r="U151" s="17" t="s">
        <v>1057</v>
      </c>
      <c r="V151" s="17" t="s">
        <v>1058</v>
      </c>
      <c r="W151" s="17" t="s">
        <v>1059</v>
      </c>
      <c r="X151" s="17" t="s">
        <v>1060</v>
      </c>
      <c r="Y151" s="17" t="s">
        <v>1061</v>
      </c>
      <c r="Z151" s="17" t="s">
        <v>1062</v>
      </c>
      <c r="AA151" s="17" t="s">
        <v>1063</v>
      </c>
      <c r="AB151" s="17" t="s">
        <v>1064</v>
      </c>
    </row>
    <row r="152">
      <c r="A152" s="10" t="s">
        <v>1065</v>
      </c>
      <c r="B152" s="28" t="s">
        <v>1006</v>
      </c>
      <c r="C152" s="12">
        <v>1.0</v>
      </c>
      <c r="D152" s="12" t="s">
        <v>849</v>
      </c>
      <c r="E152" s="10" t="s">
        <v>1066</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f>
        <v/>
      </c>
      <c r="G152" s="13" t="s">
        <v>1067</v>
      </c>
      <c r="H152" s="12">
        <v>5.0</v>
      </c>
      <c r="I152" s="12" t="s">
        <v>1068</v>
      </c>
      <c r="J152" s="12" t="s">
        <v>39</v>
      </c>
      <c r="L152" s="14" t="str">
        <f>IFERROR(__xludf.DUMMYFUNCTION("IF(REGEXMATCH($B152,L$1),$D152,"""")"),"Demon Dragon")</f>
        <v>Demon Dragon</v>
      </c>
      <c r="M152" s="14" t="str">
        <f>IFERROR(__xludf.DUMMYFUNCTION("IF(REGEXMATCH($B152,M$1),$D152,"""")"),"")</f>
        <v/>
      </c>
      <c r="N152" s="14" t="str">
        <f>IFERROR(__xludf.DUMMYFUNCTION("IF(REGEXMATCH($B152,N$1),$D152,"""")"),"Demon Dragon")</f>
        <v>Demon Dragon</v>
      </c>
      <c r="O152" s="14" t="str">
        <f>IFERROR(__xludf.DUMMYFUNCTION("IF(REGEXMATCH($B152,O$1),$D152,"""")"),"")</f>
        <v/>
      </c>
      <c r="P152" s="14" t="str">
        <f>IFERROR(__xludf.DUMMYFUNCTION("IF(REGEXMATCH($B152,P$1),$D152,"""")"),"")</f>
        <v/>
      </c>
      <c r="Q152" s="14">
        <f>IFERROR(__xludf.DUMMYFUNCTION("IF($A152="""","""",LEN(REGEXREPLACE($I152,"",\s?"","""")))"),4.0)</f>
        <v>4</v>
      </c>
      <c r="S152" s="14"/>
      <c r="T152" s="14"/>
      <c r="U152" s="14"/>
      <c r="V152" s="14"/>
      <c r="W152" s="14"/>
      <c r="X152" s="14"/>
      <c r="Y152" s="14"/>
      <c r="Z152" s="14"/>
      <c r="AA152" s="14"/>
      <c r="AB152" s="14"/>
    </row>
    <row r="153">
      <c r="A153" s="70" t="s">
        <v>1069</v>
      </c>
      <c r="B153" s="28" t="s">
        <v>14</v>
      </c>
      <c r="C153" s="12">
        <v>1.0</v>
      </c>
      <c r="D153" s="51" t="s">
        <v>692</v>
      </c>
      <c r="E153" s="20" t="s">
        <v>1070</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Crystal|.*crystal.*bury""),""Empty-Crystal"","""")&amp;IF(REGEXMATCH($E153,""Move|move""),""Move"","""")"),"Wizard ")</f>
        <v>Wizard </v>
      </c>
      <c r="G153" s="78" t="s">
        <v>1071</v>
      </c>
      <c r="H153" s="19">
        <v>3.0</v>
      </c>
      <c r="I153" s="19" t="s">
        <v>1072</v>
      </c>
      <c r="J153" s="12" t="s">
        <v>33</v>
      </c>
      <c r="L153" s="51" t="s">
        <v>692</v>
      </c>
      <c r="M153" s="14" t="str">
        <f>IFERROR(__xludf.DUMMYFUNCTION("IF(REGEXMATCH($B153,M$1),$D153,"""")"),"")</f>
        <v/>
      </c>
      <c r="N153" s="14" t="str">
        <f>IFERROR(__xludf.DUMMYFUNCTION("IF(REGEXMATCH($B153,N$1),$D153,"""")"),"")</f>
        <v/>
      </c>
      <c r="O153" s="14" t="str">
        <f>IFERROR(__xludf.DUMMYFUNCTION("IF(REGEXMATCH($B153,O$1),$D153,"""")"),"Plant Wizard")</f>
        <v>Plant Wizard</v>
      </c>
      <c r="P153" s="14" t="str">
        <f>IFERROR(__xludf.DUMMYFUNCTION("IF(REGEXMATCH($B153,P$1),$D153,"""")"),"")</f>
        <v/>
      </c>
      <c r="Q153" s="14">
        <f>IFERROR(__xludf.DUMMYFUNCTION("IF($A153="""","""",LEN(REGEXREPLACE($I153,"",\s?"","""")))"),3.0)</f>
        <v>3</v>
      </c>
      <c r="S153" s="14"/>
      <c r="T153" s="14"/>
      <c r="U153" s="14"/>
      <c r="V153" s="14"/>
      <c r="W153" s="14"/>
      <c r="X153" s="14"/>
      <c r="Y153" s="14"/>
      <c r="Z153" s="14"/>
      <c r="AA153" s="14"/>
      <c r="AB153" s="14"/>
    </row>
    <row r="154" hidden="1">
      <c r="A154" s="20" t="s">
        <v>1073</v>
      </c>
      <c r="B154" s="79" t="s">
        <v>14</v>
      </c>
      <c r="C154" s="19">
        <v>2.0</v>
      </c>
      <c r="D154" s="19" t="s">
        <v>44</v>
      </c>
      <c r="E154" s="20" t="s">
        <v>1074</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1075</v>
      </c>
      <c r="H154" s="19">
        <v>2.0</v>
      </c>
      <c r="I154" s="19" t="s">
        <v>1072</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10" t="s">
        <v>1076</v>
      </c>
      <c r="B155" s="28" t="s">
        <v>14</v>
      </c>
      <c r="C155" s="12">
        <v>1.0</v>
      </c>
      <c r="D155" s="12" t="s">
        <v>656</v>
      </c>
      <c r="E155" s="10" t="s">
        <v>1077</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Crystal|.*crystal.*bury""),""Empty-Crystal"","""")&amp;IF(REGEXMATCH($E155,""Move|move""),""Move"","""")"),"Mortal ")</f>
        <v>Mortal </v>
      </c>
      <c r="G155" s="13" t="s">
        <v>1078</v>
      </c>
      <c r="H155" s="12">
        <v>1.0</v>
      </c>
      <c r="I155" s="12" t="s">
        <v>1079</v>
      </c>
      <c r="J155" s="12" t="s">
        <v>33</v>
      </c>
      <c r="L155" s="12" t="s">
        <v>656</v>
      </c>
      <c r="M155" s="14" t="str">
        <f>IFERROR(__xludf.DUMMYFUNCTION("IF(REGEXMATCH($B155,M$1),$D155,"""")"),"")</f>
        <v/>
      </c>
      <c r="N155" s="14" t="str">
        <f>IFERROR(__xludf.DUMMYFUNCTION("IF(REGEXMATCH($B155,N$1),$D155,"""")"),"")</f>
        <v/>
      </c>
      <c r="O155" s="14" t="str">
        <f>IFERROR(__xludf.DUMMYFUNCTION("IF(REGEXMATCH($B155,O$1),$D155,"""")"),"Insect")</f>
        <v>Insect</v>
      </c>
      <c r="P155" s="14" t="str">
        <f>IFERROR(__xludf.DUMMYFUNCTION("IF(REGEXMATCH($B155,P$1),$D155,"""")"),"")</f>
        <v/>
      </c>
      <c r="Q155" s="14">
        <f>IFERROR(__xludf.DUMMYFUNCTION("IF($A155="""","""",LEN(REGEXREPLACE($I155,"",\s?"","""")))"),2.0)</f>
        <v>2</v>
      </c>
      <c r="S155" s="14"/>
      <c r="T155" s="14"/>
      <c r="U155" s="14"/>
      <c r="V155" s="14"/>
      <c r="W155" s="14"/>
      <c r="X155" s="14"/>
      <c r="Y155" s="14"/>
      <c r="Z155" s="14"/>
      <c r="AA155" s="14"/>
      <c r="AB155" s="14"/>
    </row>
    <row r="156">
      <c r="A156" s="10" t="s">
        <v>1080</v>
      </c>
      <c r="B156" s="28" t="s">
        <v>14</v>
      </c>
      <c r="C156" s="12">
        <v>1.0</v>
      </c>
      <c r="D156" s="12" t="s">
        <v>135</v>
      </c>
      <c r="E156" s="10"/>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1081</v>
      </c>
      <c r="H156" s="12">
        <v>4.0</v>
      </c>
      <c r="I156" s="12" t="s">
        <v>1072</v>
      </c>
      <c r="J156" s="12" t="s">
        <v>33</v>
      </c>
      <c r="L156" s="12" t="s">
        <v>135</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IFERROR(__xludf.DUMMYFUNCTION("IF($A156="""","""",LEN(REGEXREPLACE($I156,"",\s?"","""")))"),3.0)</f>
        <v>3</v>
      </c>
      <c r="S156" s="14"/>
      <c r="T156" s="14"/>
      <c r="U156" s="14"/>
      <c r="V156" s="14"/>
      <c r="W156" s="14"/>
      <c r="X156" s="14"/>
      <c r="Y156" s="14"/>
      <c r="Z156" s="14"/>
      <c r="AA156" s="14"/>
      <c r="AB156" s="14"/>
    </row>
    <row r="157" hidden="1">
      <c r="A157" s="35" t="s">
        <v>1082</v>
      </c>
      <c r="B157" s="79" t="s">
        <v>14</v>
      </c>
      <c r="C157" s="19">
        <v>2.0</v>
      </c>
      <c r="D157" s="19" t="s">
        <v>738</v>
      </c>
      <c r="E157" s="20" t="s">
        <v>1083</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739</v>
      </c>
      <c r="H157" s="19">
        <v>2.0</v>
      </c>
      <c r="I157" s="19" t="s">
        <v>1079</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20" t="s">
        <v>1084</v>
      </c>
      <c r="B158" s="28" t="s">
        <v>14</v>
      </c>
      <c r="C158" s="12">
        <v>1.0</v>
      </c>
      <c r="D158" s="12" t="s">
        <v>44</v>
      </c>
      <c r="E158" s="10" t="s">
        <v>61</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f>
        <v/>
      </c>
      <c r="G158" s="13" t="s">
        <v>1085</v>
      </c>
      <c r="H158" s="12">
        <v>1.0</v>
      </c>
      <c r="I158" s="12" t="s">
        <v>1086</v>
      </c>
      <c r="J158" s="12" t="s">
        <v>33</v>
      </c>
      <c r="L158" s="12" t="s">
        <v>44</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IFERROR(__xludf.DUMMYFUNCTION("IF($A158="""","""",LEN(REGEXREPLACE($I158,"",\s?"","""")))"),1.0)</f>
        <v>1</v>
      </c>
      <c r="S158" s="14"/>
      <c r="T158" s="14"/>
      <c r="U158" s="14"/>
      <c r="V158" s="14"/>
      <c r="W158" s="14"/>
      <c r="X158" s="14"/>
      <c r="Y158" s="14"/>
      <c r="Z158" s="14"/>
      <c r="AA158" s="14"/>
      <c r="AB158" s="14"/>
    </row>
    <row r="159">
      <c r="A159" s="20" t="s">
        <v>1087</v>
      </c>
      <c r="B159" s="28" t="s">
        <v>14</v>
      </c>
      <c r="C159" s="12">
        <v>1.0</v>
      </c>
      <c r="D159" s="12" t="s">
        <v>470</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80" t="s">
        <v>1088</v>
      </c>
      <c r="H159" s="12">
        <v>5.0</v>
      </c>
      <c r="I159" s="19" t="s">
        <v>1089</v>
      </c>
      <c r="J159" s="12" t="s">
        <v>33</v>
      </c>
      <c r="L159" s="12" t="s">
        <v>470</v>
      </c>
      <c r="M159" s="14" t="str">
        <f>IFERROR(__xludf.DUMMYFUNCTION("IF(REGEXMATCH($B159,M$1),$D159,"""")"),"")</f>
        <v/>
      </c>
      <c r="N159" s="14" t="str">
        <f>IFERROR(__xludf.DUMMYFUNCTION("IF(REGEXMATCH($B159,N$1),$D159,"""")"),"")</f>
        <v/>
      </c>
      <c r="O159" s="14" t="str">
        <f>IFERROR(__xludf.DUMMYFUNCTION("IF(REGEXMATCH($B159,O$1),$D159,"""")"),"Human Warrior")</f>
        <v>Human Warrior</v>
      </c>
      <c r="P159" s="14" t="str">
        <f>IFERROR(__xludf.DUMMYFUNCTION("IF(REGEXMATCH($B159,P$1),$D159,"""")"),"")</f>
        <v/>
      </c>
      <c r="Q159" s="14">
        <f>IFERROR(__xludf.DUMMYFUNCTION("IF($A159="""","""",LEN(REGEXREPLACE($I159,"",\s?"","""")))"),5.0)</f>
        <v>5</v>
      </c>
      <c r="S159" s="17" t="s">
        <v>1090</v>
      </c>
      <c r="T159" s="14"/>
      <c r="U159" s="14"/>
      <c r="V159" s="14"/>
      <c r="W159" s="14"/>
      <c r="X159" s="14"/>
      <c r="Y159" s="14"/>
      <c r="Z159" s="14"/>
      <c r="AA159" s="14"/>
      <c r="AB159" s="14"/>
    </row>
    <row r="160">
      <c r="A160" s="25" t="s">
        <v>1091</v>
      </c>
      <c r="B160" s="28" t="s">
        <v>14</v>
      </c>
      <c r="C160" s="12">
        <v>1.0</v>
      </c>
      <c r="D160" s="12" t="s">
        <v>121</v>
      </c>
      <c r="E160" s="10" t="s">
        <v>1092</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f>
        <v/>
      </c>
      <c r="G160" s="13" t="s">
        <v>1093</v>
      </c>
      <c r="H160" s="12">
        <v>3.0</v>
      </c>
      <c r="I160" s="12" t="s">
        <v>1094</v>
      </c>
      <c r="J160" s="12" t="s">
        <v>33</v>
      </c>
      <c r="L160" s="12" t="s">
        <v>121</v>
      </c>
      <c r="M160" s="14" t="str">
        <f>IFERROR(__xludf.DUMMYFUNCTION("IF(REGEXMATCH($B160,M$1),$D160,"""")"),"")</f>
        <v/>
      </c>
      <c r="N160" s="14" t="str">
        <f>IFERROR(__xludf.DUMMYFUNCTION("IF(REGEXMATCH($B160,N$1),$D160,"""")"),"")</f>
        <v/>
      </c>
      <c r="O160" s="14" t="str">
        <f>IFERROR(__xludf.DUMMYFUNCTION("IF(REGEXMATCH($B160,O$1),$D160,"""")"),"Animal Construct")</f>
        <v>Animal Construct</v>
      </c>
      <c r="P160" s="14" t="str">
        <f>IFERROR(__xludf.DUMMYFUNCTION("IF(REGEXMATCH($B160,P$1),$D160,"""")"),"")</f>
        <v/>
      </c>
      <c r="Q160" s="14">
        <f>IFERROR(__xludf.DUMMYFUNCTION("IF($A160="""","""",LEN(REGEXREPLACE($I160,"",\s?"","""")))"),6.0)</f>
        <v>6</v>
      </c>
      <c r="S160" s="14"/>
      <c r="T160" s="14"/>
      <c r="U160" s="14"/>
      <c r="V160" s="14"/>
      <c r="W160" s="14"/>
      <c r="X160" s="14"/>
      <c r="Y160" s="14"/>
      <c r="Z160" s="14"/>
      <c r="AA160" s="14"/>
      <c r="AB160" s="14"/>
    </row>
    <row r="161" hidden="1">
      <c r="A161" s="20" t="s">
        <v>1095</v>
      </c>
      <c r="B161" s="39" t="s">
        <v>14</v>
      </c>
      <c r="C161" s="19">
        <v>2.0</v>
      </c>
      <c r="D161" s="19" t="s">
        <v>1096</v>
      </c>
      <c r="E161" s="20" t="s">
        <v>1097</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1098</v>
      </c>
      <c r="H161" s="19">
        <v>4.0</v>
      </c>
      <c r="I161" s="19" t="s">
        <v>304</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5" t="s">
        <v>1099</v>
      </c>
      <c r="B162" s="10" t="s">
        <v>14</v>
      </c>
      <c r="C162" s="12">
        <v>1.0</v>
      </c>
      <c r="D162" s="12" t="s">
        <v>428</v>
      </c>
      <c r="E162" s="10" t="s">
        <v>1100</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Crystal|.*crystal.*bury""),""Empty-Crystal"","""")&amp;IF(REGEXMATCH($E162,""Move|move""),""Move"","""")"),"Move")</f>
        <v>Move</v>
      </c>
      <c r="G162" s="13" t="s">
        <v>1101</v>
      </c>
      <c r="H162" s="12">
        <v>2.0</v>
      </c>
      <c r="I162" s="12" t="s">
        <v>1102</v>
      </c>
      <c r="J162" s="12" t="s">
        <v>33</v>
      </c>
      <c r="L162" s="12" t="s">
        <v>428</v>
      </c>
      <c r="M162" s="14" t="str">
        <f>IFERROR(__xludf.DUMMYFUNCTION("IF(REGEXMATCH($B162,M$1),$D162,"""")"),"")</f>
        <v/>
      </c>
      <c r="N162" s="14" t="str">
        <f>IFERROR(__xludf.DUMMYFUNCTION("IF(REGEXMATCH($B162,N$1),$D162,"""")"),"")</f>
        <v/>
      </c>
      <c r="O162" s="14" t="str">
        <f>IFERROR(__xludf.DUMMYFUNCTION("IF(REGEXMATCH($B162,O$1),$D162,"""")"),"Dragon")</f>
        <v>Dragon</v>
      </c>
      <c r="P162" s="14" t="str">
        <f>IFERROR(__xludf.DUMMYFUNCTION("IF(REGEXMATCH($B162,P$1),$D162,"""")"),"")</f>
        <v/>
      </c>
      <c r="Q162" s="14">
        <f>IFERROR(__xludf.DUMMYFUNCTION("IF($A162="""","""",LEN(REGEXREPLACE($I162,"",\s?"","""")))"),4.0)</f>
        <v>4</v>
      </c>
      <c r="S162" s="14"/>
      <c r="T162" s="14"/>
      <c r="U162" s="14"/>
      <c r="V162" s="14"/>
      <c r="W162" s="14"/>
      <c r="X162" s="14"/>
      <c r="Y162" s="14"/>
      <c r="Z162" s="14"/>
      <c r="AA162" s="14"/>
      <c r="AB162" s="14"/>
    </row>
    <row r="163">
      <c r="A163" s="25" t="s">
        <v>1103</v>
      </c>
      <c r="B163" s="10" t="s">
        <v>14</v>
      </c>
      <c r="C163" s="12">
        <v>1.0</v>
      </c>
      <c r="D163" s="12" t="s">
        <v>77</v>
      </c>
      <c r="E163" s="10" t="s">
        <v>1104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Crystal|.*crystal.*bury""),""Empty-Crystal"","""")&amp;IF(REGEXMATCH($E163,""Move|move""),""Move"","""")"),"Construct Move")</f>
        <v>Construct Move</v>
      </c>
      <c r="G163" s="13" t="s">
        <v>1105</v>
      </c>
      <c r="H163" s="12">
        <v>4.0</v>
      </c>
      <c r="I163" s="12" t="s">
        <v>1106</v>
      </c>
      <c r="J163" s="12" t="s">
        <v>33</v>
      </c>
      <c r="L163" s="12" t="s">
        <v>77</v>
      </c>
      <c r="M163" s="14" t="str">
        <f>IFERROR(__xludf.DUMMYFUNCTION("IF(REGEXMATCH($B163,M$1),$D163,"""")"),"")</f>
        <v/>
      </c>
      <c r="N163" s="14" t="str">
        <f>IFERROR(__xludf.DUMMYFUNCTION("IF(REGEXMATCH($B163,N$1),$D163,"""")"),"")</f>
        <v/>
      </c>
      <c r="O163" s="14" t="str">
        <f>IFERROR(__xludf.DUMMYFUNCTION("IF(REGEXMATCH($B163,O$1),$D163,"""")"),"Construct")</f>
        <v>Construct</v>
      </c>
      <c r="P163" s="14" t="str">
        <f>IFERROR(__xludf.DUMMYFUNCTION("IF(REGEXMATCH($B163,P$1),$D163,"""")"),"")</f>
        <v/>
      </c>
      <c r="Q163" s="14">
        <f>IFERROR(__xludf.DUMMYFUNCTION("IF($A163="""","""",LEN(REGEXREPLACE($I163,"",\s?"","""")))"),4.0)</f>
        <v>4</v>
      </c>
      <c r="S163" s="14"/>
      <c r="T163" s="14"/>
      <c r="U163" s="14"/>
      <c r="V163" s="14"/>
      <c r="W163" s="14"/>
      <c r="X163" s="14"/>
      <c r="Y163" s="14"/>
      <c r="Z163" s="14"/>
      <c r="AA163" s="14"/>
      <c r="AB163" s="14"/>
    </row>
    <row r="164" hidden="1">
      <c r="A164" s="20" t="s">
        <v>1107</v>
      </c>
      <c r="B164" s="81" t="s">
        <v>14</v>
      </c>
      <c r="C164" s="19">
        <v>2.0</v>
      </c>
      <c r="D164" s="19" t="s">
        <v>44</v>
      </c>
      <c r="E164" s="20" t="s">
        <v>1108</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199</v>
      </c>
      <c r="H164" s="19">
        <v>2.0</v>
      </c>
      <c r="I164" s="19" t="s">
        <v>1102</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1109</v>
      </c>
      <c r="B165" s="81" t="s">
        <v>14</v>
      </c>
      <c r="C165" s="19">
        <v>2.0</v>
      </c>
      <c r="D165" s="19" t="s">
        <v>135</v>
      </c>
      <c r="E165" s="20" t="s">
        <v>1110</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1111</v>
      </c>
      <c r="H165" s="19">
        <v>4.0</v>
      </c>
      <c r="I165" s="19" t="s">
        <v>1102</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10" t="s">
        <v>1112</v>
      </c>
      <c r="B166" s="10" t="s">
        <v>14</v>
      </c>
      <c r="C166" s="12">
        <v>1.0</v>
      </c>
      <c r="D166" s="12" t="s">
        <v>1048</v>
      </c>
      <c r="E166" s="82" t="s">
        <v>1113</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Crystal|.*crystal.*bury""),""Empty-Crystal"","""")&amp;IF(REGEXMATCH($E166,""Move|move""),""Move"","""")"),"Warrior ")</f>
        <v>Warrior </v>
      </c>
      <c r="G166" s="21" t="s">
        <v>1114</v>
      </c>
      <c r="H166" s="12">
        <v>6.0</v>
      </c>
      <c r="I166" s="12" t="s">
        <v>1115</v>
      </c>
      <c r="J166" s="12" t="s">
        <v>33</v>
      </c>
      <c r="L166" s="12" t="s">
        <v>1048</v>
      </c>
      <c r="M166" s="14" t="str">
        <f>IFERROR(__xludf.DUMMYFUNCTION("IF(REGEXMATCH($B166,M$1),$D166,"""")"),"")</f>
        <v/>
      </c>
      <c r="N166" s="14" t="str">
        <f>IFERROR(__xludf.DUMMYFUNCTION("IF(REGEXMATCH($B166,N$1),$D166,"""")"),"")</f>
        <v/>
      </c>
      <c r="O166" s="14" t="str">
        <f>IFERROR(__xludf.DUMMYFUNCTION("IF(REGEXMATCH($B166,O$1),$D166,"""")"),"Animal Warrior")</f>
        <v>Animal Warrior</v>
      </c>
      <c r="P166" s="14" t="str">
        <f>IFERROR(__xludf.DUMMYFUNCTION("IF(REGEXMATCH($B166,P$1),$D166,"""")"),"")</f>
        <v/>
      </c>
      <c r="Q166" s="14">
        <f>IFERROR(__xludf.DUMMYFUNCTION("IF($A166="""","""",LEN(REGEXREPLACE($I166,"",\s?"","""")))"),4.0)</f>
        <v>4</v>
      </c>
      <c r="S166" s="14"/>
      <c r="T166" s="14"/>
      <c r="U166" s="14"/>
      <c r="V166" s="14"/>
      <c r="W166" s="14"/>
      <c r="X166" s="14"/>
      <c r="Y166" s="14"/>
      <c r="Z166" s="14"/>
      <c r="AA166" s="14"/>
      <c r="AB166" s="14"/>
    </row>
    <row r="167">
      <c r="A167" s="27" t="s">
        <v>1116</v>
      </c>
      <c r="B167" s="10" t="s">
        <v>14</v>
      </c>
      <c r="C167" s="12">
        <v>1.0</v>
      </c>
      <c r="D167" s="24" t="s">
        <v>104</v>
      </c>
      <c r="E167" s="76" t="s">
        <v>1117</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f>
        <v/>
      </c>
      <c r="G167" s="44" t="s">
        <v>1118</v>
      </c>
      <c r="H167" s="12">
        <v>2.0</v>
      </c>
      <c r="I167" s="12" t="s">
        <v>1119</v>
      </c>
      <c r="J167" s="19" t="s">
        <v>33</v>
      </c>
      <c r="L167" s="24" t="s">
        <v>104</v>
      </c>
      <c r="M167" s="14" t="str">
        <f>IFERROR(__xludf.DUMMYFUNCTION("IF(REGEXMATCH($B167,M$1),$D167,"""")"),"")</f>
        <v/>
      </c>
      <c r="N167" s="14" t="str">
        <f>IFERROR(__xludf.DUMMYFUNCTION("IF(REGEXMATCH($B167,N$1),$D167,"""")"),"")</f>
        <v/>
      </c>
      <c r="O167" s="14" t="str">
        <f>IFERROR(__xludf.DUMMYFUNCTION("IF(REGEXMATCH($B167,O$1),$D167,"""")"),"Animal")</f>
        <v>Animal</v>
      </c>
      <c r="P167" s="14" t="str">
        <f>IFERROR(__xludf.DUMMYFUNCTION("IF(REGEXMATCH($B167,P$1),$D167,"""")"),"")</f>
        <v/>
      </c>
      <c r="Q167" s="14">
        <f>IFERROR(__xludf.DUMMYFUNCTION("IF($A167="""","""",LEN(REGEXREPLACE($I167,"",\s?"","""")))"),2.0)</f>
        <v>2</v>
      </c>
      <c r="S167" s="14"/>
      <c r="T167" s="14"/>
      <c r="U167" s="14"/>
      <c r="V167" s="14"/>
      <c r="W167" s="14"/>
      <c r="X167" s="14"/>
      <c r="Y167" s="14"/>
      <c r="Z167" s="14"/>
      <c r="AA167" s="14"/>
      <c r="AB167" s="14"/>
    </row>
    <row r="168" hidden="1">
      <c r="A168" s="10" t="s">
        <v>1120</v>
      </c>
      <c r="B168" s="83" t="s">
        <v>14</v>
      </c>
      <c r="C168" s="12">
        <v>2.0</v>
      </c>
      <c r="D168" s="12" t="s">
        <v>44</v>
      </c>
      <c r="E168" s="84" t="s">
        <v>1121</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697</v>
      </c>
      <c r="H168" s="12">
        <v>3.0</v>
      </c>
      <c r="I168" s="12" t="s">
        <v>1079</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20" t="s">
        <v>1122</v>
      </c>
      <c r="B169" s="10" t="s">
        <v>14</v>
      </c>
      <c r="C169" s="12">
        <v>1.0</v>
      </c>
      <c r="D169" s="12" t="s">
        <v>470</v>
      </c>
      <c r="E169" s="10" t="s">
        <v>1123</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Crystal|.*crystal.*bury""),""Empty-Crystal"","""")&amp;IF(REGEXMATCH($E169,""Move|move""),""Move"","""")"),"Mortal ")</f>
        <v>Mortal </v>
      </c>
      <c r="G169" s="13" t="s">
        <v>1124</v>
      </c>
      <c r="H169" s="12">
        <v>1.0</v>
      </c>
      <c r="I169" s="12" t="s">
        <v>1079</v>
      </c>
      <c r="J169" s="24" t="s">
        <v>33</v>
      </c>
      <c r="L169" s="12" t="s">
        <v>470</v>
      </c>
      <c r="M169" s="14" t="str">
        <f>IFERROR(__xludf.DUMMYFUNCTION("IF(REGEXMATCH($B169,M$1),$D169,"""")"),"")</f>
        <v/>
      </c>
      <c r="N169" s="14" t="str">
        <f>IFERROR(__xludf.DUMMYFUNCTION("IF(REGEXMATCH($B169,N$1),$D169,"""")"),"")</f>
        <v/>
      </c>
      <c r="O169" s="14" t="str">
        <f>IFERROR(__xludf.DUMMYFUNCTION("IF(REGEXMATCH($B169,O$1),$D169,"""")"),"Human Warrior")</f>
        <v>Human Warrior</v>
      </c>
      <c r="P169" s="14" t="str">
        <f>IFERROR(__xludf.DUMMYFUNCTION("IF(REGEXMATCH($B169,P$1),$D169,"""")"),"")</f>
        <v/>
      </c>
      <c r="Q169" s="14">
        <f>IFERROR(__xludf.DUMMYFUNCTION("IF($A169="""","""",LEN(REGEXREPLACE($I169,"",\s?"","""")))"),2.0)</f>
        <v>2</v>
      </c>
      <c r="S169" s="14"/>
      <c r="T169" s="14"/>
      <c r="U169" s="14"/>
      <c r="V169" s="14"/>
      <c r="W169" s="14"/>
      <c r="X169" s="14"/>
      <c r="Y169" s="14"/>
      <c r="Z169" s="14"/>
      <c r="AA169" s="14"/>
      <c r="AB169" s="14"/>
    </row>
    <row r="170">
      <c r="A170" s="10" t="s">
        <v>1125</v>
      </c>
      <c r="B170" s="10" t="s">
        <v>14</v>
      </c>
      <c r="C170" s="12">
        <v>1.0</v>
      </c>
      <c r="D170" s="12" t="s">
        <v>1048</v>
      </c>
      <c r="E170" s="10" t="s">
        <v>1126</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Crystal|.*crystal.*bury""),""Empty-Crystal"","""")&amp;IF(REGEXMATCH($E170,""Move|move""),""Move"","""")"),"Animal Warrior ")</f>
        <v>Animal Warrior </v>
      </c>
      <c r="G170" s="13" t="s">
        <v>1127</v>
      </c>
      <c r="H170" s="12">
        <v>0.0</v>
      </c>
      <c r="I170" s="12" t="s">
        <v>1106</v>
      </c>
      <c r="J170" s="12" t="s">
        <v>33</v>
      </c>
      <c r="L170" s="12" t="s">
        <v>1048</v>
      </c>
      <c r="M170" s="14" t="str">
        <f>IFERROR(__xludf.DUMMYFUNCTION("IF(REGEXMATCH($B170,M$1),$D170,"""")"),"")</f>
        <v/>
      </c>
      <c r="N170" s="14" t="str">
        <f>IFERROR(__xludf.DUMMYFUNCTION("IF(REGEXMATCH($B170,N$1),$D170,"""")"),"")</f>
        <v/>
      </c>
      <c r="O170" s="14" t="str">
        <f>IFERROR(__xludf.DUMMYFUNCTION("IF(REGEXMATCH($B170,O$1),$D170,"""")"),"Animal Warrior")</f>
        <v>Animal Warrior</v>
      </c>
      <c r="P170" s="14" t="str">
        <f>IFERROR(__xludf.DUMMYFUNCTION("IF(REGEXMATCH($B170,P$1),$D170,"""")"),"")</f>
        <v/>
      </c>
      <c r="Q170" s="14">
        <f>IFERROR(__xludf.DUMMYFUNCTION("IF($A170="""","""",LEN(REGEXREPLACE($I170,"",\s?"","""")))"),4.0)</f>
        <v>4</v>
      </c>
      <c r="S170" s="14"/>
      <c r="T170" s="14"/>
      <c r="U170" s="14"/>
      <c r="V170" s="14"/>
      <c r="W170" s="14"/>
      <c r="X170" s="14"/>
      <c r="Y170" s="14"/>
      <c r="Z170" s="14"/>
      <c r="AA170" s="14"/>
      <c r="AB170" s="14"/>
    </row>
    <row r="171" hidden="1">
      <c r="A171" s="25" t="s">
        <v>1128</v>
      </c>
      <c r="B171" s="83" t="s">
        <v>14</v>
      </c>
      <c r="C171" s="12">
        <v>2.0</v>
      </c>
      <c r="D171" s="12" t="s">
        <v>297</v>
      </c>
      <c r="E171" s="10" t="s">
        <v>1129</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1130</v>
      </c>
      <c r="H171" s="12">
        <v>3.0</v>
      </c>
      <c r="I171" s="12" t="s">
        <v>1072</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1131</v>
      </c>
      <c r="B172" s="83" t="s">
        <v>14</v>
      </c>
      <c r="C172" s="12">
        <v>2.0</v>
      </c>
      <c r="D172" s="12" t="s">
        <v>470</v>
      </c>
      <c r="E172" s="10" t="s">
        <v>1132</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1133</v>
      </c>
      <c r="H172" s="12">
        <v>2.0</v>
      </c>
      <c r="I172" s="12" t="s">
        <v>1086</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1134</v>
      </c>
      <c r="B173" s="81" t="s">
        <v>14</v>
      </c>
      <c r="C173" s="19">
        <v>2.0</v>
      </c>
      <c r="D173" s="19" t="s">
        <v>135</v>
      </c>
      <c r="E173" s="20" t="s">
        <v>1135</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700</v>
      </c>
      <c r="H173" s="19">
        <v>4.0</v>
      </c>
      <c r="I173" s="19" t="s">
        <v>1089</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1136</v>
      </c>
      <c r="B174" s="83" t="s">
        <v>14</v>
      </c>
      <c r="C174" s="12">
        <v>2.0</v>
      </c>
      <c r="D174" s="12" t="s">
        <v>297</v>
      </c>
      <c r="E174" s="10" t="s">
        <v>1137</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1138</v>
      </c>
      <c r="H174" s="12">
        <v>4.0</v>
      </c>
      <c r="I174" s="12" t="s">
        <v>1089</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1139</v>
      </c>
      <c r="B175" s="81" t="s">
        <v>14</v>
      </c>
      <c r="C175" s="19">
        <v>2.0</v>
      </c>
      <c r="D175" s="19" t="s">
        <v>44</v>
      </c>
      <c r="E175" s="20" t="s">
        <v>1140</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1141</v>
      </c>
      <c r="H175" s="19">
        <v>1.0</v>
      </c>
      <c r="I175" s="19" t="s">
        <v>1086</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10" t="s">
        <v>1142</v>
      </c>
      <c r="B176" s="10" t="s">
        <v>14</v>
      </c>
      <c r="C176" s="12">
        <v>1.0</v>
      </c>
      <c r="D176" s="12" t="s">
        <v>104</v>
      </c>
      <c r="E176" s="76" t="s">
        <v>1143</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Crystal|.*crystal.*bury""),""Empty-Crystal"","""")&amp;IF(REGEXMATCH($E176,""Move|move""),""Move"","""")"),"Human ")</f>
        <v>Human </v>
      </c>
      <c r="G176" s="85" t="s">
        <v>1144</v>
      </c>
      <c r="H176" s="12">
        <v>2.0</v>
      </c>
      <c r="I176" s="12" t="s">
        <v>1072</v>
      </c>
      <c r="J176" s="12" t="s">
        <v>33</v>
      </c>
      <c r="L176" s="12" t="s">
        <v>104</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IFERROR(__xludf.DUMMYFUNCTION("IF($A176="""","""",LEN(REGEXREPLACE($I176,"",\s?"","""")))"),3.0)</f>
        <v>3</v>
      </c>
      <c r="S176" s="14"/>
      <c r="T176" s="14"/>
      <c r="U176" s="14"/>
      <c r="V176" s="14"/>
      <c r="W176" s="14"/>
      <c r="X176" s="14"/>
      <c r="Y176" s="14"/>
      <c r="Z176" s="14"/>
      <c r="AA176" s="14"/>
      <c r="AB176" s="14"/>
    </row>
    <row r="177" hidden="1">
      <c r="A177" s="20" t="s">
        <v>1145</v>
      </c>
      <c r="B177" s="81" t="s">
        <v>14</v>
      </c>
      <c r="C177" s="19">
        <v>2.0</v>
      </c>
      <c r="D177" s="19" t="s">
        <v>135</v>
      </c>
      <c r="E177" s="20" t="s">
        <v>1146</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1147</v>
      </c>
      <c r="H177" s="19">
        <v>3.0</v>
      </c>
      <c r="I177" s="19" t="s">
        <v>1089</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20" t="s">
        <v>1148</v>
      </c>
      <c r="B178" s="10" t="s">
        <v>14</v>
      </c>
      <c r="C178" s="12">
        <v>1.0</v>
      </c>
      <c r="D178" s="12" t="s">
        <v>135</v>
      </c>
      <c r="E178" s="20" t="s">
        <v>1149</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Crystal|.*crystal.*bury""),""Empty-Crystal"","""")&amp;IF(REGEXMATCH($E178,""Move|move""),""Move"","""")"),"Control ")</f>
        <v>Control </v>
      </c>
      <c r="G178" s="21" t="s">
        <v>1150</v>
      </c>
      <c r="H178" s="12">
        <v>2.0</v>
      </c>
      <c r="I178" s="12" t="s">
        <v>304</v>
      </c>
      <c r="J178" s="12" t="s">
        <v>39</v>
      </c>
      <c r="L178" s="12" t="s">
        <v>135</v>
      </c>
      <c r="M178" s="14" t="str">
        <f>IFERROR(__xludf.DUMMYFUNCTION("IF(REGEXMATCH($B178,M$1),$D178,"""")"),"")</f>
        <v/>
      </c>
      <c r="N178" s="14" t="str">
        <f>IFERROR(__xludf.DUMMYFUNCTION("IF(REGEXMATCH($B178,N$1),$D178,"""")"),"")</f>
        <v/>
      </c>
      <c r="O178" s="14" t="str">
        <f>IFERROR(__xludf.DUMMYFUNCTION("IF(REGEXMATCH($B178,O$1),$D178,"""")"),"Human Hunter")</f>
        <v>Human Hunter</v>
      </c>
      <c r="P178" s="14" t="str">
        <f>IFERROR(__xludf.DUMMYFUNCTION("IF(REGEXMATCH($B178,P$1),$D178,"""")"),"")</f>
        <v/>
      </c>
      <c r="Q178" s="14">
        <f>IFERROR(__xludf.DUMMYFUNCTION("IF($A178="""","""",LEN(REGEXREPLACE($I178,"",\s?"","""")))"),5.0)</f>
        <v>5</v>
      </c>
      <c r="S178" s="14"/>
      <c r="T178" s="14"/>
      <c r="U178" s="14"/>
      <c r="V178" s="14"/>
      <c r="W178" s="14"/>
      <c r="X178" s="14"/>
      <c r="Y178" s="14"/>
      <c r="Z178" s="14"/>
      <c r="AA178" s="14"/>
      <c r="AB178" s="14"/>
    </row>
    <row r="179" hidden="1">
      <c r="A179" s="53" t="s">
        <v>1151</v>
      </c>
      <c r="B179" s="83" t="s">
        <v>14</v>
      </c>
      <c r="C179" s="12">
        <v>2.0</v>
      </c>
      <c r="D179" s="12" t="s">
        <v>308</v>
      </c>
      <c r="E179" s="10" t="s">
        <v>1152</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1153</v>
      </c>
      <c r="H179" s="12">
        <v>3.0</v>
      </c>
      <c r="I179" s="12" t="s">
        <v>1102</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0" t="s">
        <v>1154</v>
      </c>
      <c r="B180" s="20" t="s">
        <v>14</v>
      </c>
      <c r="C180" s="19">
        <v>1.0</v>
      </c>
      <c r="D180" s="19" t="s">
        <v>121</v>
      </c>
      <c r="E180" s="20" t="s">
        <v>1155</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f>
        <v/>
      </c>
      <c r="G180" s="21" t="s">
        <v>1156</v>
      </c>
      <c r="H180" s="19">
        <v>3.0</v>
      </c>
      <c r="I180" s="19" t="s">
        <v>1072</v>
      </c>
      <c r="J180" s="12" t="s">
        <v>39</v>
      </c>
      <c r="L180" s="19" t="s">
        <v>121</v>
      </c>
      <c r="M180" s="14" t="str">
        <f>IFERROR(__xludf.DUMMYFUNCTION("IF(REGEXMATCH($B180,M$1),$D180,"""")"),"")</f>
        <v/>
      </c>
      <c r="N180" s="14" t="str">
        <f>IFERROR(__xludf.DUMMYFUNCTION("IF(REGEXMATCH($B180,N$1),$D180,"""")"),"")</f>
        <v/>
      </c>
      <c r="O180" s="14" t="str">
        <f>IFERROR(__xludf.DUMMYFUNCTION("IF(REGEXMATCH($B180,O$1),$D180,"""")"),"Animal Construct")</f>
        <v>Animal Construct</v>
      </c>
      <c r="P180" s="14" t="str">
        <f>IFERROR(__xludf.DUMMYFUNCTION("IF(REGEXMATCH($B180,P$1),$D180,"""")"),"")</f>
        <v/>
      </c>
      <c r="Q180" s="14">
        <f>IFERROR(__xludf.DUMMYFUNCTION("IF($A180="""","""",LEN(REGEXREPLACE($I180,"",\s?"","""")))"),3.0)</f>
        <v>3</v>
      </c>
      <c r="S180" s="14"/>
      <c r="T180" s="14"/>
      <c r="U180" s="14"/>
      <c r="V180" s="14"/>
      <c r="W180" s="14"/>
      <c r="X180" s="14"/>
      <c r="Y180" s="14"/>
      <c r="Z180" s="14"/>
      <c r="AA180" s="14"/>
      <c r="AB180" s="14"/>
    </row>
    <row r="181">
      <c r="A181" s="27" t="s">
        <v>1157</v>
      </c>
      <c r="B181" s="10" t="s">
        <v>14</v>
      </c>
      <c r="C181" s="12">
        <v>1.0</v>
      </c>
      <c r="D181" s="12" t="s">
        <v>44</v>
      </c>
      <c r="E181" s="10" t="s">
        <v>1158</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Crystal|.*crystal.*bury""),""Empty-Crystal"","""")&amp;IF(REGEXMATCH($E181,""Move|move""),""Move"","""")"),"Control ")</f>
        <v>Control </v>
      </c>
      <c r="G181" s="13" t="s">
        <v>1159</v>
      </c>
      <c r="H181" s="12">
        <v>4.0</v>
      </c>
      <c r="I181" s="12" t="s">
        <v>1102</v>
      </c>
      <c r="J181" s="24" t="s">
        <v>39</v>
      </c>
      <c r="L181" s="12" t="s">
        <v>44</v>
      </c>
      <c r="M181" s="14" t="str">
        <f>IFERROR(__xludf.DUMMYFUNCTION("IF(REGEXMATCH($B181,M$1),$D181,"""")"),"")</f>
        <v/>
      </c>
      <c r="N181" s="14" t="str">
        <f>IFERROR(__xludf.DUMMYFUNCTION("IF(REGEXMATCH($B181,N$1),$D181,"""")"),"")</f>
        <v/>
      </c>
      <c r="O181" s="14" t="str">
        <f>IFERROR(__xludf.DUMMYFUNCTION("IF(REGEXMATCH($B181,O$1),$D181,"""")"),"Human")</f>
        <v>Human</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1160</v>
      </c>
      <c r="B182" s="83" t="s">
        <v>14</v>
      </c>
      <c r="C182" s="19">
        <v>2.0</v>
      </c>
      <c r="D182" s="12" t="s">
        <v>77</v>
      </c>
      <c r="E182" s="10" t="s">
        <v>1161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1162</v>
      </c>
      <c r="H182" s="12">
        <v>3.0</v>
      </c>
      <c r="I182" s="12" t="s">
        <v>1102</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20" t="s">
        <v>1163</v>
      </c>
      <c r="B183" s="10" t="s">
        <v>14</v>
      </c>
      <c r="C183" s="12">
        <v>1.0</v>
      </c>
      <c r="D183" s="19" t="s">
        <v>104</v>
      </c>
      <c r="E183" s="10" t="s">
        <v>1164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Crystal|.*crystal.*bury""),""Empty-Crystal"","""")&amp;IF(REGEXMATCH($E183,""Move|move""),""Move"","""")"),"Ramp ")</f>
        <v>Ramp </v>
      </c>
      <c r="G183" s="13" t="s">
        <v>1165</v>
      </c>
      <c r="H183" s="12">
        <v>3.0</v>
      </c>
      <c r="I183" s="12" t="s">
        <v>1106</v>
      </c>
      <c r="J183" s="12" t="s">
        <v>39</v>
      </c>
      <c r="L183" s="19" t="s">
        <v>104</v>
      </c>
      <c r="M183" s="14" t="str">
        <f>IFERROR(__xludf.DUMMYFUNCTION("IF(REGEXMATCH($B183,M$1),$D183,"""")"),"")</f>
        <v/>
      </c>
      <c r="N183" s="14" t="str">
        <f>IFERROR(__xludf.DUMMYFUNCTION("IF(REGEXMATCH($B183,N$1),$D183,"""")"),"")</f>
        <v/>
      </c>
      <c r="O183" s="14" t="str">
        <f>IFERROR(__xludf.DUMMYFUNCTION("IF(REGEXMATCH($B183,O$1),$D183,"""")"),"Animal")</f>
        <v>Animal</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1166</v>
      </c>
      <c r="B184" s="83" t="s">
        <v>14</v>
      </c>
      <c r="C184" s="19">
        <v>2.0</v>
      </c>
      <c r="D184" s="12" t="s">
        <v>44</v>
      </c>
      <c r="E184" s="86" t="s">
        <v>1167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1168</v>
      </c>
      <c r="H184" s="12">
        <v>3.0</v>
      </c>
      <c r="I184" s="12" t="s">
        <v>1102</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1169</v>
      </c>
      <c r="B185" s="83" t="s">
        <v>14</v>
      </c>
      <c r="C185" s="12">
        <v>0.0</v>
      </c>
      <c r="D185" s="12" t="s">
        <v>221</v>
      </c>
      <c r="E185" s="10" t="s">
        <v>1170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1171</v>
      </c>
      <c r="H185" s="12">
        <v>4.0</v>
      </c>
      <c r="I185" s="12" t="s">
        <v>1089</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1172</v>
      </c>
      <c r="B186" s="83" t="s">
        <v>14</v>
      </c>
      <c r="C186" s="12">
        <v>2.0</v>
      </c>
      <c r="D186" s="12" t="s">
        <v>1048</v>
      </c>
      <c r="E186" s="10" t="s">
        <v>1173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697</v>
      </c>
      <c r="H186" s="12">
        <v>2.0</v>
      </c>
      <c r="I186" s="12" t="s">
        <v>1174</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31" t="s">
        <v>1175</v>
      </c>
      <c r="B187" s="33" t="s">
        <v>14</v>
      </c>
      <c r="C187" s="66">
        <v>1.0</v>
      </c>
      <c r="D187" s="66" t="s">
        <v>470</v>
      </c>
      <c r="E187" s="87" t="s">
        <v>1176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Crystal|.*crystal.*bury""),""Empty-Crystal"","""")&amp;IF(REGEXMATCH($E187,""Move|move""),""Move"","""")"),"Aggro ")</f>
        <v>Aggro </v>
      </c>
      <c r="G187" s="67" t="s">
        <v>697</v>
      </c>
      <c r="H187" s="68">
        <v>7.0</v>
      </c>
      <c r="I187" s="66" t="s">
        <v>1177</v>
      </c>
      <c r="J187" s="68" t="s">
        <v>39</v>
      </c>
      <c r="L187" s="66" t="s">
        <v>470</v>
      </c>
      <c r="M187" s="14" t="str">
        <f>IFERROR(__xludf.DUMMYFUNCTION("IF(REGEXMATCH($B187,M$1),$D187,"""")"),"")</f>
        <v/>
      </c>
      <c r="N187" s="14" t="str">
        <f>IFERROR(__xludf.DUMMYFUNCTION("IF(REGEXMATCH($B187,N$1),$D187,"""")"),"")</f>
        <v/>
      </c>
      <c r="O187" s="14" t="str">
        <f>IFERROR(__xludf.DUMMYFUNCTION("IF(REGEXMATCH($B187,O$1),$D187,"""")"),"Human Warrior")</f>
        <v>Human Warrior</v>
      </c>
      <c r="P187" s="14" t="str">
        <f>IFERROR(__xludf.DUMMYFUNCTION("IF(REGEXMATCH($B187,P$1),$D187,"""")"),"")</f>
        <v/>
      </c>
      <c r="Q187" s="14">
        <f>IFERROR(__xludf.DUMMYFUNCTION("IF($A187="""","""",LEN(REGEXREPLACE($I187,"",\s?"","""")))"),6.0)</f>
        <v>6</v>
      </c>
      <c r="S187" s="14"/>
      <c r="T187" s="14"/>
      <c r="U187" s="14"/>
      <c r="V187" s="14"/>
      <c r="W187" s="14"/>
      <c r="X187" s="14"/>
      <c r="Y187" s="14"/>
      <c r="Z187" s="14"/>
      <c r="AA187" s="14"/>
      <c r="AB187" s="14"/>
    </row>
    <row r="188" hidden="1">
      <c r="A188" s="20" t="s">
        <v>1178</v>
      </c>
      <c r="B188" s="81" t="s">
        <v>14</v>
      </c>
      <c r="C188" s="19">
        <v>2.0</v>
      </c>
      <c r="D188" s="19" t="s">
        <v>104</v>
      </c>
      <c r="E188" s="20" t="s">
        <v>1179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1180</v>
      </c>
      <c r="H188" s="19">
        <v>1.0</v>
      </c>
      <c r="I188" s="19" t="s">
        <v>1086</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35" t="s">
        <v>1181</v>
      </c>
      <c r="B189" s="20" t="s">
        <v>14</v>
      </c>
      <c r="C189" s="19">
        <v>1.0</v>
      </c>
      <c r="D189" s="19" t="s">
        <v>360</v>
      </c>
      <c r="E189" s="20" t="s">
        <v>1182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Crystal|.*crystal.*bury""),""Empty-Crystal"","""")&amp;IF(REGEXMATCH($E189,""Move|move""),""Move"","""")"),"Mortal Ramp ")</f>
        <v>Mortal Ramp </v>
      </c>
      <c r="G189" s="21" t="s">
        <v>1183</v>
      </c>
      <c r="H189" s="19">
        <v>6.0</v>
      </c>
      <c r="I189" s="19" t="s">
        <v>1094</v>
      </c>
      <c r="J189" s="19" t="s">
        <v>39</v>
      </c>
      <c r="L189" s="19" t="s">
        <v>360</v>
      </c>
      <c r="M189" s="14" t="str">
        <f>IFERROR(__xludf.DUMMYFUNCTION("IF(REGEXMATCH($B189,M$1),$D189,"""")"),"")</f>
        <v/>
      </c>
      <c r="N189" s="14" t="str">
        <f>IFERROR(__xludf.DUMMYFUNCTION("IF(REGEXMATCH($B189,N$1),$D189,"""")"),"")</f>
        <v/>
      </c>
      <c r="O189" s="14" t="str">
        <f>IFERROR(__xludf.DUMMYFUNCTION("IF(REGEXMATCH($B189,O$1),$D189,"""")"),"Dinosaur")</f>
        <v>Dinosaur</v>
      </c>
      <c r="P189" s="14" t="str">
        <f>IFERROR(__xludf.DUMMYFUNCTION("IF(REGEXMATCH($B189,P$1),$D189,"""")"),"")</f>
        <v/>
      </c>
      <c r="Q189" s="14">
        <f>IFERROR(__xludf.DUMMYFUNCTION("IF($A189="""","""",LEN(REGEXREPLACE($I189,"",\s?"","""")))"),6.0)</f>
        <v>6</v>
      </c>
      <c r="S189" s="14"/>
      <c r="T189" s="14"/>
      <c r="U189" s="14"/>
      <c r="V189" s="14"/>
      <c r="W189" s="14"/>
      <c r="X189" s="14"/>
      <c r="Y189" s="14"/>
      <c r="Z189" s="14"/>
      <c r="AA189" s="14"/>
      <c r="AB189" s="14"/>
    </row>
    <row r="190">
      <c r="A190" s="20" t="s">
        <v>1184</v>
      </c>
      <c r="B190" s="10" t="s">
        <v>14</v>
      </c>
      <c r="C190" s="12">
        <v>1.0</v>
      </c>
      <c r="D190" s="12" t="s">
        <v>135</v>
      </c>
      <c r="E190" s="10" t="s">
        <v>1185</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13" t="s">
        <v>1186</v>
      </c>
      <c r="H190" s="12">
        <v>4.0</v>
      </c>
      <c r="I190" s="12" t="s">
        <v>1102</v>
      </c>
      <c r="J190" s="12" t="s">
        <v>69</v>
      </c>
      <c r="L190" s="12" t="s">
        <v>135</v>
      </c>
      <c r="M190" s="14" t="str">
        <f>IFERROR(__xludf.DUMMYFUNCTION("IF(REGEXMATCH($B190,M$1),$D190,"""")"),"")</f>
        <v/>
      </c>
      <c r="N190" s="14" t="str">
        <f>IFERROR(__xludf.DUMMYFUNCTION("IF(REGEXMATCH($B190,N$1),$D190,"""")"),"")</f>
        <v/>
      </c>
      <c r="O190" s="14" t="str">
        <f>IFERROR(__xludf.DUMMYFUNCTION("IF(REGEXMATCH($B190,O$1),$D190,"""")"),"Human Hunter")</f>
        <v>Human Hunter</v>
      </c>
      <c r="P190" s="14" t="str">
        <f>IFERROR(__xludf.DUMMYFUNCTION("IF(REGEXMATCH($B190,P$1),$D190,"""")"),"")</f>
        <v/>
      </c>
      <c r="Q190" s="14">
        <f>IFERROR(__xludf.DUMMYFUNCTION("IF($A190="""","""",LEN(REGEXREPLACE($I190,"",\s?"","""")))"),4.0)</f>
        <v>4</v>
      </c>
      <c r="S190" s="14"/>
      <c r="T190" s="14"/>
      <c r="U190" s="14"/>
      <c r="V190" s="14"/>
      <c r="W190" s="14"/>
      <c r="X190" s="14"/>
      <c r="Y190" s="14"/>
      <c r="Z190" s="14"/>
      <c r="AA190" s="14"/>
      <c r="AB190" s="14"/>
    </row>
    <row r="191">
      <c r="A191" s="10" t="s">
        <v>1187</v>
      </c>
      <c r="B191" s="10" t="s">
        <v>14</v>
      </c>
      <c r="C191" s="12">
        <v>1.0</v>
      </c>
      <c r="D191" s="12" t="s">
        <v>44</v>
      </c>
      <c r="E191" s="10" t="s">
        <v>1188</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Crystal|.*crystal.*bury""),""Empty-Crystal"","""")&amp;IF(REGEXMATCH($E191,""Move|move""),""Move"","""")"),"Human Ramp ")</f>
        <v>Human Ramp </v>
      </c>
      <c r="G191" s="13" t="s">
        <v>1189</v>
      </c>
      <c r="H191" s="12">
        <v>1.0</v>
      </c>
      <c r="I191" s="12" t="s">
        <v>1079</v>
      </c>
      <c r="J191" s="12" t="s">
        <v>69</v>
      </c>
      <c r="L191" s="12" t="s">
        <v>44</v>
      </c>
      <c r="M191" s="14" t="str">
        <f>IFERROR(__xludf.DUMMYFUNCTION("IF(REGEXMATCH($B191,M$1),$D191,"""")"),"")</f>
        <v/>
      </c>
      <c r="N191" s="14" t="str">
        <f>IFERROR(__xludf.DUMMYFUNCTION("IF(REGEXMATCH($B191,N$1),$D191,"""")"),"")</f>
        <v/>
      </c>
      <c r="O191" s="14" t="str">
        <f>IFERROR(__xludf.DUMMYFUNCTION("IF(REGEXMATCH($B191,O$1),$D191,"""")"),"Human")</f>
        <v>Human</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25" t="s">
        <v>1190</v>
      </c>
      <c r="B192" s="10" t="s">
        <v>14</v>
      </c>
      <c r="C192" s="12">
        <v>1.0</v>
      </c>
      <c r="D192" s="12" t="s">
        <v>232</v>
      </c>
      <c r="E192" s="10" t="s">
        <v>1191</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Crystal|.*crystal.*bury""),""Empty-Crystal"","""")&amp;IF(REGEXMATCH($E192,""Move|move""),""Move"","""")"),"Warrior ")</f>
        <v>Warrior </v>
      </c>
      <c r="G192" s="13" t="s">
        <v>1192</v>
      </c>
      <c r="H192" s="12">
        <v>2.0</v>
      </c>
      <c r="I192" s="12" t="s">
        <v>1072</v>
      </c>
      <c r="J192" s="12" t="s">
        <v>69</v>
      </c>
      <c r="L192" s="12" t="s">
        <v>232</v>
      </c>
      <c r="M192" s="14" t="str">
        <f>IFERROR(__xludf.DUMMYFUNCTION("IF(REGEXMATCH($B192,M$1),$D192,"""")"),"")</f>
        <v/>
      </c>
      <c r="N192" s="14" t="str">
        <f>IFERROR(__xludf.DUMMYFUNCTION("IF(REGEXMATCH($B192,N$1),$D192,"""")"),"")</f>
        <v/>
      </c>
      <c r="O192" s="14" t="str">
        <f>IFERROR(__xludf.DUMMYFUNCTION("IF(REGEXMATCH($B192,O$1),$D192,"""")"),"Construct Warrior")</f>
        <v>Construct Warrior</v>
      </c>
      <c r="P192" s="14" t="str">
        <f>IFERROR(__xludf.DUMMYFUNCTION("IF(REGEXMATCH($B192,P$1),$D192,"""")"),"")</f>
        <v/>
      </c>
      <c r="Q192" s="14">
        <f>IFERROR(__xludf.DUMMYFUNCTION("IF($A192="""","""",LEN(REGEXREPLACE($I192,"",\s?"","""")))"),3.0)</f>
        <v>3</v>
      </c>
      <c r="S192" s="14"/>
      <c r="T192" s="14"/>
      <c r="U192" s="14"/>
      <c r="V192" s="14"/>
      <c r="W192" s="14"/>
      <c r="X192" s="14"/>
      <c r="Y192" s="14"/>
      <c r="Z192" s="14"/>
      <c r="AA192" s="14"/>
      <c r="AB192" s="14"/>
    </row>
    <row r="193" hidden="1">
      <c r="A193" s="25" t="s">
        <v>1193</v>
      </c>
      <c r="B193" s="83" t="s">
        <v>14</v>
      </c>
      <c r="C193" s="12">
        <v>2.0</v>
      </c>
      <c r="D193" s="12" t="s">
        <v>104</v>
      </c>
      <c r="E193" s="10" t="s">
        <v>1194</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1195</v>
      </c>
      <c r="H193" s="12">
        <v>1.0</v>
      </c>
      <c r="I193" s="12" t="s">
        <v>1079</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1196</v>
      </c>
      <c r="B194" s="83" t="s">
        <v>14</v>
      </c>
      <c r="C194" s="19">
        <v>2.0</v>
      </c>
      <c r="D194" s="12" t="s">
        <v>232</v>
      </c>
      <c r="E194" s="10" t="s">
        <v>1197</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1094</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10" t="s">
        <v>1198</v>
      </c>
      <c r="B195" s="10" t="s">
        <v>14</v>
      </c>
      <c r="C195" s="12">
        <v>1.0</v>
      </c>
      <c r="D195" s="12" t="s">
        <v>77</v>
      </c>
      <c r="E195" s="10" t="s">
        <v>1199</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Aggro ")</f>
        <v>Control Aggro </v>
      </c>
      <c r="G195" s="13" t="s">
        <v>1200</v>
      </c>
      <c r="H195" s="12">
        <v>2.0</v>
      </c>
      <c r="I195" s="12" t="s">
        <v>1102</v>
      </c>
      <c r="J195" s="12" t="s">
        <v>69</v>
      </c>
      <c r="L195" s="12" t="s">
        <v>77</v>
      </c>
      <c r="M195" s="14" t="str">
        <f>IFERROR(__xludf.DUMMYFUNCTION("IF(REGEXMATCH($B195,M$1),$D195,"""")"),"")</f>
        <v/>
      </c>
      <c r="N195" s="14" t="str">
        <f>IFERROR(__xludf.DUMMYFUNCTION("IF(REGEXMATCH($B195,N$1),$D195,"""")"),"")</f>
        <v/>
      </c>
      <c r="O195" s="14" t="str">
        <f>IFERROR(__xludf.DUMMYFUNCTION("IF(REGEXMATCH($B195,O$1),$D195,"""")"),"Construct")</f>
        <v>Construct</v>
      </c>
      <c r="P195" s="14" t="str">
        <f>IFERROR(__xludf.DUMMYFUNCTION("IF(REGEXMATCH($B195,P$1),$D195,"""")"),"")</f>
        <v/>
      </c>
      <c r="Q195" s="14">
        <f>IFERROR(__xludf.DUMMYFUNCTION("IF($A195="""","""",LEN(REGEXREPLACE($I195,"",\s?"","""")))"),4.0)</f>
        <v>4</v>
      </c>
      <c r="S195" s="14"/>
      <c r="T195" s="14"/>
      <c r="U195" s="14"/>
      <c r="V195" s="14"/>
      <c r="W195" s="14"/>
      <c r="X195" s="14"/>
      <c r="Y195" s="14"/>
      <c r="Z195" s="14"/>
      <c r="AA195" s="14"/>
      <c r="AB195" s="14"/>
    </row>
    <row r="196" hidden="1">
      <c r="A196" s="20" t="s">
        <v>1201</v>
      </c>
      <c r="B196" s="81" t="s">
        <v>14</v>
      </c>
      <c r="C196" s="19">
        <v>2.0</v>
      </c>
      <c r="D196" s="19" t="s">
        <v>1048</v>
      </c>
      <c r="E196" s="20" t="s">
        <v>1202</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1086</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88" t="s">
        <v>1203</v>
      </c>
      <c r="B197" s="10" t="s">
        <v>14</v>
      </c>
      <c r="C197" s="12">
        <v>1.0</v>
      </c>
      <c r="D197" s="32" t="s">
        <v>966</v>
      </c>
      <c r="E197" s="76" t="s">
        <v>1204</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Crystal|.*crystal.*bury""),""Empty-Crystal"","""")&amp;IF(REGEXMATCH($E197,""Move|move""),""Move"","""")"),"Aggro ")</f>
        <v>Aggro </v>
      </c>
      <c r="G197" s="89" t="s">
        <v>1205</v>
      </c>
      <c r="H197" s="12">
        <v>3.0</v>
      </c>
      <c r="I197" s="12" t="s">
        <v>1102</v>
      </c>
      <c r="J197" s="24" t="s">
        <v>69</v>
      </c>
      <c r="L197" s="32" t="s">
        <v>966</v>
      </c>
      <c r="M197" s="14" t="str">
        <f>IFERROR(__xludf.DUMMYFUNCTION("IF(REGEXMATCH($B197,M$1),$D197,"""")"),"")</f>
        <v/>
      </c>
      <c r="N197" s="14" t="str">
        <f>IFERROR(__xludf.DUMMYFUNCTION("IF(REGEXMATCH($B197,N$1),$D197,"""")"),"")</f>
        <v/>
      </c>
      <c r="O197" s="14" t="str">
        <f>IFERROR(__xludf.DUMMYFUNCTION("IF(REGEXMATCH($B197,O$1),$D197,"""")"),"Dinosaur Warrior")</f>
        <v>Dinosaur Warrior</v>
      </c>
      <c r="P197" s="14" t="str">
        <f>IFERROR(__xludf.DUMMYFUNCTION("IF(REGEXMATCH($B197,P$1),$D197,"""")"),"")</f>
        <v/>
      </c>
      <c r="Q197" s="14">
        <f>IFERROR(__xludf.DUMMYFUNCTION("IF($A197="""","""",LEN(REGEXREPLACE($I197,"",\s?"","""")))"),4.0)</f>
        <v>4</v>
      </c>
      <c r="S197" s="14"/>
      <c r="T197" s="14"/>
      <c r="U197" s="14"/>
      <c r="V197" s="14"/>
      <c r="W197" s="14"/>
      <c r="X197" s="14"/>
      <c r="Y197" s="14"/>
      <c r="Z197" s="14"/>
      <c r="AA197" s="14"/>
      <c r="AB197" s="14"/>
    </row>
    <row r="198">
      <c r="A198" s="27" t="s">
        <v>1206</v>
      </c>
      <c r="B198" s="10" t="s">
        <v>14</v>
      </c>
      <c r="C198" s="12">
        <v>1.0</v>
      </c>
      <c r="D198" s="12" t="s">
        <v>135</v>
      </c>
      <c r="E198" s="10" t="s">
        <v>1207</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Control ")</f>
        <v>Unearth Control </v>
      </c>
      <c r="G198" s="13" t="s">
        <v>1208</v>
      </c>
      <c r="H198" s="24">
        <v>3.0</v>
      </c>
      <c r="I198" s="12" t="s">
        <v>1106</v>
      </c>
      <c r="J198" s="24" t="s">
        <v>69</v>
      </c>
      <c r="L198" s="12" t="s">
        <v>135</v>
      </c>
      <c r="M198" s="14" t="str">
        <f>IFERROR(__xludf.DUMMYFUNCTION("IF(REGEXMATCH($B198,M$1),$D198,"""")"),"")</f>
        <v/>
      </c>
      <c r="N198" s="14" t="str">
        <f>IFERROR(__xludf.DUMMYFUNCTION("IF(REGEXMATCH($B198,N$1),$D198,"""")"),"")</f>
        <v/>
      </c>
      <c r="O198" s="14" t="str">
        <f>IFERROR(__xludf.DUMMYFUNCTION("IF(REGEXMATCH($B198,O$1),$D198,"""")"),"Human Hunter")</f>
        <v>Human Hunter</v>
      </c>
      <c r="P198" s="14" t="str">
        <f>IFERROR(__xludf.DUMMYFUNCTION("IF(REGEXMATCH($B198,P$1),$D198,"""")"),"")</f>
        <v/>
      </c>
      <c r="Q198" s="14">
        <f>IFERROR(__xludf.DUMMYFUNCTION("IF($A198="""","""",LEN(REGEXREPLACE($I198,"",\s?"","""")))"),4.0)</f>
        <v>4</v>
      </c>
      <c r="S198" s="14"/>
      <c r="T198" s="14"/>
      <c r="U198" s="14"/>
      <c r="V198" s="14"/>
      <c r="W198" s="14"/>
      <c r="X198" s="14"/>
      <c r="Y198" s="14"/>
      <c r="Z198" s="14"/>
      <c r="AA198" s="14"/>
      <c r="AB198" s="14"/>
    </row>
    <row r="199">
      <c r="A199" s="20" t="s">
        <v>1209</v>
      </c>
      <c r="B199" s="20" t="s">
        <v>14</v>
      </c>
      <c r="C199" s="19">
        <v>1.0</v>
      </c>
      <c r="D199" s="19" t="s">
        <v>135</v>
      </c>
      <c r="E199" s="20" t="s">
        <v>1210</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Crystal|.*crystal.*bury""),""Empty-Crystal"","""")&amp;IF(REGEXMATCH($E199,""Move|move""),""Move"","""")"),"Unearth Copy ")</f>
        <v>Unearth Copy </v>
      </c>
      <c r="G199" s="21" t="s">
        <v>1211</v>
      </c>
      <c r="H199" s="19">
        <v>2.0</v>
      </c>
      <c r="I199" s="19" t="s">
        <v>1174</v>
      </c>
      <c r="J199" s="19" t="s">
        <v>69</v>
      </c>
      <c r="L199" s="19" t="s">
        <v>135</v>
      </c>
      <c r="M199" s="14" t="str">
        <f>IFERROR(__xludf.DUMMYFUNCTION("IF(REGEXMATCH($B199,M$1),$D199,"""")"),"")</f>
        <v/>
      </c>
      <c r="N199" s="14" t="str">
        <f>IFERROR(__xludf.DUMMYFUNCTION("IF(REGEXMATCH($B199,N$1),$D199,"""")"),"")</f>
        <v/>
      </c>
      <c r="O199" s="14" t="str">
        <f>IFERROR(__xludf.DUMMYFUNCTION("IF(REGEXMATCH($B199,O$1),$D199,"""")"),"Human Hunter")</f>
        <v>Human Hunter</v>
      </c>
      <c r="P199" s="14" t="str">
        <f>IFERROR(__xludf.DUMMYFUNCTION("IF(REGEXMATCH($B199,P$1),$D199,"""")"),"")</f>
        <v/>
      </c>
      <c r="Q199" s="14">
        <f>IFERROR(__xludf.DUMMYFUNCTION("IF($A199="""","""",LEN(REGEXREPLACE($I199,"",\s?"","""")))"),3.0)</f>
        <v>3</v>
      </c>
      <c r="S199" s="14"/>
      <c r="T199" s="14"/>
      <c r="U199" s="14"/>
      <c r="V199" s="14"/>
      <c r="W199" s="14"/>
      <c r="X199" s="14"/>
      <c r="Y199" s="14"/>
      <c r="Z199" s="14"/>
      <c r="AA199" s="14"/>
      <c r="AB199" s="14"/>
    </row>
    <row r="200">
      <c r="A200" s="71" t="s">
        <v>1212</v>
      </c>
      <c r="B200" s="90" t="s">
        <v>14</v>
      </c>
      <c r="C200" s="73">
        <v>1.0</v>
      </c>
      <c r="D200" s="73" t="s">
        <v>470</v>
      </c>
      <c r="E200" s="71" t="s">
        <v>1213</v>
      </c>
      <c r="F200" s="74" t="s">
        <v>1214</v>
      </c>
      <c r="G200" s="71"/>
      <c r="H200" s="73">
        <v>7.0</v>
      </c>
      <c r="I200" s="73" t="s">
        <v>1177</v>
      </c>
      <c r="J200" s="73" t="s">
        <v>39</v>
      </c>
      <c r="K200" s="31"/>
      <c r="L200" s="71" t="str">
        <f>IFERROR(__xludf.DUMMYFUNCTION("IF(REGEXMATCH($B200,L$1),$D200,"""")"),"")</f>
        <v/>
      </c>
      <c r="M200" s="31" t="str">
        <f>IFERROR(__xludf.DUMMYFUNCTION("IF(REGEXMATCH($B200,M$1),$D200,"""")"),"")</f>
        <v/>
      </c>
      <c r="N200" s="31" t="str">
        <f>IFERROR(__xludf.DUMMYFUNCTION("IF(REGEXMATCH($B200,N$1),$D200,"""")"),"")</f>
        <v/>
      </c>
      <c r="O200" s="31" t="str">
        <f>IFERROR(__xludf.DUMMYFUNCTION("IF(REGEXMATCH($B200,O$1),$D200,"""")"),"Human Warrior")</f>
        <v>Human Warrior</v>
      </c>
      <c r="P200" s="31" t="str">
        <f>IFERROR(__xludf.DUMMYFUNCTION("IF(REGEXMATCH($B200,P$1),$D200,"""")"),"")</f>
        <v/>
      </c>
      <c r="Q200" s="75">
        <f>IFERROR(__xludf.DUMMYFUNCTION("IF($A200="""","""",LEN(REGEXREPLACE($I200,"",\s?"","""")))"),6.0)</f>
        <v>6</v>
      </c>
      <c r="R200" s="31"/>
      <c r="S200" s="31"/>
      <c r="T200" s="31"/>
      <c r="U200" s="31"/>
      <c r="V200" s="31"/>
      <c r="W200" s="31"/>
      <c r="X200" s="31"/>
      <c r="Y200" s="31"/>
      <c r="Z200" s="31"/>
      <c r="AA200" s="31"/>
      <c r="AB200" s="31"/>
    </row>
    <row r="201">
      <c r="A201" s="71" t="s">
        <v>1215</v>
      </c>
      <c r="B201" s="90" t="s">
        <v>14</v>
      </c>
      <c r="C201" s="73">
        <v>1.0</v>
      </c>
      <c r="D201" s="73" t="s">
        <v>297</v>
      </c>
      <c r="E201" s="71" t="s">
        <v>1216</v>
      </c>
      <c r="F201" s="74"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Crystal|.*crystal.*bury""),""Empty-Crystal"","""")&amp;IF(REGEXMATCH($E201,""Move|move""),""Move"","""")"),"Warrior Ramp ")</f>
        <v>Warrior Ramp </v>
      </c>
      <c r="G201" s="71"/>
      <c r="H201" s="73">
        <v>4.0</v>
      </c>
      <c r="I201" s="73" t="s">
        <v>304</v>
      </c>
      <c r="J201" s="73" t="s">
        <v>69</v>
      </c>
      <c r="K201" s="31"/>
      <c r="L201" s="71" t="str">
        <f>IFERROR(__xludf.DUMMYFUNCTION("IF(REGEXMATCH($B201,L$1),$D201,"""")"),"")</f>
        <v/>
      </c>
      <c r="M201" s="31" t="str">
        <f>IFERROR(__xludf.DUMMYFUNCTION("IF(REGEXMATCH($B201,M$1),$D201,"""")"),"")</f>
        <v/>
      </c>
      <c r="N201" s="31" t="str">
        <f>IFERROR(__xludf.DUMMYFUNCTION("IF(REGEXMATCH($B201,N$1),$D201,"""")"),"")</f>
        <v/>
      </c>
      <c r="O201" s="31" t="str">
        <f>IFERROR(__xludf.DUMMYFUNCTION("IF(REGEXMATCH($B201,O$1),$D201,"""")"),"Spirit Warrior")</f>
        <v>Spirit Warrior</v>
      </c>
      <c r="P201" s="31" t="str">
        <f>IFERROR(__xludf.DUMMYFUNCTION("IF(REGEXMATCH($B201,P$1),$D201,"""")"),"")</f>
        <v/>
      </c>
      <c r="Q201" s="75">
        <f>IFERROR(__xludf.DUMMYFUNCTION("IF($A201="""","""",LEN(REGEXREPLACE($I201,"",\s?"","""")))"),5.0)</f>
        <v>5</v>
      </c>
      <c r="R201" s="31"/>
      <c r="S201" s="31"/>
      <c r="T201" s="31"/>
      <c r="U201" s="31"/>
      <c r="V201" s="31"/>
      <c r="W201" s="31"/>
      <c r="X201" s="31"/>
      <c r="Y201" s="31"/>
      <c r="Z201" s="31"/>
      <c r="AA201" s="31"/>
      <c r="AB201" s="31"/>
    </row>
    <row r="202" hidden="1">
      <c r="A202" s="20" t="s">
        <v>1217</v>
      </c>
      <c r="B202" s="20" t="s">
        <v>14</v>
      </c>
      <c r="C202" s="19">
        <v>2.0</v>
      </c>
      <c r="D202" s="19" t="s">
        <v>1218</v>
      </c>
      <c r="E202" s="20" t="s">
        <v>1219</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f>
        <v/>
      </c>
      <c r="G202" s="21" t="s">
        <v>1220</v>
      </c>
      <c r="H202" s="19">
        <v>5.0</v>
      </c>
      <c r="I202" s="19" t="s">
        <v>304</v>
      </c>
      <c r="J202" s="19" t="s">
        <v>33</v>
      </c>
      <c r="L202" s="14" t="str">
        <f>IFERROR(__xludf.DUMMYFUNCTION("IF(REGEXMATCH($B202,L$1),$D202,"""")"),"")</f>
        <v/>
      </c>
      <c r="M202" s="14" t="str">
        <f>IFERROR(__xludf.DUMMYFUNCTION("IF(REGEXMATCH($B202,M$1),$D202,"""")"),"")</f>
        <v/>
      </c>
      <c r="N202" s="14" t="str">
        <f>IFERROR(__xludf.DUMMYFUNCTION("IF(REGEXMATCH($B202,N$1),$D202,"""")"),"")</f>
        <v/>
      </c>
      <c r="O202" s="14" t="str">
        <f>IFERROR(__xludf.DUMMYFUNCTION("IF(REGEXMATCH($B202,O$1),$D202,"""")"),"Construct Hunter")</f>
        <v>Construct Hunter</v>
      </c>
      <c r="P202" s="14" t="str">
        <f>IFERROR(__xludf.DUMMYFUNCTION("IF(REGEXMATCH($B202,P$1),$D202,"""")"),"")</f>
        <v/>
      </c>
      <c r="Q202" s="14">
        <f>IFERROR(__xludf.DUMMYFUNCTION("IF($A202="""","""",LEN(REGEXREPLACE($I202,"",\s?"","""")))"),5.0)</f>
        <v>5</v>
      </c>
      <c r="S202" s="14"/>
      <c r="T202" s="14"/>
      <c r="U202" s="14"/>
      <c r="V202" s="14"/>
      <c r="W202" s="14"/>
      <c r="X202" s="14"/>
      <c r="Y202" s="14"/>
      <c r="Z202" s="14"/>
      <c r="AA202" s="14"/>
      <c r="AB202" s="14"/>
    </row>
    <row r="203" hidden="1">
      <c r="A203" s="53" t="s">
        <v>1221</v>
      </c>
      <c r="B203" s="57" t="s">
        <v>1222</v>
      </c>
      <c r="C203" s="56">
        <v>2.0</v>
      </c>
      <c r="D203" s="56" t="s">
        <v>1223</v>
      </c>
      <c r="E203" s="57" t="s">
        <v>1224</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58" t="s">
        <v>31</v>
      </c>
      <c r="H203" s="59">
        <v>7.0</v>
      </c>
      <c r="I203" s="56" t="s">
        <v>1225</v>
      </c>
      <c r="J203" s="59" t="s">
        <v>69</v>
      </c>
      <c r="L203" s="14" t="str">
        <f>IFERROR(__xludf.DUMMYFUNCTION("IF(REGEXMATCH($B203,L$1),$D203,"""")"),"")</f>
        <v/>
      </c>
      <c r="M203" s="14" t="str">
        <f>IFERROR(__xludf.DUMMYFUNCTION("IF(REGEXMATCH($B203,M$1),$D203,"""")"),"Insect Warrior")</f>
        <v>Insect Warrior</v>
      </c>
      <c r="N203" s="14" t="str">
        <f>IFERROR(__xludf.DUMMYFUNCTION("IF(REGEXMATCH($B203,N$1),$D203,"""")"),"")</f>
        <v/>
      </c>
      <c r="O203" s="14" t="str">
        <f>IFERROR(__xludf.DUMMYFUNCTION("IF(REGEXMATCH($B203,O$1),$D203,"""")"),"Insect Warrior")</f>
        <v>Insect Warrior</v>
      </c>
      <c r="P203" s="14" t="str">
        <f>IFERROR(__xludf.DUMMYFUNCTION("IF(REGEXMATCH($B203,P$1),$D203,"""")"),"")</f>
        <v/>
      </c>
      <c r="Q203" s="14">
        <f>IFERROR(__xludf.DUMMYFUNCTION("IF($A203="""","""",LEN(REGEXREPLACE($I203,"",\s?"","""")))"),6.0)</f>
        <v>6</v>
      </c>
      <c r="S203" s="14"/>
      <c r="T203" s="14"/>
      <c r="U203" s="14"/>
      <c r="V203" s="14"/>
      <c r="W203" s="14"/>
      <c r="X203" s="14"/>
      <c r="Y203" s="14"/>
      <c r="Z203" s="14"/>
      <c r="AA203" s="14"/>
      <c r="AB203" s="14"/>
    </row>
    <row r="204">
      <c r="A204" s="10" t="s">
        <v>1226</v>
      </c>
      <c r="B204" s="10" t="s">
        <v>1222</v>
      </c>
      <c r="C204" s="12">
        <v>1.0</v>
      </c>
      <c r="D204" s="12" t="s">
        <v>1227</v>
      </c>
      <c r="E204" s="10"/>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f>
        <v/>
      </c>
      <c r="G204" s="13" t="s">
        <v>1228</v>
      </c>
      <c r="H204" s="12">
        <v>2.0</v>
      </c>
      <c r="I204" s="12" t="s">
        <v>1229</v>
      </c>
      <c r="J204" s="12" t="s">
        <v>33</v>
      </c>
      <c r="L204" s="12" t="s">
        <v>1227</v>
      </c>
      <c r="M204" s="14" t="str">
        <f>IFERROR(__xludf.DUMMYFUNCTION("IF(REGEXMATCH($B204,M$1),$D204,"""")"),"Bannerbearer Human Hunter")</f>
        <v>Bannerbearer Human Hunter</v>
      </c>
      <c r="N204" s="14" t="str">
        <f>IFERROR(__xludf.DUMMYFUNCTION("IF(REGEXMATCH($B204,N$1),$D204,"""")"),"")</f>
        <v/>
      </c>
      <c r="O204" s="14" t="str">
        <f>IFERROR(__xludf.DUMMYFUNCTION("IF(REGEXMATCH($B204,O$1),$D204,"""")"),"Bannerbearer Human Hunter")</f>
        <v>Bannerbearer Human Hunter</v>
      </c>
      <c r="P204" s="14" t="str">
        <f>IFERROR(__xludf.DUMMYFUNCTION("IF(REGEXMATCH($B204,P$1),$D204,"""")"),"")</f>
        <v/>
      </c>
      <c r="Q204" s="14">
        <f>IFERROR(__xludf.DUMMYFUNCTION("IF($A204="""","""",LEN(REGEXREPLACE($I204,"",\s?"","""")))"),2.0)</f>
        <v>2</v>
      </c>
      <c r="S204" s="14"/>
      <c r="T204" s="14"/>
      <c r="U204" s="14"/>
      <c r="V204" s="14"/>
      <c r="W204" s="14"/>
      <c r="X204" s="14"/>
      <c r="Y204" s="14"/>
      <c r="Z204" s="14"/>
      <c r="AA204" s="14"/>
      <c r="AB204" s="14"/>
    </row>
    <row r="205" hidden="1">
      <c r="A205" s="10" t="s">
        <v>1230</v>
      </c>
      <c r="B205" s="10" t="s">
        <v>1222</v>
      </c>
      <c r="C205" s="12">
        <v>2.0</v>
      </c>
      <c r="D205" s="12" t="s">
        <v>407</v>
      </c>
      <c r="E205" s="20" t="s">
        <v>1231</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Crystal|.*crystal.*bury""),""Empty-Crystal"","""")&amp;IF(REGEXMATCH($E205,""Move|move""),""Move"","""")"),"Ramp Copy ")</f>
        <v>Ramp Copy </v>
      </c>
      <c r="G205" s="21" t="s">
        <v>1232</v>
      </c>
      <c r="H205" s="12">
        <v>3.0</v>
      </c>
      <c r="I205" s="12" t="s">
        <v>1233</v>
      </c>
      <c r="J205" s="12" t="s">
        <v>69</v>
      </c>
      <c r="L205" s="14" t="str">
        <f>IFERROR(__xludf.DUMMYFUNCTION("IF(REGEXMATCH($B205,L$1),$D205,"""")"),"")</f>
        <v/>
      </c>
      <c r="M205" s="14" t="str">
        <f>IFERROR(__xludf.DUMMYFUNCTION("IF(REGEXMATCH($B205,M$1),$D205,"""")"),"Spirit")</f>
        <v>Spirit</v>
      </c>
      <c r="N205" s="14" t="str">
        <f>IFERROR(__xludf.DUMMYFUNCTION("IF(REGEXMATCH($B205,N$1),$D205,"""")"),"")</f>
        <v/>
      </c>
      <c r="O205" s="14" t="str">
        <f>IFERROR(__xludf.DUMMYFUNCTION("IF(REGEXMATCH($B205,O$1),$D205,"""")"),"Spirit")</f>
        <v>Spirit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25" t="s">
        <v>1234</v>
      </c>
      <c r="B206" s="10" t="s">
        <v>1222</v>
      </c>
      <c r="C206" s="12">
        <v>1.0</v>
      </c>
      <c r="D206" s="12" t="s">
        <v>1235</v>
      </c>
      <c r="E206" s="10" t="s">
        <v>1236</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13" t="s">
        <v>1237</v>
      </c>
      <c r="H206" s="12">
        <v>3.0</v>
      </c>
      <c r="I206" s="12" t="s">
        <v>1238</v>
      </c>
      <c r="J206" s="12" t="s">
        <v>39</v>
      </c>
      <c r="L206" s="12" t="s">
        <v>1235</v>
      </c>
      <c r="M206" s="14" t="str">
        <f>IFERROR(__xludf.DUMMYFUNCTION("IF(REGEXMATCH($B206,M$1),$D206,"""")"),"Animal Dragon")</f>
        <v>Animal Dragon</v>
      </c>
      <c r="N206" s="14" t="str">
        <f>IFERROR(__xludf.DUMMYFUNCTION("IF(REGEXMATCH($B206,N$1),$D206,"""")"),"")</f>
        <v/>
      </c>
      <c r="O206" s="14" t="str">
        <f>IFERROR(__xludf.DUMMYFUNCTION("IF(REGEXMATCH($B206,O$1),$D206,"""")"),"Animal Dragon")</f>
        <v>Animal Dragon</v>
      </c>
      <c r="P206" s="14" t="str">
        <f>IFERROR(__xludf.DUMMYFUNCTION("IF(REGEXMATCH($B206,P$1),$D206,"""")"),"")</f>
        <v/>
      </c>
      <c r="Q206" s="14">
        <f>IFERROR(__xludf.DUMMYFUNCTION("IF($A206="""","""",LEN(REGEXREPLACE($I206,"",\s?"","""")))"),7.0)</f>
        <v>7</v>
      </c>
      <c r="S206" s="14"/>
      <c r="T206" s="14"/>
      <c r="U206" s="14"/>
      <c r="V206" s="14"/>
      <c r="W206" s="14"/>
      <c r="X206" s="14"/>
      <c r="Y206" s="14"/>
      <c r="Z206" s="14"/>
      <c r="AA206" s="14"/>
      <c r="AB206" s="14"/>
    </row>
    <row r="207" hidden="1">
      <c r="A207" s="20" t="s">
        <v>1239</v>
      </c>
      <c r="B207" s="20" t="s">
        <v>1222</v>
      </c>
      <c r="C207" s="19">
        <v>2.0</v>
      </c>
      <c r="D207" s="19" t="s">
        <v>221</v>
      </c>
      <c r="E207" s="20" t="s">
        <v>1240</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Crystal|.*crystal.*bury""),""Empty-Crystal"","""")&amp;IF(REGEXMATCH($E207,""Move|move""),""Move"","""")"),"Ramp ")</f>
        <v>Ramp </v>
      </c>
      <c r="G207" s="21" t="s">
        <v>154</v>
      </c>
      <c r="H207" s="19">
        <v>2.0</v>
      </c>
      <c r="I207" s="19" t="s">
        <v>1241</v>
      </c>
      <c r="J207" s="19" t="s">
        <v>69</v>
      </c>
      <c r="L207" s="14" t="str">
        <f>IFERROR(__xludf.DUMMYFUNCTION("IF(REGEXMATCH($B207,L$1),$D207,"""")"),"")</f>
        <v/>
      </c>
      <c r="M207" s="14" t="str">
        <f>IFERROR(__xludf.DUMMYFUNCTION("IF(REGEXMATCH($B207,M$1),$D207,"""")"),"Animal Spirit")</f>
        <v>Animal Spirit</v>
      </c>
      <c r="N207" s="14" t="str">
        <f>IFERROR(__xludf.DUMMYFUNCTION("IF(REGEXMATCH($B207,N$1),$D207,"""")"),"")</f>
        <v/>
      </c>
      <c r="O207" s="14" t="str">
        <f>IFERROR(__xludf.DUMMYFUNCTION("IF(REGEXMATCH($B207,O$1),$D207,"""")"),"Animal Spirit")</f>
        <v>Animal Spirit</v>
      </c>
      <c r="P207" s="14" t="str">
        <f>IFERROR(__xludf.DUMMYFUNCTION("IF(REGEXMATCH($B207,P$1),$D207,"""")"),"")</f>
        <v/>
      </c>
      <c r="Q207" s="14">
        <f>IFERROR(__xludf.DUMMYFUNCTION("IF($A207="""","""",LEN(REGEXREPLACE($I207,"",\s?"","""")))"),3.0)</f>
        <v>3</v>
      </c>
      <c r="S207" s="14"/>
      <c r="T207" s="14"/>
      <c r="U207" s="14"/>
      <c r="V207" s="14"/>
      <c r="W207" s="14"/>
      <c r="X207" s="14"/>
      <c r="Y207" s="14"/>
      <c r="Z207" s="14"/>
      <c r="AA207" s="14"/>
      <c r="AB207" s="14"/>
    </row>
    <row r="208" hidden="1">
      <c r="A208" s="20" t="s">
        <v>1242</v>
      </c>
      <c r="B208" s="20" t="s">
        <v>1222</v>
      </c>
      <c r="C208" s="19">
        <v>2.0</v>
      </c>
      <c r="D208" s="19" t="s">
        <v>1243</v>
      </c>
      <c r="E208" s="20" t="s">
        <v>1244</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f>
        <v/>
      </c>
      <c r="G208" s="50"/>
      <c r="H208" s="19">
        <v>3.0</v>
      </c>
      <c r="I208" s="19" t="s">
        <v>1233</v>
      </c>
      <c r="J208" s="19" t="s">
        <v>69</v>
      </c>
      <c r="L208" s="14" t="str">
        <f>IFERROR(__xludf.DUMMYFUNCTION("IF(REGEXMATCH($B208,L$1),$D208,"""")"),"")</f>
        <v/>
      </c>
      <c r="M208" s="14" t="str">
        <f>IFERROR(__xludf.DUMMYFUNCTION("IF(REGEXMATCH($B208,M$1),$D208,"""")"),"Plant")</f>
        <v>Plant</v>
      </c>
      <c r="N208" s="14" t="str">
        <f>IFERROR(__xludf.DUMMYFUNCTION("IF(REGEXMATCH($B208,N$1),$D208,"""")"),"")</f>
        <v/>
      </c>
      <c r="O208" s="14" t="str">
        <f>IFERROR(__xludf.DUMMYFUNCTION("IF(REGEXMATCH($B208,O$1),$D208,"""")"),"Plant")</f>
        <v>Plant</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c r="A209" s="10" t="s">
        <v>1245</v>
      </c>
      <c r="B209" s="10" t="s">
        <v>1222</v>
      </c>
      <c r="C209" s="12">
        <v>1.0</v>
      </c>
      <c r="D209" s="12" t="s">
        <v>1048</v>
      </c>
      <c r="E209" s="10" t="s">
        <v>1246</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Crystal|.*crystal.*bury""),""Empty-Crystal"","""")&amp;IF(REGEXMATCH($E209,""Move|move""),""Move"","""")"),"Mortal ")</f>
        <v>Mortal </v>
      </c>
      <c r="G209" s="13" t="s">
        <v>1247</v>
      </c>
      <c r="H209" s="12">
        <v>3.0</v>
      </c>
      <c r="I209" s="12" t="s">
        <v>1248</v>
      </c>
      <c r="J209" s="12" t="s">
        <v>69</v>
      </c>
      <c r="L209" s="12" t="s">
        <v>1048</v>
      </c>
      <c r="M209" s="14" t="str">
        <f>IFERROR(__xludf.DUMMYFUNCTION("IF(REGEXMATCH($B209,M$1),$D209,"""")"),"Animal Warrior")</f>
        <v>Animal Warrior</v>
      </c>
      <c r="N209" s="14" t="str">
        <f>IFERROR(__xludf.DUMMYFUNCTION("IF(REGEXMATCH($B209,N$1),$D209,"""")"),"")</f>
        <v/>
      </c>
      <c r="O209" s="14" t="str">
        <f>IFERROR(__xludf.DUMMYFUNCTION("IF(REGEXMATCH($B209,O$1),$D209,"""")"),"Animal Warrior")</f>
        <v>Animal Warrior</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hidden="1">
      <c r="A210" s="10" t="s">
        <v>1249</v>
      </c>
      <c r="B210" s="10" t="s">
        <v>1222</v>
      </c>
      <c r="C210" s="12">
        <v>2.0</v>
      </c>
      <c r="D210" s="12" t="s">
        <v>470</v>
      </c>
      <c r="E210" s="10" t="s">
        <v>1250</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Crystal|.*crystal.*bury""),""Empty-Crystal"","""")&amp;IF(REGEXMATCH($E210,""Move|move""),""Move"","""")"),"Animal ")</f>
        <v>Animal </v>
      </c>
      <c r="G210" s="13" t="s">
        <v>1251</v>
      </c>
      <c r="H210" s="12">
        <v>3.0</v>
      </c>
      <c r="I210" s="12" t="s">
        <v>1233</v>
      </c>
      <c r="J210" s="12" t="s">
        <v>69</v>
      </c>
      <c r="L210" s="14" t="str">
        <f>IFERROR(__xludf.DUMMYFUNCTION("IF(REGEXMATCH($B210,L$1),$D210,"""")"),"")</f>
        <v/>
      </c>
      <c r="M210" s="14" t="str">
        <f>IFERROR(__xludf.DUMMYFUNCTION("IF(REGEXMATCH($B210,M$1),$D210,"""")"),"Human Warrior")</f>
        <v>Human Warrior</v>
      </c>
      <c r="N210" s="14" t="str">
        <f>IFERROR(__xludf.DUMMYFUNCTION("IF(REGEXMATCH($B210,N$1),$D210,"""")"),"")</f>
        <v/>
      </c>
      <c r="O210" s="14" t="str">
        <f>IFERROR(__xludf.DUMMYFUNCTION("IF(REGEXMATCH($B210,O$1),$D210,"""")"),"Human Warrior")</f>
        <v>Human Warrior</v>
      </c>
      <c r="P210" s="14" t="str">
        <f>IFERROR(__xludf.DUMMYFUNCTION("IF(REGEXMATCH($B210,P$1),$D210,"""")"),"")</f>
        <v/>
      </c>
      <c r="Q210" s="14">
        <f>IFERROR(__xludf.DUMMYFUNCTION("IF($A210="""","""",LEN(REGEXREPLACE($I210,"",\s?"","""")))"),4.0)</f>
        <v>4</v>
      </c>
      <c r="S210" s="14"/>
      <c r="T210" s="14"/>
      <c r="U210" s="14"/>
      <c r="V210" s="14"/>
      <c r="W210" s="14"/>
      <c r="X210" s="14"/>
      <c r="Y210" s="14"/>
      <c r="Z210" s="14"/>
      <c r="AA210" s="14"/>
      <c r="AB210" s="14"/>
    </row>
    <row r="211">
      <c r="A211" s="10" t="s">
        <v>1252</v>
      </c>
      <c r="B211" s="10" t="s">
        <v>1253</v>
      </c>
      <c r="C211" s="12">
        <v>1.0</v>
      </c>
      <c r="D211" s="32" t="s">
        <v>1254</v>
      </c>
      <c r="E211" s="70" t="s">
        <v>1255</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Crystal|.*crystal.*bury""),""Empty-Crystal"","""")&amp;IF(REGEXMATCH($E211,""Move|move""),""Move"","""")"),"Mortal Control Empty-Crystal")</f>
        <v>Mortal Control Empty-Crystal</v>
      </c>
      <c r="G211" s="13" t="s">
        <v>1256</v>
      </c>
      <c r="H211" s="12">
        <v>1.0</v>
      </c>
      <c r="I211" s="12" t="s">
        <v>1257</v>
      </c>
      <c r="J211" s="12" t="s">
        <v>69</v>
      </c>
      <c r="L211" s="32" t="s">
        <v>1254</v>
      </c>
      <c r="M211" s="14" t="str">
        <f>IFERROR(__xludf.DUMMYFUNCTION("IF(REGEXMATCH($B211,M$1),$D211,"""")"),"")</f>
        <v/>
      </c>
      <c r="N211" s="14" t="str">
        <f>IFERROR(__xludf.DUMMYFUNCTION("IF(REGEXMATCH($B211,N$1),$D211,"""")"),"Angel Undead")</f>
        <v>Angel Undead</v>
      </c>
      <c r="O211" s="14" t="str">
        <f>IFERROR(__xludf.DUMMYFUNCTION("IF(REGEXMATCH($B211,O$1),$D211,"""")"),"Angel Undead")</f>
        <v>Angel Undead</v>
      </c>
      <c r="P211" s="14" t="str">
        <f>IFERROR(__xludf.DUMMYFUNCTION("IF(REGEXMATCH($B211,P$1),$D211,"""")"),"")</f>
        <v/>
      </c>
      <c r="Q211" s="14">
        <f>IFERROR(__xludf.DUMMYFUNCTION("IF($A211="""","""",LEN(REGEXREPLACE($I211,"",\s?"","""")))"),4.0)</f>
        <v>4</v>
      </c>
      <c r="S211" s="14"/>
      <c r="T211" s="14"/>
      <c r="U211" s="14"/>
      <c r="V211" s="14"/>
      <c r="W211" s="14"/>
      <c r="X211" s="14"/>
      <c r="Y211" s="14"/>
      <c r="Z211" s="14"/>
      <c r="AA211" s="14"/>
      <c r="AB211" s="14"/>
    </row>
    <row r="212" hidden="1">
      <c r="A212" s="10" t="s">
        <v>1258</v>
      </c>
      <c r="B212" s="10" t="s">
        <v>1253</v>
      </c>
      <c r="C212" s="12">
        <v>2.0</v>
      </c>
      <c r="D212" s="12" t="s">
        <v>44</v>
      </c>
      <c r="E212" s="70" t="s">
        <v>1259</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Crystal|.*crystal.*bury""),""Empty-Crystal"","""")&amp;IF(REGEXMATCH($E212,""Move|move""),""Move"","""")"),"Unearth Control ")</f>
        <v>Unearth Control </v>
      </c>
      <c r="G212" s="13" t="s">
        <v>857</v>
      </c>
      <c r="H212" s="12">
        <v>3.0</v>
      </c>
      <c r="I212" s="12" t="s">
        <v>1260</v>
      </c>
      <c r="J212" s="12" t="s">
        <v>69</v>
      </c>
      <c r="L212" s="14" t="str">
        <f>IFERROR(__xludf.DUMMYFUNCTION("IF(REGEXMATCH($B212,L$1),$D212,"""")"),"")</f>
        <v/>
      </c>
      <c r="M212" s="14" t="str">
        <f>IFERROR(__xludf.DUMMYFUNCTION("IF(REGEXMATCH($B212,M$1),$D212,"""")"),"")</f>
        <v/>
      </c>
      <c r="N212" s="14" t="str">
        <f>IFERROR(__xludf.DUMMYFUNCTION("IF(REGEXMATCH($B212,N$1),$D212,"""")"),"Human")</f>
        <v>Human</v>
      </c>
      <c r="O212" s="14" t="str">
        <f>IFERROR(__xludf.DUMMYFUNCTION("IF(REGEXMATCH($B212,O$1),$D212,"""")"),"Human")</f>
        <v>Human</v>
      </c>
      <c r="P212" s="14" t="str">
        <f>IFERROR(__xludf.DUMMYFUNCTION("IF(REGEXMATCH($B212,P$1),$D212,"""")"),"")</f>
        <v/>
      </c>
      <c r="Q212" s="14">
        <f>IFERROR(__xludf.DUMMYFUNCTION("IF($A212="""","""",LEN(REGEXREPLACE($I212,"",\s?"","""")))"),4.0)</f>
        <v>4</v>
      </c>
      <c r="S212" s="14"/>
      <c r="T212" s="14"/>
      <c r="U212" s="14"/>
      <c r="V212" s="14"/>
      <c r="W212" s="14"/>
      <c r="X212" s="14"/>
      <c r="Y212" s="14"/>
      <c r="Z212" s="14"/>
      <c r="AA212" s="14"/>
      <c r="AB212" s="14"/>
    </row>
    <row r="213">
      <c r="A213" s="10" t="s">
        <v>1261</v>
      </c>
      <c r="B213" s="10" t="s">
        <v>1253</v>
      </c>
      <c r="C213" s="12">
        <v>1.0</v>
      </c>
      <c r="D213" s="12" t="s">
        <v>1262</v>
      </c>
      <c r="E213" s="10"/>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f>
        <v/>
      </c>
      <c r="G213" s="13" t="s">
        <v>1263</v>
      </c>
      <c r="H213" s="12">
        <v>2.0</v>
      </c>
      <c r="I213" s="12" t="s">
        <v>1264</v>
      </c>
      <c r="J213" s="12" t="s">
        <v>33</v>
      </c>
      <c r="L213" s="12" t="s">
        <v>1262</v>
      </c>
      <c r="M213" s="14" t="str">
        <f>IFERROR(__xludf.DUMMYFUNCTION("IF(REGEXMATCH($B213,M$1),$D213,"""")"),"")</f>
        <v/>
      </c>
      <c r="N213" s="14" t="str">
        <f>IFERROR(__xludf.DUMMYFUNCTION("IF(REGEXMATCH($B213,N$1),$D213,"""")"),"Bannerbearer Human Undead")</f>
        <v>Bannerbearer Human Undead</v>
      </c>
      <c r="O213" s="14" t="str">
        <f>IFERROR(__xludf.DUMMYFUNCTION("IF(REGEXMATCH($B213,O$1),$D213,"""")"),"Bannerbearer Human Undead")</f>
        <v>Bannerbearer Human Undead</v>
      </c>
      <c r="P213" s="14" t="str">
        <f>IFERROR(__xludf.DUMMYFUNCTION("IF(REGEXMATCH($B213,P$1),$D213,"""")"),"")</f>
        <v/>
      </c>
      <c r="Q213" s="14">
        <f>IFERROR(__xludf.DUMMYFUNCTION("IF($A213="""","""",LEN(REGEXREPLACE($I213,"",\s?"","""")))"),2.0)</f>
        <v>2</v>
      </c>
      <c r="S213" s="14"/>
      <c r="T213" s="14"/>
      <c r="U213" s="14"/>
      <c r="V213" s="14"/>
      <c r="W213" s="14"/>
      <c r="X213" s="14"/>
      <c r="Y213" s="14"/>
      <c r="Z213" s="14"/>
      <c r="AA213" s="14"/>
      <c r="AB213" s="14"/>
    </row>
    <row r="214" hidden="1">
      <c r="A214" s="20" t="s">
        <v>1265</v>
      </c>
      <c r="B214" s="20" t="s">
        <v>1253</v>
      </c>
      <c r="C214" s="19">
        <v>2.0</v>
      </c>
      <c r="D214" s="19" t="s">
        <v>1266</v>
      </c>
      <c r="E214" s="20" t="s">
        <v>1267</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f>
        <v>Unearth </v>
      </c>
      <c r="G214" s="21" t="s">
        <v>857</v>
      </c>
      <c r="H214" s="19">
        <v>3.0</v>
      </c>
      <c r="I214" s="19" t="s">
        <v>1268</v>
      </c>
      <c r="J214" s="12" t="s">
        <v>69</v>
      </c>
      <c r="L214" s="14" t="str">
        <f>IFERROR(__xludf.DUMMYFUNCTION("IF(REGEXMATCH($B214,L$1),$D214,"""")"),"")</f>
        <v/>
      </c>
      <c r="M214" s="14" t="str">
        <f>IFERROR(__xludf.DUMMYFUNCTION("IF(REGEXMATCH($B214,M$1),$D214,"""")"),"")</f>
        <v/>
      </c>
      <c r="N214" s="14" t="str">
        <f>IFERROR(__xludf.DUMMYFUNCTION("IF(REGEXMATCH($B214,N$1),$D214,"""")"),"Demon Wizard")</f>
        <v>Demon Wizard</v>
      </c>
      <c r="O214" s="14" t="str">
        <f>IFERROR(__xludf.DUMMYFUNCTION("IF(REGEXMATCH($B214,O$1),$D214,"""")"),"Demon Wizard")</f>
        <v>Demon Wizard</v>
      </c>
      <c r="P214" s="14" t="str">
        <f>IFERROR(__xludf.DUMMYFUNCTION("IF(REGEXMATCH($B214,P$1),$D214,"""")"),"")</f>
        <v/>
      </c>
      <c r="Q214" s="14">
        <f>IFERROR(__xludf.DUMMYFUNCTION("IF($A214="""","""",LEN(REGEXREPLACE($I214,"",\s?"","""")))"),3.0)</f>
        <v>3</v>
      </c>
      <c r="S214" s="14"/>
      <c r="T214" s="14"/>
      <c r="U214" s="14"/>
      <c r="V214" s="14"/>
      <c r="W214" s="14"/>
      <c r="X214" s="14"/>
      <c r="Y214" s="14"/>
      <c r="Z214" s="14"/>
      <c r="AA214" s="14"/>
      <c r="AB214" s="14"/>
    </row>
    <row r="215">
      <c r="A215" s="10" t="s">
        <v>1269</v>
      </c>
      <c r="B215" s="10" t="s">
        <v>1253</v>
      </c>
      <c r="C215" s="12">
        <v>1.0</v>
      </c>
      <c r="D215" s="32" t="s">
        <v>1266</v>
      </c>
      <c r="E215" s="10" t="s">
        <v>1270</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Crystal|.*crystal.*bury""),""Empty-Crystal"","""")&amp;IF(REGEXMATCH($E215,""Move|move""),""Move"","""")"),"Undead Spirit ")</f>
        <v>Undead Spirit </v>
      </c>
      <c r="G215" s="13" t="s">
        <v>1271</v>
      </c>
      <c r="H215" s="12">
        <v>2.0</v>
      </c>
      <c r="I215" s="12" t="s">
        <v>1272</v>
      </c>
      <c r="J215" s="12" t="s">
        <v>39</v>
      </c>
      <c r="L215" s="32" t="s">
        <v>1266</v>
      </c>
      <c r="M215" s="14" t="str">
        <f>IFERROR(__xludf.DUMMYFUNCTION("IF(REGEXMATCH($B215,M$1),$D215,"""")"),"")</f>
        <v/>
      </c>
      <c r="N215" s="14" t="str">
        <f>IFERROR(__xludf.DUMMYFUNCTION("IF(REGEXMATCH($B215,N$1),$D215,"""")"),"Demon Wizard")</f>
        <v>Demon Wizard</v>
      </c>
      <c r="O215" s="14" t="str">
        <f>IFERROR(__xludf.DUMMYFUNCTION("IF(REGEXMATCH($B215,O$1),$D215,"""")"),"Demon Wizard")</f>
        <v>Demon Wizard</v>
      </c>
      <c r="P215" s="14" t="str">
        <f>IFERROR(__xludf.DUMMYFUNCTION("IF(REGEXMATCH($B215,P$1),$D215,"""")"),"")</f>
        <v/>
      </c>
      <c r="Q215" s="14">
        <f>IFERROR(__xludf.DUMMYFUNCTION("IF($A215="""","""",LEN(REGEXREPLACE($I215,"",\s?"","""")))"),5.0)</f>
        <v>5</v>
      </c>
      <c r="S215" s="14"/>
      <c r="T215" s="14"/>
      <c r="U215" s="14"/>
      <c r="V215" s="14"/>
      <c r="W215" s="14"/>
      <c r="X215" s="14"/>
      <c r="Y215" s="14"/>
      <c r="Z215" s="14"/>
      <c r="AA215" s="14"/>
      <c r="AB215" s="14"/>
    </row>
    <row r="216" hidden="1">
      <c r="A216" s="25" t="s">
        <v>1273</v>
      </c>
      <c r="B216" s="10" t="s">
        <v>1253</v>
      </c>
      <c r="C216" s="12">
        <v>2.0</v>
      </c>
      <c r="D216" s="12" t="s">
        <v>1274</v>
      </c>
      <c r="E216" s="70" t="s">
        <v>1275</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Crystal|.*crystal.*bury""),""Empty-Crystal"","""")&amp;IF(REGEXMATCH($E216,""Move|move""),""Move"","""")"),"Void Control ")</f>
        <v>Void Control </v>
      </c>
      <c r="G216" s="13" t="s">
        <v>1276</v>
      </c>
      <c r="H216" s="12">
        <v>2.0</v>
      </c>
      <c r="I216" s="32" t="s">
        <v>1260</v>
      </c>
      <c r="J216" s="12" t="s">
        <v>69</v>
      </c>
      <c r="L216" s="14" t="str">
        <f>IFERROR(__xludf.DUMMYFUNCTION("IF(REGEXMATCH($B216,L$1),$D216,"""")"),"")</f>
        <v/>
      </c>
      <c r="M216" s="14" t="str">
        <f>IFERROR(__xludf.DUMMYFUNCTION("IF(REGEXMATCH($B216,M$1),$D216,"""")"),"")</f>
        <v/>
      </c>
      <c r="N216" s="14" t="str">
        <f>IFERROR(__xludf.DUMMYFUNCTION("IF(REGEXMATCH($B216,N$1),$D216,"""")"),"Human Undead")</f>
        <v>Human Undead</v>
      </c>
      <c r="O216" s="14" t="str">
        <f>IFERROR(__xludf.DUMMYFUNCTION("IF(REGEXMATCH($B216,O$1),$D216,"""")"),"Human Undead")</f>
        <v>Human Undead</v>
      </c>
      <c r="P216" s="14" t="str">
        <f>IFERROR(__xludf.DUMMYFUNCTION("IF(REGEXMATCH($B216,P$1),$D216,"""")"),"")</f>
        <v/>
      </c>
      <c r="Q216" s="14">
        <f>IFERROR(__xludf.DUMMYFUNCTION("IF($A216="""","""",LEN(REGEXREPLACE($I216,"",\s?"","""")))"),4.0)</f>
        <v>4</v>
      </c>
      <c r="S216" s="14"/>
      <c r="T216" s="14"/>
      <c r="U216" s="14"/>
      <c r="V216" s="14"/>
      <c r="W216" s="14"/>
      <c r="X216" s="14"/>
      <c r="Y216" s="14"/>
      <c r="Z216" s="14"/>
      <c r="AA216" s="14"/>
      <c r="AB216" s="14"/>
    </row>
    <row r="217" hidden="1">
      <c r="A217" s="20" t="s">
        <v>1277</v>
      </c>
      <c r="B217" s="20" t="s">
        <v>1253</v>
      </c>
      <c r="C217" s="19">
        <v>2.0</v>
      </c>
      <c r="D217" s="19" t="s">
        <v>1278</v>
      </c>
      <c r="E217" s="20" t="s">
        <v>1279</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Crystal|.*crystal.*bury""),""Empty-Crystal"","""")&amp;IF(REGEXMATCH($E217,""Move|move""),""Move"","""")"),"Unearth Control Aggro ")</f>
        <v>Unearth Control Aggro </v>
      </c>
      <c r="G217" s="50"/>
      <c r="H217" s="19">
        <v>3.0</v>
      </c>
      <c r="I217" s="19" t="s">
        <v>1280</v>
      </c>
      <c r="J217" s="12" t="s">
        <v>69</v>
      </c>
      <c r="L217" s="14" t="str">
        <f>IFERROR(__xludf.DUMMYFUNCTION("IF(REGEXMATCH($B217,L$1),$D217,"""")"),"")</f>
        <v/>
      </c>
      <c r="M217" s="14" t="str">
        <f>IFERROR(__xludf.DUMMYFUNCTION("IF(REGEXMATCH($B217,M$1),$D217,"""")"),"")</f>
        <v/>
      </c>
      <c r="N217" s="14" t="str">
        <f>IFERROR(__xludf.DUMMYFUNCTION("IF(REGEXMATCH($B217,N$1),$D217,"""")"),"Demon Human")</f>
        <v>Demon Human</v>
      </c>
      <c r="O217" s="14" t="str">
        <f>IFERROR(__xludf.DUMMYFUNCTION("IF(REGEXMATCH($B217,O$1),$D217,"""")"),"Demon Human")</f>
        <v>Demon Human</v>
      </c>
      <c r="P217" s="14" t="str">
        <f>IFERROR(__xludf.DUMMYFUNCTION("IF(REGEXMATCH($B217,P$1),$D217,"""")"),"")</f>
        <v/>
      </c>
      <c r="Q217" s="14">
        <f>IFERROR(__xludf.DUMMYFUNCTION("IF($A217="""","""",LEN(REGEXREPLACE($I217,"",\s?"","""")))"),5.0)</f>
        <v>5</v>
      </c>
      <c r="S217" s="14"/>
      <c r="T217" s="14"/>
      <c r="U217" s="14"/>
      <c r="V217" s="14"/>
      <c r="W217" s="14"/>
      <c r="X217" s="14"/>
      <c r="Y217" s="14"/>
      <c r="Z217" s="14"/>
      <c r="AA217" s="14"/>
      <c r="AB217" s="14"/>
    </row>
    <row r="218" hidden="1">
      <c r="A218" s="20" t="s">
        <v>1281</v>
      </c>
      <c r="B218" s="20" t="s">
        <v>1253</v>
      </c>
      <c r="C218" s="19">
        <v>2.0</v>
      </c>
      <c r="D218" s="19" t="s">
        <v>1037</v>
      </c>
      <c r="E218" s="20" t="s">
        <v>1282</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Crystal|.*crystal.*bury""),""Empty-Crystal"","""")&amp;IF(REGEXMATCH($E218,""Move|move""),""Move"","""")"),"Control ")</f>
        <v>Control </v>
      </c>
      <c r="G218" s="50"/>
      <c r="H218" s="19">
        <v>7.0</v>
      </c>
      <c r="I218" s="19" t="s">
        <v>1283</v>
      </c>
      <c r="J218" s="19" t="s">
        <v>69</v>
      </c>
      <c r="L218" s="14" t="str">
        <f>IFERROR(__xludf.DUMMYFUNCTION("IF(REGEXMATCH($B218,L$1),$D218,"""")"),"")</f>
        <v/>
      </c>
      <c r="M218" s="14" t="str">
        <f>IFERROR(__xludf.DUMMYFUNCTION("IF(REGEXMATCH($B218,M$1),$D218,"""")"),"")</f>
        <v/>
      </c>
      <c r="N218" s="14" t="str">
        <f>IFERROR(__xludf.DUMMYFUNCTION("IF(REGEXMATCH($B218,N$1),$D218,"""")"),"Undead")</f>
        <v>Undead</v>
      </c>
      <c r="O218" s="14" t="str">
        <f>IFERROR(__xludf.DUMMYFUNCTION("IF(REGEXMATCH($B218,O$1),$D218,"""")"),"Undead")</f>
        <v>Undead</v>
      </c>
      <c r="P218" s="14" t="str">
        <f>IFERROR(__xludf.DUMMYFUNCTION("IF(REGEXMATCH($B218,P$1),$D218,"""")"),"")</f>
        <v/>
      </c>
      <c r="Q218" s="14">
        <f>IFERROR(__xludf.DUMMYFUNCTION("IF($A218="""","""",LEN(REGEXREPLACE($I218,"",\s?"","""")))"),6.0)</f>
        <v>6</v>
      </c>
      <c r="S218" s="14"/>
      <c r="T218" s="14"/>
      <c r="U218" s="14"/>
      <c r="V218" s="14"/>
      <c r="W218" s="14"/>
      <c r="X218" s="14"/>
      <c r="Y218" s="14"/>
      <c r="Z218" s="14"/>
      <c r="AA218" s="14"/>
      <c r="AB218" s="14"/>
    </row>
    <row r="219" hidden="1">
      <c r="A219" s="20" t="s">
        <v>1284</v>
      </c>
      <c r="B219" s="20" t="s">
        <v>1253</v>
      </c>
      <c r="C219" s="19">
        <v>2.0</v>
      </c>
      <c r="D219" s="19" t="s">
        <v>44</v>
      </c>
      <c r="E219" s="20" t="s">
        <v>1285</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Crystal|.*crystal.*bury""),""Empty-Crystal"","""")&amp;IF(REGEXMATCH($E219,""Move|move""),""Move"","""")"),"Control ")</f>
        <v>Control </v>
      </c>
      <c r="G219" s="50"/>
      <c r="H219" s="19">
        <v>1.0</v>
      </c>
      <c r="I219" s="19" t="s">
        <v>1264</v>
      </c>
      <c r="J219" s="19" t="s">
        <v>33</v>
      </c>
      <c r="L219" s="14" t="str">
        <f>IFERROR(__xludf.DUMMYFUNCTION("IF(REGEXMATCH($B219,L$1),$D219,"""")"),"")</f>
        <v/>
      </c>
      <c r="M219" s="14" t="str">
        <f>IFERROR(__xludf.DUMMYFUNCTION("IF(REGEXMATCH($B219,M$1),$D219,"""")"),"")</f>
        <v/>
      </c>
      <c r="N219" s="14" t="str">
        <f>IFERROR(__xludf.DUMMYFUNCTION("IF(REGEXMATCH($B219,N$1),$D219,"""")"),"Human")</f>
        <v>Human</v>
      </c>
      <c r="O219" s="14" t="str">
        <f>IFERROR(__xludf.DUMMYFUNCTION("IF(REGEXMATCH($B219,O$1),$D219,"""")"),"Human")</f>
        <v>Human</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c r="A220" s="20" t="s">
        <v>1286</v>
      </c>
      <c r="B220" s="20" t="s">
        <v>12</v>
      </c>
      <c r="C220" s="19">
        <v>1.0</v>
      </c>
      <c r="D220" s="19" t="s">
        <v>360</v>
      </c>
      <c r="E220" s="20" t="s">
        <v>1287</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Crystal|.*crystal.*bury""),""Empty-Crystal"","""")&amp;IF(REGEXMATCH($E220,""Move|move""),""Move"","""")"),"Dinosaur Move")</f>
        <v>Dinosaur Move</v>
      </c>
      <c r="G220" s="21" t="s">
        <v>971</v>
      </c>
      <c r="H220" s="19">
        <v>3.0</v>
      </c>
      <c r="I220" s="19" t="s">
        <v>1288</v>
      </c>
      <c r="J220" s="12" t="s">
        <v>33</v>
      </c>
      <c r="L220" s="19" t="s">
        <v>360</v>
      </c>
      <c r="M220" s="14" t="str">
        <f>IFERROR(__xludf.DUMMYFUNCTION("IF(REGEXMATCH($B220,M$1),$D220,"""")"),"Dinosaur")</f>
        <v>Dinosaur</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IFERROR(__xludf.DUMMYFUNCTION("IF($A220="""","""",LEN(REGEXREPLACE($I220,"",\s?"","""")))"),3.0)</f>
        <v>3</v>
      </c>
      <c r="S220" s="14"/>
      <c r="T220" s="14"/>
      <c r="U220" s="14"/>
      <c r="V220" s="14"/>
      <c r="W220" s="14"/>
      <c r="X220" s="14"/>
      <c r="Y220" s="14"/>
      <c r="Z220" s="14"/>
      <c r="AA220" s="14"/>
      <c r="AB220" s="14"/>
    </row>
    <row r="221">
      <c r="A221" s="10" t="s">
        <v>1289</v>
      </c>
      <c r="B221" s="10" t="s">
        <v>12</v>
      </c>
      <c r="C221" s="12">
        <v>1.0</v>
      </c>
      <c r="D221" s="12" t="s">
        <v>356</v>
      </c>
      <c r="E221" s="20" t="s">
        <v>1290</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Crystal|.*crystal.*bury""),""Empty-Crystal"","""")&amp;IF(REGEXMATCH($E221,""Move|move""),""Move"","""")"),"Dinosaur Ramp ")</f>
        <v>Dinosaur Ramp </v>
      </c>
      <c r="G221" s="21" t="s">
        <v>1291</v>
      </c>
      <c r="H221" s="12">
        <v>6.0</v>
      </c>
      <c r="I221" s="12" t="s">
        <v>1292</v>
      </c>
      <c r="J221" s="19" t="s">
        <v>69</v>
      </c>
      <c r="L221" s="12" t="s">
        <v>356</v>
      </c>
      <c r="M221" s="14" t="str">
        <f>IFERROR(__xludf.DUMMYFUNCTION("IF(REGEXMATCH($B221,M$1),$D221,"""")"),"Construct Dinosaur")</f>
        <v>Construct Dinosaur</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0" t="s">
        <v>1293</v>
      </c>
      <c r="B222" s="10" t="s">
        <v>12</v>
      </c>
      <c r="C222" s="12">
        <v>1.0</v>
      </c>
      <c r="D222" s="12" t="s">
        <v>1294</v>
      </c>
      <c r="E222" s="70" t="s">
        <v>1295</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1296</v>
      </c>
      <c r="H222" s="12">
        <v>4.0</v>
      </c>
      <c r="I222" s="12" t="s">
        <v>1297</v>
      </c>
      <c r="J222" s="12" t="s">
        <v>39</v>
      </c>
      <c r="L222" s="12" t="s">
        <v>1294</v>
      </c>
      <c r="M222" s="14" t="str">
        <f>IFERROR(__xludf.DUMMYFUNCTION("IF(REGEXMATCH($B222,M$1),$D222,"""")"),"Dinosaur Wizard")</f>
        <v>Dinosaur Wizard</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IFERROR(__xludf.DUMMYFUNCTION("IF($A222="""","""",LEN(REGEXREPLACE($I222,"",\s?"","""")))"),2.0)</f>
        <v>2</v>
      </c>
      <c r="S222" s="14"/>
      <c r="T222" s="14"/>
      <c r="U222" s="14"/>
      <c r="V222" s="14"/>
      <c r="W222" s="14"/>
      <c r="X222" s="14"/>
      <c r="Y222" s="14"/>
      <c r="Z222" s="14"/>
      <c r="AA222" s="14"/>
      <c r="AB222" s="14"/>
    </row>
    <row r="223" hidden="1">
      <c r="A223" s="10" t="s">
        <v>1298</v>
      </c>
      <c r="B223" s="91" t="s">
        <v>12</v>
      </c>
      <c r="C223" s="12">
        <v>2.0</v>
      </c>
      <c r="D223" s="12" t="s">
        <v>104</v>
      </c>
      <c r="E223" s="20" t="s">
        <v>1299</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Crystal|.*crystal.*bury""),""Empty-Crystal"","""")&amp;IF(REGEXMATCH($E223,""Move|move""),""Move"","""")"),"Nature Ascend ")</f>
        <v>Nature Ascend </v>
      </c>
      <c r="G223" s="21" t="s">
        <v>31</v>
      </c>
      <c r="H223" s="12">
        <v>0.0</v>
      </c>
      <c r="I223" s="12" t="s">
        <v>1300</v>
      </c>
      <c r="J223" s="12" t="s">
        <v>39</v>
      </c>
      <c r="L223" s="14" t="str">
        <f>IFERROR(__xludf.DUMMYFUNCTION("IF(REGEXMATCH($B223,L$1),$D223,"""")"),"")</f>
        <v/>
      </c>
      <c r="M223" s="14" t="str">
        <f>IFERROR(__xludf.DUMMYFUNCTION("IF(REGEXMATCH($B223,M$1),$D223,"""")"),"Animal")</f>
        <v>Animal</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IFERROR(__xludf.DUMMYFUNCTION("IF($A223="""","""",LEN(REGEXREPLACE($I223,"",\s?"","""")))"),2.0)</f>
        <v>2</v>
      </c>
      <c r="S223" s="14"/>
      <c r="T223" s="14"/>
      <c r="U223" s="14"/>
      <c r="V223" s="14"/>
      <c r="W223" s="14"/>
      <c r="X223" s="14"/>
      <c r="Y223" s="14"/>
      <c r="Z223" s="14"/>
      <c r="AA223" s="14"/>
      <c r="AB223" s="14"/>
    </row>
    <row r="224">
      <c r="A224" s="25" t="s">
        <v>1301</v>
      </c>
      <c r="B224" s="10" t="s">
        <v>12</v>
      </c>
      <c r="C224" s="12">
        <v>1.0</v>
      </c>
      <c r="D224" s="12" t="s">
        <v>104</v>
      </c>
      <c r="E224" s="36" t="s">
        <v>1302</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f>
        <v/>
      </c>
      <c r="G224" s="13" t="s">
        <v>1303</v>
      </c>
      <c r="H224" s="12">
        <v>4.0</v>
      </c>
      <c r="I224" s="12" t="s">
        <v>1292</v>
      </c>
      <c r="J224" s="12" t="s">
        <v>69</v>
      </c>
      <c r="L224" s="12" t="s">
        <v>104</v>
      </c>
      <c r="M224" s="14" t="str">
        <f>IFERROR(__xludf.DUMMYFUNCTION("IF(REGEXMATCH($B224,M$1),$D224,"""")"),"Animal")</f>
        <v>Animal</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IFERROR(__xludf.DUMMYFUNCTION("IF($A224="""","""",LEN(REGEXREPLACE($I224,"",\s?"","""")))"),5.0)</f>
        <v>5</v>
      </c>
      <c r="S224" s="14"/>
      <c r="T224" s="14"/>
      <c r="U224" s="14"/>
      <c r="V224" s="14"/>
      <c r="W224" s="14"/>
      <c r="X224" s="14"/>
      <c r="Y224" s="14"/>
      <c r="Z224" s="14"/>
      <c r="AA224" s="14"/>
      <c r="AB224" s="14"/>
    </row>
    <row r="225">
      <c r="A225" s="14" t="s">
        <v>1304</v>
      </c>
      <c r="B225" s="70" t="s">
        <v>12</v>
      </c>
      <c r="C225" s="12">
        <v>1.0</v>
      </c>
      <c r="D225" s="12" t="s">
        <v>741</v>
      </c>
      <c r="E225" s="10" t="s">
        <v>1305</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Crystal|.*crystal.*bury""),""Empty-Crystal"","""")&amp;IF(REGEXMATCH($E225,""Move|move""),""Move"","""")"),"Ramp ")</f>
        <v>Ramp </v>
      </c>
      <c r="G225" s="13" t="s">
        <v>1306</v>
      </c>
      <c r="H225" s="12">
        <v>6.0</v>
      </c>
      <c r="I225" s="12" t="s">
        <v>1307</v>
      </c>
      <c r="J225" s="12" t="s">
        <v>39</v>
      </c>
      <c r="L225" s="12" t="s">
        <v>741</v>
      </c>
      <c r="M225" s="14" t="str">
        <f>IFERROR(__xludf.DUMMYFUNCTION("IF(REGEXMATCH($B225,M$1),$D225,"""")"),"Demon Dinosaur")</f>
        <v>Demon Dinosaur</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IFERROR(__xludf.DUMMYFUNCTION("IF($A225="""","""",LEN(REGEXREPLACE($I225,"",\s?"","""")))"),4.0)</f>
        <v>4</v>
      </c>
      <c r="S225" s="14"/>
      <c r="T225" s="14"/>
      <c r="U225" s="14"/>
      <c r="V225" s="14"/>
      <c r="W225" s="14"/>
      <c r="X225" s="14"/>
      <c r="Y225" s="14"/>
      <c r="Z225" s="14"/>
      <c r="AA225" s="14"/>
      <c r="AB225" s="14"/>
    </row>
    <row r="226" hidden="1">
      <c r="A226" s="20" t="s">
        <v>1308</v>
      </c>
      <c r="B226" s="92" t="s">
        <v>12</v>
      </c>
      <c r="C226" s="19">
        <v>2.0</v>
      </c>
      <c r="D226" s="19" t="s">
        <v>1309</v>
      </c>
      <c r="E226" s="20" t="s">
        <v>1310</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f>
        <v/>
      </c>
      <c r="G226" s="21" t="s">
        <v>223</v>
      </c>
      <c r="H226" s="19">
        <v>3.0</v>
      </c>
      <c r="I226" s="19" t="s">
        <v>1307</v>
      </c>
      <c r="J226" s="19" t="s">
        <v>39</v>
      </c>
      <c r="L226" s="14" t="str">
        <f>IFERROR(__xludf.DUMMYFUNCTION("IF(REGEXMATCH($B226,L$1),$D226,"""")"),"")</f>
        <v/>
      </c>
      <c r="M226" s="14" t="str">
        <f>IFERROR(__xludf.DUMMYFUNCTION("IF(REGEXMATCH($B226,M$1),$D226,"""")"),"Animal Plant")</f>
        <v>Animal Plant</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hidden="1">
      <c r="A227" s="25" t="s">
        <v>1311</v>
      </c>
      <c r="B227" s="91" t="s">
        <v>12</v>
      </c>
      <c r="C227" s="12">
        <v>2.0</v>
      </c>
      <c r="D227" s="12" t="s">
        <v>44</v>
      </c>
      <c r="E227" s="10" t="s">
        <v>1312</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Crystal|.*crystal.*bury""),""Empty-Crystal"","""")&amp;IF(REGEXMATCH($E227,""Move|move""),""Move"","""")"),"Insect ")</f>
        <v>Insect </v>
      </c>
      <c r="G227" s="13" t="s">
        <v>1313</v>
      </c>
      <c r="H227" s="12">
        <v>2.0</v>
      </c>
      <c r="I227" s="12" t="s">
        <v>1288</v>
      </c>
      <c r="J227" s="12" t="s">
        <v>69</v>
      </c>
      <c r="L227" s="14" t="str">
        <f>IFERROR(__xludf.DUMMYFUNCTION("IF(REGEXMATCH($B227,L$1),$D227,"""")"),"")</f>
        <v/>
      </c>
      <c r="M227" s="14" t="str">
        <f>IFERROR(__xludf.DUMMYFUNCTION("IF(REGEXMATCH($B227,M$1),$D227,"""")"),"Human")</f>
        <v>Human</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IFERROR(__xludf.DUMMYFUNCTION("IF($A227="""","""",LEN(REGEXREPLACE($I227,"",\s?"","""")))"),3.0)</f>
        <v>3</v>
      </c>
      <c r="S227" s="14"/>
      <c r="T227" s="14"/>
      <c r="U227" s="14"/>
      <c r="V227" s="14"/>
      <c r="W227" s="14"/>
      <c r="X227" s="14"/>
      <c r="Y227" s="14"/>
      <c r="Z227" s="14"/>
      <c r="AA227" s="14"/>
      <c r="AB227" s="14"/>
    </row>
    <row r="228" hidden="1">
      <c r="A228" s="20" t="s">
        <v>1314</v>
      </c>
      <c r="B228" s="92" t="s">
        <v>12</v>
      </c>
      <c r="C228" s="19">
        <v>2.0</v>
      </c>
      <c r="D228" s="19" t="s">
        <v>1315</v>
      </c>
      <c r="E228" s="20" t="s">
        <v>1316</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Crystal|.*crystal.*bury""),""Empty-Crystal"","""")&amp;IF(REGEXMATCH($E228,""Move|move""),""Move"","""")"),"Insect Ramp ")</f>
        <v>Insect Ramp </v>
      </c>
      <c r="G228" s="21" t="s">
        <v>1317</v>
      </c>
      <c r="H228" s="19">
        <v>5.0</v>
      </c>
      <c r="I228" s="19" t="s">
        <v>1318</v>
      </c>
      <c r="J228" s="19" t="s">
        <v>69</v>
      </c>
      <c r="L228" s="14" t="str">
        <f>IFERROR(__xludf.DUMMYFUNCTION("IF(REGEXMATCH($B228,L$1),$D228,"""")"),"")</f>
        <v/>
      </c>
      <c r="M228" s="14" t="str">
        <f>IFERROR(__xludf.DUMMYFUNCTION("IF(REGEXMATCH($B228,M$1),$D228,"""")"),"Dinosaur Insect")</f>
        <v>Dinosaur Insect</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IFERROR(__xludf.DUMMYFUNCTION("IF($A228="""","""",LEN(REGEXREPLACE($I228,"",\s?"","""")))"),6.0)</f>
        <v>6</v>
      </c>
      <c r="S228" s="14"/>
      <c r="T228" s="14"/>
      <c r="U228" s="14"/>
      <c r="V228" s="14"/>
      <c r="W228" s="14"/>
      <c r="X228" s="14"/>
      <c r="Y228" s="14"/>
      <c r="Z228" s="14"/>
      <c r="AA228" s="14"/>
      <c r="AB228" s="14"/>
    </row>
    <row r="229" hidden="1">
      <c r="A229" s="20" t="s">
        <v>1319</v>
      </c>
      <c r="B229" s="34" t="s">
        <v>12</v>
      </c>
      <c r="C229" s="19">
        <v>2.0</v>
      </c>
      <c r="D229" s="19" t="s">
        <v>1320</v>
      </c>
      <c r="E229" s="20" t="s">
        <v>1321</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Crystal|.*crystal.*bury""),""Empty-Crystal"","""")&amp;IF(REGEXMATCH($E229,""Move|move""),""Move"","""")"),"Unearth Control Move")</f>
        <v>Unearth Control Move</v>
      </c>
      <c r="G229" s="21" t="s">
        <v>199</v>
      </c>
      <c r="H229" s="19">
        <v>4.0</v>
      </c>
      <c r="I229" s="19" t="s">
        <v>1307</v>
      </c>
      <c r="J229" s="19" t="s">
        <v>33</v>
      </c>
      <c r="L229" s="14" t="str">
        <f>IFERROR(__xludf.DUMMYFUNCTION("IF(REGEXMATCH($B229,L$1),$D229,"""")"),"")</f>
        <v/>
      </c>
      <c r="M229" s="14" t="str">
        <f>IFERROR(__xludf.DUMMYFUNCTION("IF(REGEXMATCH($B229,M$1),$D229,"""")"),"Insect Hunter")</f>
        <v>Insect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IFERROR(__xludf.DUMMYFUNCTION("IF($A229="""","""",LEN(REGEXREPLACE($I229,"",\s?"","""")))"),4.0)</f>
        <v>4</v>
      </c>
      <c r="S229" s="14"/>
      <c r="T229" s="14"/>
      <c r="U229" s="14"/>
      <c r="V229" s="14"/>
      <c r="W229" s="14"/>
      <c r="X229" s="14"/>
      <c r="Y229" s="14"/>
      <c r="Z229" s="14"/>
      <c r="AA229" s="14"/>
      <c r="AB229" s="14"/>
    </row>
    <row r="230">
      <c r="A230" s="10" t="s">
        <v>1322</v>
      </c>
      <c r="B230" s="10" t="s">
        <v>12</v>
      </c>
      <c r="C230" s="12">
        <v>1.0</v>
      </c>
      <c r="D230" s="12" t="s">
        <v>221</v>
      </c>
      <c r="E230" s="10" t="s">
        <v>78</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Crystal|.*crystal.*bury""),""Empty-Crystal"","""")&amp;IF(REGEXMATCH($E230,""Move|move""),""Move"","""")"),"Ramp ")</f>
        <v>Ramp </v>
      </c>
      <c r="G230" s="13" t="s">
        <v>1323</v>
      </c>
      <c r="H230" s="12">
        <v>2.0</v>
      </c>
      <c r="I230" s="12" t="s">
        <v>1324</v>
      </c>
      <c r="J230" s="12" t="s">
        <v>33</v>
      </c>
      <c r="L230" s="12" t="s">
        <v>221</v>
      </c>
      <c r="M230" s="14" t="str">
        <f>IFERROR(__xludf.DUMMYFUNCTION("IF(REGEXMATCH($B230,M$1),$D230,"""")"),"Animal Spirit")</f>
        <v>Animal Spirit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IFERROR(__xludf.DUMMYFUNCTION("IF($A230="""","""",LEN(REGEXREPLACE($I230,"",\s?"","""")))"),1.0)</f>
        <v>1</v>
      </c>
      <c r="S230" s="14"/>
      <c r="T230" s="14"/>
      <c r="U230" s="14"/>
      <c r="V230" s="14"/>
      <c r="W230" s="14"/>
      <c r="X230" s="14"/>
      <c r="Y230" s="14"/>
      <c r="Z230" s="14"/>
      <c r="AA230" s="14"/>
      <c r="AB230" s="14"/>
    </row>
    <row r="231">
      <c r="A231" s="10" t="s">
        <v>1325</v>
      </c>
      <c r="B231" s="10" t="s">
        <v>12</v>
      </c>
      <c r="C231" s="12">
        <v>1.0</v>
      </c>
      <c r="D231" s="12" t="s">
        <v>360</v>
      </c>
      <c r="E231" s="10" t="s">
        <v>1326</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Crystal|.*crystal.*bury""),""Empty-Crystal"","""")&amp;IF(REGEXMATCH($E231,""Move|move""),""Move"","""")"),"Ramp ")</f>
        <v>Ramp </v>
      </c>
      <c r="G231" s="13" t="s">
        <v>1327</v>
      </c>
      <c r="H231" s="12">
        <v>2.0</v>
      </c>
      <c r="I231" s="12" t="s">
        <v>1288</v>
      </c>
      <c r="J231" s="12" t="s">
        <v>69</v>
      </c>
      <c r="L231" s="12" t="s">
        <v>360</v>
      </c>
      <c r="M231" s="14" t="str">
        <f>IFERROR(__xludf.DUMMYFUNCTION("IF(REGEXMATCH($B231,M$1),$D231,"""")"),"Dinosaur")</f>
        <v>Dinosaur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c r="A232" s="20" t="s">
        <v>1328</v>
      </c>
      <c r="B232" s="20" t="s">
        <v>12</v>
      </c>
      <c r="C232" s="19">
        <v>1.0</v>
      </c>
      <c r="D232" s="19" t="s">
        <v>1329</v>
      </c>
      <c r="E232" s="20" t="s">
        <v>1330</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Crystal|.*crystal.*bury""),""Empty-Crystal"","""")&amp;IF(REGEXMATCH($E232,""Move|move""),""Move"","""")"),"Hunter Unearth ")</f>
        <v>Hunter Unearth </v>
      </c>
      <c r="G232" s="21" t="s">
        <v>1331</v>
      </c>
      <c r="H232" s="19">
        <v>3.0</v>
      </c>
      <c r="I232" s="19" t="s">
        <v>1288</v>
      </c>
      <c r="J232" s="19" t="s">
        <v>33</v>
      </c>
      <c r="L232" s="19" t="s">
        <v>1329</v>
      </c>
      <c r="M232" s="14" t="str">
        <f>IFERROR(__xludf.DUMMYFUNCTION("IF(REGEXMATCH($B232,M$1),$D232,"""")"),"Plant Hunter")</f>
        <v>Plant Hunter</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IFERROR(__xludf.DUMMYFUNCTION("IF($A232="""","""",LEN(REGEXREPLACE($I232,"",\s?"","""")))"),3.0)</f>
        <v>3</v>
      </c>
      <c r="S232" s="14"/>
      <c r="T232" s="14"/>
      <c r="U232" s="14"/>
      <c r="V232" s="14"/>
      <c r="W232" s="14"/>
      <c r="X232" s="14"/>
      <c r="Y232" s="14"/>
      <c r="Z232" s="14"/>
      <c r="AA232" s="14"/>
      <c r="AB232" s="14"/>
    </row>
    <row r="233">
      <c r="A233" s="10" t="s">
        <v>1332</v>
      </c>
      <c r="B233" s="10" t="s">
        <v>12</v>
      </c>
      <c r="C233" s="12">
        <v>1.0</v>
      </c>
      <c r="D233" s="32" t="s">
        <v>181</v>
      </c>
      <c r="E233" s="10" t="s">
        <v>1333</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f>
        <v>Plant </v>
      </c>
      <c r="G233" s="13" t="s">
        <v>1334</v>
      </c>
      <c r="H233" s="12">
        <v>4.0</v>
      </c>
      <c r="I233" s="12" t="s">
        <v>1292</v>
      </c>
      <c r="J233" s="12" t="s">
        <v>39</v>
      </c>
      <c r="L233" s="32" t="s">
        <v>181</v>
      </c>
      <c r="M233" s="14" t="str">
        <f>IFERROR(__xludf.DUMMYFUNCTION("IF(REGEXMATCH($B233,M$1),$D233,"""")"),"Angel Plant")</f>
        <v>Angel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IFERROR(__xludf.DUMMYFUNCTION("IF($A233="""","""",LEN(REGEXREPLACE($I233,"",\s?"","""")))"),5.0)</f>
        <v>5</v>
      </c>
      <c r="S233" s="14"/>
      <c r="T233" s="14"/>
      <c r="U233" s="14"/>
      <c r="V233" s="14"/>
      <c r="W233" s="14"/>
      <c r="X233" s="14"/>
      <c r="Y233" s="14"/>
      <c r="Z233" s="14"/>
      <c r="AA233" s="14"/>
      <c r="AB233" s="14"/>
    </row>
    <row r="234">
      <c r="A234" s="20" t="s">
        <v>1335</v>
      </c>
      <c r="B234" s="20" t="s">
        <v>12</v>
      </c>
      <c r="C234" s="19">
        <v>1.0</v>
      </c>
      <c r="D234" s="19" t="s">
        <v>272</v>
      </c>
      <c r="E234" s="10" t="s">
        <v>1336</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Crystal|.*crystal.*bury""),""Empty-Crystal"","""")&amp;IF(REGEXMATCH($E234,""Move|move""),""Move"","""")"),"Unearth Ramp ")</f>
        <v>Unearth Ramp </v>
      </c>
      <c r="G234" s="13" t="s">
        <v>1337</v>
      </c>
      <c r="H234" s="19">
        <v>3.0</v>
      </c>
      <c r="I234" s="19" t="s">
        <v>1288</v>
      </c>
      <c r="J234" s="19" t="s">
        <v>33</v>
      </c>
      <c r="L234" s="19" t="s">
        <v>272</v>
      </c>
      <c r="M234" s="14" t="str">
        <f>IFERROR(__xludf.DUMMYFUNCTION("IF(REGEXMATCH($B234,M$1),$D234,"""")"),"Animal Hunter")</f>
        <v>Animal Hunter</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IFERROR(__xludf.DUMMYFUNCTION("IF($A234="""","""",LEN(REGEXREPLACE($I234,"",\s?"","""")))"),3.0)</f>
        <v>3</v>
      </c>
      <c r="S234" s="14"/>
      <c r="T234" s="14"/>
      <c r="U234" s="14"/>
      <c r="V234" s="14"/>
      <c r="W234" s="14"/>
      <c r="X234" s="14"/>
      <c r="Y234" s="14"/>
      <c r="Z234" s="14"/>
      <c r="AA234" s="14"/>
      <c r="AB234" s="14"/>
    </row>
    <row r="235">
      <c r="A235" s="20" t="s">
        <v>1338</v>
      </c>
      <c r="B235" s="92" t="s">
        <v>12</v>
      </c>
      <c r="C235" s="19">
        <v>1.0</v>
      </c>
      <c r="D235" s="19" t="s">
        <v>1339</v>
      </c>
      <c r="E235" s="20" t="s">
        <v>1340</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Crystal|.*crystal.*bury""),""Empty-Crystal"","""")&amp;IF(REGEXMATCH($E235,""Move|move""),""Move"","""")"),"Insect Plant Unearth ")</f>
        <v>Insect Plant Unearth </v>
      </c>
      <c r="G235" s="50"/>
      <c r="H235" s="19">
        <v>4.0</v>
      </c>
      <c r="I235" s="19" t="s">
        <v>1341</v>
      </c>
      <c r="J235" s="19" t="s">
        <v>69</v>
      </c>
      <c r="L235" s="14" t="str">
        <f>IFERROR(__xludf.DUMMYFUNCTION("IF(REGEXMATCH($B235,L$1),$D235,"""")"),"")</f>
        <v/>
      </c>
      <c r="M235" s="14" t="str">
        <f>IFERROR(__xludf.DUMMYFUNCTION("IF(REGEXMATCH($B235,M$1),$D235,"""")"),"Insect Plant")</f>
        <v>Insect Plant</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IFERROR(__xludf.DUMMYFUNCTION("IF($A235="""","""",LEN(REGEXREPLACE($I235,"",\s?"","""")))"),4.0)</f>
        <v>4</v>
      </c>
      <c r="S235" s="14"/>
      <c r="T235" s="14"/>
      <c r="U235" s="14"/>
      <c r="V235" s="14"/>
      <c r="W235" s="14"/>
      <c r="X235" s="14"/>
      <c r="Y235" s="14"/>
      <c r="Z235" s="14"/>
      <c r="AA235" s="14"/>
      <c r="AB235" s="14"/>
    </row>
    <row r="236" hidden="1">
      <c r="A236" s="27" t="s">
        <v>1342</v>
      </c>
      <c r="B236" s="91" t="s">
        <v>12</v>
      </c>
      <c r="C236" s="12">
        <v>2.0</v>
      </c>
      <c r="D236" s="12" t="s">
        <v>946</v>
      </c>
      <c r="E236" s="70" t="s">
        <v>1343</v>
      </c>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Crystal|.*crystal.*bury""),""Empty-Crystal"","""")&amp;IF(REGEXMATCH($E236,""Move|move""),""Move"","""")"),"Plant Ascend ")</f>
        <v>Plant Ascend </v>
      </c>
      <c r="G236" s="13" t="s">
        <v>31</v>
      </c>
      <c r="H236" s="12">
        <v>2.0</v>
      </c>
      <c r="I236" s="12" t="s">
        <v>1300</v>
      </c>
      <c r="J236" s="24" t="s">
        <v>33</v>
      </c>
      <c r="L236" s="14" t="str">
        <f>IFERROR(__xludf.DUMMYFUNCTION("IF(REGEXMATCH($B236,L$1),$D236,"""")"),"")</f>
        <v/>
      </c>
      <c r="M236" s="14" t="str">
        <f>IFERROR(__xludf.DUMMYFUNCTION("IF(REGEXMATCH($B236,M$1),$D236,"""")"),"Human Plant")</f>
        <v>Human Plant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IFERROR(__xludf.DUMMYFUNCTION("IF($A236="""","""",LEN(REGEXREPLACE($I236,"",\s?"","""")))"),2.0)</f>
        <v>2</v>
      </c>
      <c r="S236" s="14"/>
      <c r="T236" s="14"/>
      <c r="U236" s="14"/>
      <c r="V236" s="14"/>
      <c r="W236" s="14"/>
      <c r="X236" s="14"/>
      <c r="Y236" s="14"/>
      <c r="Z236" s="14"/>
      <c r="AA236" s="14"/>
      <c r="AB236" s="14"/>
    </row>
    <row r="237" hidden="1">
      <c r="A237" s="25" t="s">
        <v>1344</v>
      </c>
      <c r="B237" s="91" t="s">
        <v>12</v>
      </c>
      <c r="C237" s="12">
        <v>0.0</v>
      </c>
      <c r="D237" s="12" t="s">
        <v>1345</v>
      </c>
      <c r="E237" s="22" t="s">
        <v>1346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Crystal|.*crystal.*bury""),""Empty-Crystal"","""")&amp;IF(REGEXMATCH($E237,""Move|move""),""Move"","""")"),"Ramp ")</f>
        <v>Ramp </v>
      </c>
      <c r="G237" s="13" t="s">
        <v>1347</v>
      </c>
      <c r="H237" s="12">
        <v>4.0</v>
      </c>
      <c r="I237" s="12" t="s">
        <v>1307</v>
      </c>
      <c r="J237" s="12" t="s">
        <v>69</v>
      </c>
      <c r="L237" s="14" t="str">
        <f>IFERROR(__xludf.DUMMYFUNCTION("IF(REGEXMATCH($B237,L$1),$D237,"""")"),"")</f>
        <v/>
      </c>
      <c r="M237" s="14" t="str">
        <f>IFERROR(__xludf.DUMMYFUNCTION("IF(REGEXMATCH($B237,M$1),$D237,"""")"),"Spirit Construct")</f>
        <v>Spirit Construct</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IFERROR(__xludf.DUMMYFUNCTION("IF($A237="""","""",LEN(REGEXREPLACE($I237,"",\s?"","""")))"),4.0)</f>
        <v>4</v>
      </c>
      <c r="S237" s="14"/>
      <c r="T237" s="14"/>
      <c r="U237" s="14"/>
      <c r="V237" s="14"/>
      <c r="W237" s="14"/>
      <c r="X237" s="14"/>
      <c r="Y237" s="14"/>
      <c r="Z237" s="14"/>
      <c r="AA237" s="14"/>
      <c r="AB237" s="14"/>
    </row>
    <row r="238">
      <c r="A238" s="10" t="s">
        <v>1348</v>
      </c>
      <c r="B238" s="10" t="s">
        <v>12</v>
      </c>
      <c r="C238" s="12">
        <v>1.0</v>
      </c>
      <c r="D238" s="12" t="s">
        <v>360</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44" t="s">
        <v>1349</v>
      </c>
      <c r="H238" s="12">
        <v>8.0</v>
      </c>
      <c r="I238" s="12" t="s">
        <v>1350</v>
      </c>
      <c r="J238" s="12" t="s">
        <v>33</v>
      </c>
      <c r="L238" s="12" t="s">
        <v>360</v>
      </c>
      <c r="M238" s="14" t="str">
        <f>IFERROR(__xludf.DUMMYFUNCTION("IF(REGEXMATCH($B238,M$1),$D238,"""")"),"Dinosaur")</f>
        <v>Dinosaur</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IFERROR(__xludf.DUMMYFUNCTION("IF($A238="""","""",LEN(REGEXREPLACE($I238,"",\s?"","""")))"),6.0)</f>
        <v>6</v>
      </c>
      <c r="S238" s="14"/>
      <c r="T238" s="14"/>
      <c r="U238" s="14"/>
      <c r="V238" s="14"/>
      <c r="W238" s="14"/>
      <c r="X238" s="14"/>
      <c r="Y238" s="14"/>
      <c r="Z238" s="14"/>
      <c r="AA238" s="14"/>
      <c r="AB238" s="14"/>
    </row>
    <row r="239" hidden="1">
      <c r="A239" s="20" t="s">
        <v>1351</v>
      </c>
      <c r="B239" s="91" t="s">
        <v>12</v>
      </c>
      <c r="C239" s="12">
        <v>2.0</v>
      </c>
      <c r="D239" s="12" t="s">
        <v>656</v>
      </c>
      <c r="E239" s="27"/>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f>
        <v/>
      </c>
      <c r="G239" s="13" t="s">
        <v>1352</v>
      </c>
      <c r="H239" s="12">
        <v>7.0</v>
      </c>
      <c r="I239" s="12" t="s">
        <v>1353</v>
      </c>
      <c r="J239" s="12" t="s">
        <v>33</v>
      </c>
      <c r="L239" s="14" t="str">
        <f>IFERROR(__xludf.DUMMYFUNCTION("IF(REGEXMATCH($B239,L$1),$D239,"""")"),"")</f>
        <v/>
      </c>
      <c r="M239" s="14" t="str">
        <f>IFERROR(__xludf.DUMMYFUNCTION("IF(REGEXMATCH($B239,M$1),$D239,"""")"),"Insect")</f>
        <v>Insect</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IFERROR(__xludf.DUMMYFUNCTION("IF($A239="""","""",LEN(REGEXREPLACE($I239,"",\s?"","""")))"),7.0)</f>
        <v>7</v>
      </c>
      <c r="S239" s="14"/>
      <c r="T239" s="14"/>
      <c r="U239" s="14"/>
      <c r="V239" s="14"/>
      <c r="W239" s="14"/>
      <c r="X239" s="14"/>
      <c r="Y239" s="14"/>
      <c r="Z239" s="14"/>
      <c r="AA239" s="14"/>
      <c r="AB239" s="14"/>
    </row>
    <row r="240" hidden="1">
      <c r="A240" s="35" t="s">
        <v>1354</v>
      </c>
      <c r="B240" s="92" t="s">
        <v>12</v>
      </c>
      <c r="C240" s="19">
        <v>2.0</v>
      </c>
      <c r="D240" s="19" t="s">
        <v>1355</v>
      </c>
      <c r="E240" s="20" t="s">
        <v>252</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f>
        <v/>
      </c>
      <c r="G240" s="21" t="s">
        <v>739</v>
      </c>
      <c r="H240" s="19">
        <v>2.0</v>
      </c>
      <c r="I240" s="19" t="s">
        <v>1300</v>
      </c>
      <c r="J240" s="19" t="s">
        <v>33</v>
      </c>
      <c r="L240" s="14" t="str">
        <f>IFERROR(__xludf.DUMMYFUNCTION("IF(REGEXMATCH($B240,L$1),$D240,"""")"),"")</f>
        <v/>
      </c>
      <c r="M240" s="14" t="str">
        <f>IFERROR(__xludf.DUMMYFUNCTION("IF(REGEXMATCH($B240,M$1),$D240,"""")"),"Crusader Warrior")</f>
        <v>Crusader Warrior</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hidden="1">
      <c r="A241" s="20" t="s">
        <v>1356</v>
      </c>
      <c r="B241" s="92" t="s">
        <v>12</v>
      </c>
      <c r="C241" s="19">
        <v>2.0</v>
      </c>
      <c r="D241" s="19" t="s">
        <v>121</v>
      </c>
      <c r="E241" s="20" t="s">
        <v>1357</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Crystal|.*crystal.*bury""),""Empty-Crystal"","""")&amp;IF(REGEXMATCH($E241,""Move|move""),""Move"","""")"),"Unearth Control Aggro ")</f>
        <v>Unearth Control Aggro </v>
      </c>
      <c r="G241" s="21" t="s">
        <v>1358</v>
      </c>
      <c r="H241" s="19">
        <v>2.0</v>
      </c>
      <c r="I241" s="12" t="s">
        <v>1353</v>
      </c>
      <c r="J241" s="12" t="s">
        <v>69</v>
      </c>
      <c r="L241" s="14" t="str">
        <f>IFERROR(__xludf.DUMMYFUNCTION("IF(REGEXMATCH($B241,L$1),$D241,"""")"),"")</f>
        <v/>
      </c>
      <c r="M241" s="14" t="str">
        <f>IFERROR(__xludf.DUMMYFUNCTION("IF(REGEXMATCH($B241,M$1),$D241,"""")"),"Animal Construct")</f>
        <v>Animal Construct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IFERROR(__xludf.DUMMYFUNCTION("IF($A241="""","""",LEN(REGEXREPLACE($I241,"",\s?"","""")))"),7.0)</f>
        <v>7</v>
      </c>
      <c r="S241" s="14"/>
      <c r="T241" s="14"/>
      <c r="U241" s="14"/>
      <c r="V241" s="14"/>
      <c r="W241" s="14"/>
      <c r="X241" s="14"/>
      <c r="Y241" s="14"/>
      <c r="Z241" s="14"/>
      <c r="AA241" s="14"/>
      <c r="AB241" s="14"/>
    </row>
    <row r="242">
      <c r="A242" s="10" t="s">
        <v>1359</v>
      </c>
      <c r="B242" s="10" t="s">
        <v>12</v>
      </c>
      <c r="C242" s="12">
        <v>1.0</v>
      </c>
      <c r="D242" s="32" t="s">
        <v>356</v>
      </c>
      <c r="E242" s="10" t="s">
        <v>1360</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Crystal|.*crystal.*bury""),""Empty-Crystal"","""")&amp;IF(REGEXMATCH($E242,""Move|move""),""Move"","""")"),"Ramp ")</f>
        <v>Ramp </v>
      </c>
      <c r="G242" s="13" t="s">
        <v>1361</v>
      </c>
      <c r="H242" s="12">
        <v>5.0</v>
      </c>
      <c r="I242" s="12" t="s">
        <v>1292</v>
      </c>
      <c r="J242" s="12" t="s">
        <v>33</v>
      </c>
      <c r="L242" s="32" t="s">
        <v>356</v>
      </c>
      <c r="M242" s="14" t="str">
        <f>IFERROR(__xludf.DUMMYFUNCTION("IF(REGEXMATCH($B242,M$1),$D242,"""")"),"Construct Dinosaur")</f>
        <v>Construct Dinosaur</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IFERROR(__xludf.DUMMYFUNCTION("IF($A242="""","""",LEN(REGEXREPLACE($I242,"",\s?"","""")))"),5.0)</f>
        <v>5</v>
      </c>
      <c r="S242" s="14"/>
      <c r="T242" s="14"/>
      <c r="U242" s="14"/>
      <c r="V242" s="14"/>
      <c r="W242" s="14"/>
      <c r="X242" s="14"/>
      <c r="Y242" s="14"/>
      <c r="Z242" s="14"/>
      <c r="AA242" s="14"/>
      <c r="AB242" s="14"/>
    </row>
    <row r="243">
      <c r="A243" s="20" t="s">
        <v>1362</v>
      </c>
      <c r="B243" s="20" t="s">
        <v>12</v>
      </c>
      <c r="C243" s="19">
        <v>1.0</v>
      </c>
      <c r="D243" s="19" t="s">
        <v>104</v>
      </c>
      <c r="E243" s="10" t="s">
        <v>1363</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3" t="s">
        <v>1364</v>
      </c>
      <c r="H243" s="19">
        <v>2.0</v>
      </c>
      <c r="I243" s="19" t="s">
        <v>1300</v>
      </c>
      <c r="J243" s="19" t="s">
        <v>33</v>
      </c>
      <c r="L243" s="19" t="s">
        <v>104</v>
      </c>
      <c r="M243" s="14" t="str">
        <f>IFERROR(__xludf.DUMMYFUNCTION("IF(REGEXMATCH($B243,M$1),$D243,"""")"),"Animal")</f>
        <v>Animal</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IFERROR(__xludf.DUMMYFUNCTION("IF($A243="""","""",LEN(REGEXREPLACE($I243,"",\s?"","""")))"),2.0)</f>
        <v>2</v>
      </c>
      <c r="S243" s="14"/>
      <c r="T243" s="14"/>
      <c r="U243" s="14"/>
      <c r="V243" s="14"/>
      <c r="W243" s="14"/>
      <c r="X243" s="14"/>
      <c r="Y243" s="14"/>
      <c r="Z243" s="14"/>
      <c r="AA243" s="14"/>
      <c r="AB243" s="14"/>
    </row>
    <row r="244">
      <c r="A244" s="10" t="s">
        <v>1365</v>
      </c>
      <c r="B244" s="10" t="s">
        <v>12</v>
      </c>
      <c r="C244" s="12">
        <v>1.0</v>
      </c>
      <c r="D244" s="12" t="s">
        <v>656</v>
      </c>
      <c r="E244" s="70" t="s">
        <v>1366</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Crystal|.*crystal.*bury""),""Empty-Crystal"","""")&amp;IF(REGEXMATCH($E244,""Move|move""),""Move"","""")"),"Insect Move")</f>
        <v>Insect Move</v>
      </c>
      <c r="G244" s="13" t="s">
        <v>1367</v>
      </c>
      <c r="H244" s="12">
        <v>3.0</v>
      </c>
      <c r="I244" s="12" t="s">
        <v>1307</v>
      </c>
      <c r="J244" s="12" t="s">
        <v>69</v>
      </c>
      <c r="L244" s="12" t="s">
        <v>656</v>
      </c>
      <c r="M244" s="14" t="str">
        <f>IFERROR(__xludf.DUMMYFUNCTION("IF(REGEXMATCH($B244,M$1),$D244,"""")"),"Insect")</f>
        <v>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IFERROR(__xludf.DUMMYFUNCTION("IF($A244="""","""",LEN(REGEXREPLACE($I244,"",\s?"","""")))"),4.0)</f>
        <v>4</v>
      </c>
      <c r="S244" s="14"/>
      <c r="T244" s="14"/>
      <c r="U244" s="14"/>
      <c r="V244" s="14"/>
      <c r="W244" s="14"/>
      <c r="X244" s="14"/>
      <c r="Y244" s="14"/>
      <c r="Z244" s="14"/>
      <c r="AA244" s="14"/>
      <c r="AB244" s="14"/>
    </row>
    <row r="245" hidden="1">
      <c r="A245" s="20" t="s">
        <v>1368</v>
      </c>
      <c r="B245" s="92" t="s">
        <v>12</v>
      </c>
      <c r="C245" s="19">
        <v>2.0</v>
      </c>
      <c r="D245" s="19" t="s">
        <v>104</v>
      </c>
      <c r="E245" s="20" t="s">
        <v>1369</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Crystal|.*crystal.*bury""),""Empty-Crystal"","""")&amp;IF(REGEXMATCH($E245,""Move|move""),""Move"","""")"),"Animal Ascend ")</f>
        <v>Animal Ascend </v>
      </c>
      <c r="G245" s="21" t="s">
        <v>31</v>
      </c>
      <c r="H245" s="19">
        <v>1.0</v>
      </c>
      <c r="I245" s="19" t="s">
        <v>1300</v>
      </c>
      <c r="J245" s="19" t="s">
        <v>33</v>
      </c>
      <c r="L245" s="14" t="str">
        <f>IFERROR(__xludf.DUMMYFUNCTION("IF(REGEXMATCH($B245,L$1),$D245,"""")"),"")</f>
        <v/>
      </c>
      <c r="M245" s="14" t="str">
        <f>IFERROR(__xludf.DUMMYFUNCTION("IF(REGEXMATCH($B245,M$1),$D245,"""")"),"Animal")</f>
        <v>Animal</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IFERROR(__xludf.DUMMYFUNCTION("IF($A245="""","""",LEN(REGEXREPLACE($I245,"",\s?"","""")))"),2.0)</f>
        <v>2</v>
      </c>
      <c r="S245" s="14"/>
      <c r="T245" s="14"/>
      <c r="U245" s="14"/>
      <c r="V245" s="14"/>
      <c r="W245" s="14"/>
      <c r="X245" s="14"/>
      <c r="Y245" s="14"/>
      <c r="Z245" s="14"/>
      <c r="AA245" s="14"/>
      <c r="AB245" s="14"/>
    </row>
    <row r="246">
      <c r="A246" s="10" t="s">
        <v>1370</v>
      </c>
      <c r="B246" s="10" t="s">
        <v>12</v>
      </c>
      <c r="C246" s="12">
        <v>1.0</v>
      </c>
      <c r="D246" s="12" t="s">
        <v>1371</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f>
        <v/>
      </c>
      <c r="G246" s="13" t="s">
        <v>1372</v>
      </c>
      <c r="H246" s="12">
        <v>4.0</v>
      </c>
      <c r="I246" s="12" t="s">
        <v>1373</v>
      </c>
      <c r="J246" s="12" t="s">
        <v>33</v>
      </c>
      <c r="L246" s="12" t="s">
        <v>1371</v>
      </c>
      <c r="M246" s="14" t="str">
        <f>IFERROR(__xludf.DUMMYFUNCTION("IF(REGEXMATCH($B246,M$1),$D246,"""")"),"Plant Spirit")</f>
        <v>Plant Spirit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IFERROR(__xludf.DUMMYFUNCTION("IF($A246="""","""",LEN(REGEXREPLACE($I246,"",\s?"","""")))"),3.0)</f>
        <v>3</v>
      </c>
      <c r="S246" s="14"/>
      <c r="T246" s="14"/>
      <c r="U246" s="14"/>
      <c r="V246" s="14"/>
      <c r="W246" s="14"/>
      <c r="X246" s="14"/>
      <c r="Y246" s="14"/>
      <c r="Z246" s="14"/>
      <c r="AA246" s="14"/>
      <c r="AB246" s="14"/>
    </row>
    <row r="247">
      <c r="A247" s="20" t="s">
        <v>1374</v>
      </c>
      <c r="B247" s="20" t="s">
        <v>12</v>
      </c>
      <c r="C247" s="19">
        <v>1.0</v>
      </c>
      <c r="D247" s="19" t="s">
        <v>1375</v>
      </c>
      <c r="E247" s="20" t="s">
        <v>1376</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Crystal|.*crystal.*bury""),""Empty-Crystal"","""")&amp;IF(REGEXMATCH($E247,""Move|move""),""Move"","""")"),"Hunter Unearth ")</f>
        <v>Hunter Unearth </v>
      </c>
      <c r="G247" s="21" t="s">
        <v>1377</v>
      </c>
      <c r="H247" s="19">
        <v>5.0</v>
      </c>
      <c r="I247" s="19" t="s">
        <v>1292</v>
      </c>
      <c r="J247" s="19" t="s">
        <v>39</v>
      </c>
      <c r="L247" s="14" t="str">
        <f>IFERROR(__xludf.DUMMYFUNCTION("IF(REGEXMATCH($B247,L$1),$D247,"""")"),"")</f>
        <v/>
      </c>
      <c r="M247" s="14" t="str">
        <f>IFERROR(__xludf.DUMMYFUNCTION("IF(REGEXMATCH($B247,M$1),$D247,"""")"),"Hunter Insect")</f>
        <v>Hunter Insect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IFERROR(__xludf.DUMMYFUNCTION("IF($A247="""","""",LEN(REGEXREPLACE($I247,"",\s?"","""")))"),5.0)</f>
        <v>5</v>
      </c>
      <c r="S247" s="14"/>
      <c r="T247" s="14"/>
      <c r="U247" s="14"/>
      <c r="V247" s="14"/>
      <c r="W247" s="14"/>
      <c r="X247" s="14"/>
      <c r="Y247" s="14"/>
      <c r="Z247" s="14"/>
      <c r="AA247" s="14"/>
      <c r="AB247" s="14"/>
    </row>
    <row r="248">
      <c r="A248" s="10" t="s">
        <v>1378</v>
      </c>
      <c r="B248" s="10" t="s">
        <v>12</v>
      </c>
      <c r="C248" s="12">
        <v>1.0</v>
      </c>
      <c r="D248" s="12" t="s">
        <v>1243</v>
      </c>
      <c r="E248" s="20" t="s">
        <v>1379</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Crystal|.*crystal.*bury""),""Empty-Crystal"","""")&amp;IF(REGEXMATCH($E248,""Move|move""),""Move"","""")"),"Plant ")</f>
        <v>Plant </v>
      </c>
      <c r="G248" s="13" t="s">
        <v>1380</v>
      </c>
      <c r="H248" s="12">
        <v>3.0</v>
      </c>
      <c r="I248" s="12" t="s">
        <v>1373</v>
      </c>
      <c r="J248" s="12" t="s">
        <v>33</v>
      </c>
      <c r="L248" s="12" t="s">
        <v>1243</v>
      </c>
      <c r="M248" s="14" t="str">
        <f>IFERROR(__xludf.DUMMYFUNCTION("IF(REGEXMATCH($B248,M$1),$D248,"""")"),"Plant")</f>
        <v>Plant</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IFERROR(__xludf.DUMMYFUNCTION("IF($A248="""","""",LEN(REGEXREPLACE($I248,"",\s?"","""")))"),3.0)</f>
        <v>3</v>
      </c>
      <c r="S248" s="14"/>
      <c r="T248" s="14"/>
      <c r="U248" s="14"/>
      <c r="V248" s="14"/>
      <c r="W248" s="14"/>
      <c r="X248" s="14"/>
      <c r="Y248" s="14"/>
      <c r="Z248" s="14"/>
      <c r="AA248" s="14"/>
      <c r="AB248" s="14"/>
    </row>
    <row r="249">
      <c r="A249" s="14" t="s">
        <v>1381</v>
      </c>
      <c r="B249" s="10" t="s">
        <v>12</v>
      </c>
      <c r="C249" s="12">
        <v>1.0</v>
      </c>
      <c r="D249" s="12" t="s">
        <v>1382</v>
      </c>
      <c r="E249" s="10" t="s">
        <v>1383</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Crystal|.*crystal.*bury""),""Empty-Crystal"","""")&amp;IF(REGEXMATCH($E249,""Move|move""),""Move"","""")"),"Ramp ")</f>
        <v>Ramp </v>
      </c>
      <c r="G249" s="13" t="s">
        <v>1384</v>
      </c>
      <c r="H249" s="12">
        <v>2.0</v>
      </c>
      <c r="I249" s="12" t="s">
        <v>1324</v>
      </c>
      <c r="J249" s="24" t="s">
        <v>33</v>
      </c>
      <c r="L249" s="12" t="s">
        <v>1382</v>
      </c>
      <c r="M249" s="14" t="str">
        <f>IFERROR(__xludf.DUMMYFUNCTION("IF(REGEXMATCH($B249,M$1),$D249,"""")"),"Dinosaur Plant")</f>
        <v>Dinosaur Plant</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IFERROR(__xludf.DUMMYFUNCTION("IF($A249="""","""",LEN(REGEXREPLACE($I249,"",\s?"","""")))"),1.0)</f>
        <v>1</v>
      </c>
      <c r="S249" s="14"/>
      <c r="T249" s="14"/>
      <c r="U249" s="14"/>
      <c r="V249" s="14"/>
      <c r="W249" s="14"/>
      <c r="X249" s="14"/>
      <c r="Y249" s="14"/>
      <c r="Z249" s="14"/>
      <c r="AA249" s="14"/>
      <c r="AB249" s="14"/>
    </row>
    <row r="250">
      <c r="A250" s="10" t="s">
        <v>1385</v>
      </c>
      <c r="B250" s="10" t="s">
        <v>12</v>
      </c>
      <c r="C250" s="12">
        <v>1.0</v>
      </c>
      <c r="D250" s="12" t="s">
        <v>1243</v>
      </c>
      <c r="E250" s="20" t="s">
        <v>1386</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Crystal|.*crystal.*bury""),""Empty-Crystal"","""")&amp;IF(REGEXMATCH($E250,""Move|move""),""Move"","""")"),"Plant ")</f>
        <v>Plant </v>
      </c>
      <c r="G250" s="21" t="s">
        <v>1387</v>
      </c>
      <c r="H250" s="12">
        <v>2.0</v>
      </c>
      <c r="I250" s="12" t="s">
        <v>1300</v>
      </c>
      <c r="J250" s="12" t="s">
        <v>33</v>
      </c>
      <c r="L250" s="12" t="s">
        <v>1243</v>
      </c>
      <c r="M250" s="14" t="str">
        <f>IFERROR(__xludf.DUMMYFUNCTION("IF(REGEXMATCH($B250,M$1),$D250,"""")"),"Plant")</f>
        <v>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IFERROR(__xludf.DUMMYFUNCTION("IF($A250="""","""",LEN(REGEXREPLACE($I250,"",\s?"","""")))"),2.0)</f>
        <v>2</v>
      </c>
      <c r="S250" s="14"/>
      <c r="T250" s="14"/>
      <c r="U250" s="14"/>
      <c r="V250" s="14"/>
      <c r="W250" s="14"/>
      <c r="X250" s="14"/>
      <c r="Y250" s="14"/>
      <c r="Z250" s="14"/>
      <c r="AA250" s="14"/>
      <c r="AB250" s="14"/>
    </row>
    <row r="251">
      <c r="A251" s="77" t="s">
        <v>1388</v>
      </c>
      <c r="B251" s="10" t="s">
        <v>12</v>
      </c>
      <c r="C251" s="12">
        <v>1.0</v>
      </c>
      <c r="D251" s="12" t="s">
        <v>1389</v>
      </c>
      <c r="E251" s="10" t="s">
        <v>1390</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Crystal|.*crystal.*bury""),""Empty-Crystal"","""")&amp;IF(REGEXMATCH($E251,""Move|move""),""Move"","""")"),"Ramp ")</f>
        <v>Ramp </v>
      </c>
      <c r="G251" s="21" t="s">
        <v>1391</v>
      </c>
      <c r="H251" s="12">
        <v>5.0</v>
      </c>
      <c r="I251" s="12" t="s">
        <v>1392</v>
      </c>
      <c r="J251" s="12" t="s">
        <v>69</v>
      </c>
      <c r="L251" s="12" t="s">
        <v>1389</v>
      </c>
      <c r="M251" s="14" t="str">
        <f>IFERROR(__xludf.DUMMYFUNCTION("IF(REGEXMATCH($B251,M$1),$D251,"""")"),"Dinosaur Demon")</f>
        <v>Dinosaur Demon</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IFERROR(__xludf.DUMMYFUNCTION("IF($A251="""","""",LEN(REGEXREPLACE($I251,"",\s?"","""")))"),5.0)</f>
        <v>5</v>
      </c>
      <c r="S251" s="14"/>
      <c r="T251" s="14"/>
      <c r="U251" s="14"/>
      <c r="V251" s="14"/>
      <c r="W251" s="14"/>
      <c r="X251" s="14"/>
      <c r="Y251" s="14"/>
      <c r="Z251" s="14"/>
      <c r="AA251" s="14"/>
      <c r="AB251" s="14"/>
    </row>
    <row r="252" hidden="1">
      <c r="A252" s="35" t="s">
        <v>1393</v>
      </c>
      <c r="B252" s="92" t="s">
        <v>12</v>
      </c>
      <c r="C252" s="19">
        <v>2.0</v>
      </c>
      <c r="D252" s="19" t="s">
        <v>1394</v>
      </c>
      <c r="E252" s="20" t="s">
        <v>1395</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Crystal|.*crystal.*bury""),""Empty-Crystal"","""")&amp;IF(REGEXMATCH($E252,""Move|move""),""Move"","""")"),"Dinosaur Copy ")</f>
        <v>Dinosaur Copy </v>
      </c>
      <c r="G252" s="21" t="s">
        <v>971</v>
      </c>
      <c r="H252" s="19">
        <v>4.0</v>
      </c>
      <c r="I252" s="19" t="s">
        <v>1292</v>
      </c>
      <c r="J252" s="19" t="s">
        <v>33</v>
      </c>
      <c r="L252" s="14" t="str">
        <f>IFERROR(__xludf.DUMMYFUNCTION("IF(REGEXMATCH($B252,L$1),$D252,"""")"),"")</f>
        <v/>
      </c>
      <c r="M252" s="14" t="str">
        <f>IFERROR(__xludf.DUMMYFUNCTION("IF(REGEXMATCH($B252,M$1),$D252,"""")"),"Dinosaur Hunter")</f>
        <v>Dinosaur Hunter</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IFERROR(__xludf.DUMMYFUNCTION("IF($A252="""","""",LEN(REGEXREPLACE($I252,"",\s?"","""")))"),5.0)</f>
        <v>5</v>
      </c>
      <c r="S252" s="14"/>
      <c r="T252" s="14"/>
      <c r="U252" s="14"/>
      <c r="V252" s="14"/>
      <c r="W252" s="14"/>
      <c r="X252" s="14"/>
      <c r="Y252" s="14"/>
      <c r="Z252" s="14"/>
      <c r="AA252" s="14"/>
      <c r="AB252" s="14"/>
    </row>
    <row r="253" hidden="1">
      <c r="A253" s="25" t="s">
        <v>1396</v>
      </c>
      <c r="B253" s="91" t="s">
        <v>12</v>
      </c>
      <c r="C253" s="12">
        <v>0.0</v>
      </c>
      <c r="D253" s="12" t="s">
        <v>1309</v>
      </c>
      <c r="E253" s="10" t="s">
        <v>1397</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Crystal|.*crystal.*bury""),""Empty-Crystal"","""")&amp;IF(REGEXMATCH($E253,""Move|move""),""Move"","""")"),"Ramp ")</f>
        <v>Ramp </v>
      </c>
      <c r="G253" s="13" t="s">
        <v>1398</v>
      </c>
      <c r="H253" s="12">
        <v>5.0</v>
      </c>
      <c r="I253" s="12" t="s">
        <v>1292</v>
      </c>
      <c r="J253" s="12" t="s">
        <v>33</v>
      </c>
      <c r="L253" s="14" t="str">
        <f>IFERROR(__xludf.DUMMYFUNCTION("IF(REGEXMATCH($B253,L$1),$D253,"""")"),"")</f>
        <v/>
      </c>
      <c r="M253" s="14" t="str">
        <f>IFERROR(__xludf.DUMMYFUNCTION("IF(REGEXMATCH($B253,M$1),$D253,"""")"),"Animal Plant")</f>
        <v>Animal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IFERROR(__xludf.DUMMYFUNCTION("IF($A253="""","""",LEN(REGEXREPLACE($I253,"",\s?"","""")))"),5.0)</f>
        <v>5</v>
      </c>
      <c r="S253" s="14"/>
      <c r="T253" s="14"/>
      <c r="U253" s="14"/>
      <c r="V253" s="14"/>
      <c r="W253" s="14"/>
      <c r="X253" s="14"/>
      <c r="Y253" s="14"/>
      <c r="Z253" s="14"/>
      <c r="AA253" s="14"/>
      <c r="AB253" s="14"/>
    </row>
    <row r="254" ht="14.25" hidden="1" customHeight="1">
      <c r="A254" s="10" t="s">
        <v>1399</v>
      </c>
      <c r="B254" s="70" t="s">
        <v>12</v>
      </c>
      <c r="C254" s="12">
        <v>2.0</v>
      </c>
      <c r="D254" s="12" t="s">
        <v>656</v>
      </c>
      <c r="E254" s="10" t="s">
        <v>1400</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Crystal|.*crystal.*bury""),""Empty-Crystal"","""")&amp;IF(REGEXMATCH($E254,""Move|move""),""Move"","""")"),"Nature ")</f>
        <v>Nature </v>
      </c>
      <c r="G254" s="13" t="s">
        <v>1401</v>
      </c>
      <c r="H254" s="12">
        <v>1.0</v>
      </c>
      <c r="I254" s="12" t="s">
        <v>1288</v>
      </c>
      <c r="J254" s="12" t="s">
        <v>69</v>
      </c>
      <c r="L254" s="14" t="str">
        <f>IFERROR(__xludf.DUMMYFUNCTION("IF(REGEXMATCH($B254,L$1),$D254,"""")"),"")</f>
        <v/>
      </c>
      <c r="M254" s="14" t="str">
        <f>IFERROR(__xludf.DUMMYFUNCTION("IF(REGEXMATCH($B254,M$1),$D254,"""")"),"Insect")</f>
        <v>Insect</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IFERROR(__xludf.DUMMYFUNCTION("IF($A254="""","""",LEN(REGEXREPLACE($I254,"",\s?"","""")))"),3.0)</f>
        <v>3</v>
      </c>
      <c r="S254" s="14"/>
      <c r="T254" s="14"/>
      <c r="U254" s="14"/>
      <c r="V254" s="14"/>
      <c r="W254" s="14"/>
      <c r="X254" s="14"/>
      <c r="Y254" s="14"/>
      <c r="Z254" s="14"/>
      <c r="AA254" s="14"/>
      <c r="AB254" s="14"/>
    </row>
    <row r="255">
      <c r="A255" s="10" t="s">
        <v>1402</v>
      </c>
      <c r="B255" s="10" t="s">
        <v>12</v>
      </c>
      <c r="C255" s="12">
        <v>1.0</v>
      </c>
      <c r="D255" s="12" t="s">
        <v>656</v>
      </c>
      <c r="E255" s="34" t="s">
        <v>1403</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Crystal|.*crystal.*bury""),""Empty-Crystal"","""")&amp;IF(REGEXMATCH($E255,""Move|move""),""Move"","""")"),"Insect Move")</f>
        <v>Insect Move</v>
      </c>
      <c r="G255" s="21" t="s">
        <v>1404</v>
      </c>
      <c r="H255" s="12">
        <v>2.0</v>
      </c>
      <c r="I255" s="12" t="s">
        <v>1300</v>
      </c>
      <c r="J255" s="12" t="s">
        <v>33</v>
      </c>
      <c r="L255" s="12" t="s">
        <v>656</v>
      </c>
      <c r="M255" s="14" t="str">
        <f>IFERROR(__xludf.DUMMYFUNCTION("IF(REGEXMATCH($B255,M$1),$D255,"""")"),"Insect")</f>
        <v>Insect</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IFERROR(__xludf.DUMMYFUNCTION("IF($A255="""","""",LEN(REGEXREPLACE($I255,"",\s?"","""")))"),2.0)</f>
        <v>2</v>
      </c>
      <c r="S255" s="14"/>
      <c r="T255" s="14"/>
      <c r="U255" s="14"/>
      <c r="V255" s="14"/>
      <c r="W255" s="14"/>
      <c r="X255" s="14"/>
      <c r="Y255" s="14"/>
      <c r="Z255" s="14"/>
      <c r="AA255" s="14"/>
      <c r="AB255" s="14"/>
    </row>
    <row r="256" hidden="1">
      <c r="A256" s="35" t="s">
        <v>1405</v>
      </c>
      <c r="B256" s="20" t="s">
        <v>12</v>
      </c>
      <c r="C256" s="19">
        <v>2.0</v>
      </c>
      <c r="D256" s="19" t="s">
        <v>1339</v>
      </c>
      <c r="E256" s="20" t="s">
        <v>1406</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Crystal|.*crystal.*bury""),""Empty-Crystal"","""")&amp;IF(REGEXMATCH($E256,""Move|move""),""Move"","""")"),"Nature ")</f>
        <v>Nature </v>
      </c>
      <c r="G256" s="21" t="s">
        <v>1407</v>
      </c>
      <c r="H256" s="19">
        <v>4.0</v>
      </c>
      <c r="I256" s="19" t="s">
        <v>1318</v>
      </c>
      <c r="J256" s="19" t="s">
        <v>69</v>
      </c>
      <c r="L256" s="19" t="s">
        <v>1339</v>
      </c>
      <c r="M256" s="14" t="str">
        <f>IFERROR(__xludf.DUMMYFUNCTION("IF(REGEXMATCH($B256,M$1),$D256,"""")"),"Insect Plant")</f>
        <v>Insect Plant</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IFERROR(__xludf.DUMMYFUNCTION("IF($A256="""","""",LEN(REGEXREPLACE($I256,"",\s?"","""")))"),6.0)</f>
        <v>6</v>
      </c>
      <c r="S256" s="14"/>
      <c r="T256" s="14"/>
      <c r="U256" s="14"/>
      <c r="V256" s="14"/>
      <c r="W256" s="14"/>
      <c r="X256" s="14"/>
      <c r="Y256" s="14"/>
      <c r="Z256" s="14"/>
      <c r="AA256" s="14"/>
      <c r="AB256" s="14"/>
    </row>
    <row r="257" hidden="1">
      <c r="A257" s="20" t="s">
        <v>1408</v>
      </c>
      <c r="B257" s="20" t="s">
        <v>12</v>
      </c>
      <c r="C257" s="19">
        <v>2.0</v>
      </c>
      <c r="D257" s="19" t="s">
        <v>104</v>
      </c>
      <c r="E257" s="20" t="s">
        <v>1409</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Crystal|.*crystal.*bury""),""Empty-Crystal"","""")&amp;IF(REGEXMATCH($E257,""Move|move""),""Move"","""")"),"Animal Ramp ")</f>
        <v>Animal Ramp </v>
      </c>
      <c r="G257" s="21" t="s">
        <v>1410</v>
      </c>
      <c r="H257" s="19">
        <v>6.0</v>
      </c>
      <c r="I257" s="19" t="s">
        <v>1350</v>
      </c>
      <c r="J257" s="19" t="s">
        <v>39</v>
      </c>
      <c r="L257" s="14" t="str">
        <f>IFERROR(__xludf.DUMMYFUNCTION("IF(REGEXMATCH($B257,L$1),$D257,"""")"),"")</f>
        <v/>
      </c>
      <c r="M257" s="14" t="str">
        <f>IFERROR(__xludf.DUMMYFUNCTION("IF(REGEXMATCH($B257,M$1),$D257,"""")"),"Animal")</f>
        <v>Animal</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IFERROR(__xludf.DUMMYFUNCTION("IF($A257="""","""",LEN(REGEXREPLACE($I257,"",\s?"","""")))"),6.0)</f>
        <v>6</v>
      </c>
      <c r="S257" s="14"/>
      <c r="T257" s="14"/>
      <c r="U257" s="14"/>
      <c r="V257" s="14"/>
      <c r="W257" s="14"/>
      <c r="X257" s="14"/>
      <c r="Y257" s="14"/>
      <c r="Z257" s="14"/>
      <c r="AA257" s="14"/>
      <c r="AB257" s="14"/>
    </row>
    <row r="258" hidden="1">
      <c r="A258" s="20" t="s">
        <v>1411</v>
      </c>
      <c r="B258" s="92" t="s">
        <v>12</v>
      </c>
      <c r="C258" s="19">
        <v>2.0</v>
      </c>
      <c r="D258" s="19" t="s">
        <v>272</v>
      </c>
      <c r="E258" s="20" t="s">
        <v>1412</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Crystal|.*crystal.*bury""),""Empty-Crystal"","""")&amp;IF(REGEXMATCH($E258,""Move|move""),""Move"","""")"),"Animal ")</f>
        <v>Animal </v>
      </c>
      <c r="G258" s="21" t="s">
        <v>1141</v>
      </c>
      <c r="H258" s="19">
        <v>3.0</v>
      </c>
      <c r="I258" s="19" t="s">
        <v>1292</v>
      </c>
      <c r="J258" s="19" t="s">
        <v>69</v>
      </c>
      <c r="L258" s="14" t="str">
        <f>IFERROR(__xludf.DUMMYFUNCTION("IF(REGEXMATCH($B258,L$1),$D258,"""")"),"")</f>
        <v/>
      </c>
      <c r="M258" s="14" t="str">
        <f>IFERROR(__xludf.DUMMYFUNCTION("IF(REGEXMATCH($B258,M$1),$D258,"""")"),"Animal Hunter")</f>
        <v>Animal Hunter</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IFERROR(__xludf.DUMMYFUNCTION("IF($A258="""","""",LEN(REGEXREPLACE($I258,"",\s?"","""")))"),5.0)</f>
        <v>5</v>
      </c>
      <c r="S258" s="14"/>
      <c r="T258" s="14"/>
      <c r="U258" s="14"/>
      <c r="V258" s="14"/>
      <c r="W258" s="14"/>
      <c r="X258" s="14"/>
      <c r="Y258" s="14"/>
      <c r="Z258" s="14"/>
      <c r="AA258" s="14"/>
      <c r="AB258" s="14"/>
    </row>
    <row r="259" hidden="1">
      <c r="A259" s="20" t="s">
        <v>1413</v>
      </c>
      <c r="B259" s="92" t="s">
        <v>12</v>
      </c>
      <c r="C259" s="19">
        <v>0.0</v>
      </c>
      <c r="D259" s="19" t="s">
        <v>135</v>
      </c>
      <c r="E259" s="20" t="s">
        <v>1414</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Crystal|.*crystal.*bury""),""Empty-Crystal"","""")&amp;IF(REGEXMATCH($E259,""Move|move""),""Move"","""")"),"Ramp Aggro ")</f>
        <v>Ramp Aggro </v>
      </c>
      <c r="G259" s="21" t="s">
        <v>1415</v>
      </c>
      <c r="H259" s="12">
        <v>3.0</v>
      </c>
      <c r="I259" s="12" t="s">
        <v>1373</v>
      </c>
      <c r="J259" s="12" t="s">
        <v>39</v>
      </c>
      <c r="L259" s="14" t="str">
        <f>IFERROR(__xludf.DUMMYFUNCTION("IF(REGEXMATCH($B259,L$1),$D259,"""")"),"")</f>
        <v/>
      </c>
      <c r="M259" s="14" t="str">
        <f>IFERROR(__xludf.DUMMYFUNCTION("IF(REGEXMATCH($B259,M$1),$D259,"""")"),"Human Hunter")</f>
        <v>Human Hunter</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IFERROR(__xludf.DUMMYFUNCTION("IF($A259="""","""",LEN(REGEXREPLACE($I259,"",\s?"","""")))"),3.0)</f>
        <v>3</v>
      </c>
      <c r="S259" s="14"/>
      <c r="T259" s="14"/>
      <c r="U259" s="14"/>
      <c r="V259" s="14"/>
      <c r="W259" s="14"/>
      <c r="X259" s="14"/>
      <c r="Y259" s="14"/>
      <c r="Z259" s="14"/>
      <c r="AA259" s="14"/>
      <c r="AB259" s="14"/>
    </row>
    <row r="260">
      <c r="A260" s="27" t="s">
        <v>1416</v>
      </c>
      <c r="B260" s="10" t="s">
        <v>12</v>
      </c>
      <c r="C260" s="19">
        <v>1.0</v>
      </c>
      <c r="D260" s="12" t="s">
        <v>1394</v>
      </c>
      <c r="E260" s="10" t="s">
        <v>1417</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f>
        <v>Unearth </v>
      </c>
      <c r="G260" s="13" t="s">
        <v>1418</v>
      </c>
      <c r="H260" s="24">
        <v>7.0</v>
      </c>
      <c r="I260" s="12" t="s">
        <v>1353</v>
      </c>
      <c r="J260" s="12" t="s">
        <v>69</v>
      </c>
      <c r="L260" s="12" t="s">
        <v>1394</v>
      </c>
      <c r="M260" s="14" t="str">
        <f>IFERROR(__xludf.DUMMYFUNCTION("IF(REGEXMATCH($B260,M$1),$D260,"""")"),"Dinosaur Hunter")</f>
        <v>Dinosaur Hunter</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IFERROR(__xludf.DUMMYFUNCTION("IF($A260="""","""",LEN(REGEXREPLACE($I260,"",\s?"","""")))"),7.0)</f>
        <v>7</v>
      </c>
      <c r="S260" s="14"/>
      <c r="T260" s="14"/>
      <c r="U260" s="14"/>
      <c r="V260" s="14"/>
      <c r="W260" s="14"/>
      <c r="X260" s="14"/>
      <c r="Y260" s="14"/>
      <c r="Z260" s="14"/>
      <c r="AA260" s="14"/>
      <c r="AB260" s="14"/>
    </row>
    <row r="261" hidden="1">
      <c r="A261" s="20" t="s">
        <v>1419</v>
      </c>
      <c r="B261" s="20" t="s">
        <v>12</v>
      </c>
      <c r="C261" s="19">
        <v>2.0</v>
      </c>
      <c r="D261" s="19" t="s">
        <v>1420</v>
      </c>
      <c r="E261" s="20" t="s">
        <v>1421</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Crystal|.*crystal.*bury""),""Empty-Crystal"","""")&amp;IF(REGEXMATCH($E261,""Move|move""),""Move"","""")"),"Dinosaur Nature Ramp ")</f>
        <v>Dinosaur Nature Ramp </v>
      </c>
      <c r="G261" s="21" t="s">
        <v>1422</v>
      </c>
      <c r="H261" s="19">
        <v>6.0</v>
      </c>
      <c r="I261" s="19" t="s">
        <v>1350</v>
      </c>
      <c r="J261" s="19" t="s">
        <v>39</v>
      </c>
      <c r="L261" s="14" t="str">
        <f>IFERROR(__xludf.DUMMYFUNCTION("IF(REGEXMATCH($B261,L$1),$D261,"""")"),"")</f>
        <v/>
      </c>
      <c r="M261" s="14" t="str">
        <f>IFERROR(__xludf.DUMMYFUNCTION("IF(REGEXMATCH($B261,M$1),$D261,"""")"),"Dinosaur Spirit")</f>
        <v>Dinosaur Spirit</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IFERROR(__xludf.DUMMYFUNCTION("IF($A261="""","""",LEN(REGEXREPLACE($I261,"",\s?"","""")))"),6.0)</f>
        <v>6</v>
      </c>
      <c r="S261" s="14"/>
      <c r="T261" s="14"/>
      <c r="U261" s="14"/>
      <c r="V261" s="14"/>
      <c r="W261" s="14"/>
      <c r="X261" s="14"/>
      <c r="Y261" s="14"/>
      <c r="Z261" s="14"/>
      <c r="AA261" s="14"/>
      <c r="AB261" s="14"/>
    </row>
    <row r="262" hidden="1">
      <c r="A262" s="20" t="s">
        <v>1423</v>
      </c>
      <c r="B262" s="92" t="s">
        <v>12</v>
      </c>
      <c r="C262" s="19">
        <v>2.0</v>
      </c>
      <c r="D262" s="19" t="s">
        <v>974</v>
      </c>
      <c r="E262" s="20" t="s">
        <v>1424</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f>
        <v/>
      </c>
      <c r="G262" s="21" t="s">
        <v>1425</v>
      </c>
      <c r="H262" s="19">
        <v>3.0</v>
      </c>
      <c r="I262" s="19" t="s">
        <v>1341</v>
      </c>
      <c r="J262" s="19" t="s">
        <v>33</v>
      </c>
      <c r="L262" s="14" t="str">
        <f>IFERROR(__xludf.DUMMYFUNCTION("IF(REGEXMATCH($B262,L$1),$D262,"""")"),"")</f>
        <v/>
      </c>
      <c r="M262" s="14" t="str">
        <f>IFERROR(__xludf.DUMMYFUNCTION("IF(REGEXMATCH($B262,M$1),$D262,"""")"),"Dragon Plant")</f>
        <v>Dragon Plant</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IFERROR(__xludf.DUMMYFUNCTION("IF($A262="""","""",LEN(REGEXREPLACE($I262,"",\s?"","""")))"),4.0)</f>
        <v>4</v>
      </c>
      <c r="S262" s="14"/>
      <c r="T262" s="14"/>
      <c r="U262" s="14"/>
      <c r="V262" s="14"/>
      <c r="W262" s="14"/>
      <c r="X262" s="14"/>
      <c r="Y262" s="14"/>
      <c r="Z262" s="14"/>
      <c r="AA262" s="14"/>
      <c r="AB262" s="14"/>
    </row>
    <row r="263">
      <c r="A263" s="27" t="s">
        <v>1426</v>
      </c>
      <c r="B263" s="10" t="s">
        <v>12</v>
      </c>
      <c r="C263" s="12">
        <v>1.0</v>
      </c>
      <c r="D263" s="12" t="s">
        <v>1420</v>
      </c>
      <c r="E263" s="10" t="s">
        <v>1427</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Crystal|.*crystal.*bury""),""Empty-Crystal"","""")&amp;IF(REGEXMATCH($E263,""Move|move""),""Move"","""")"),"Dinosaur ")</f>
        <v>Dinosaur </v>
      </c>
      <c r="G263" s="13" t="s">
        <v>1428</v>
      </c>
      <c r="H263" s="12">
        <v>4.0</v>
      </c>
      <c r="I263" s="12" t="s">
        <v>1292</v>
      </c>
      <c r="J263" s="12" t="s">
        <v>33</v>
      </c>
      <c r="L263" s="12" t="s">
        <v>1420</v>
      </c>
      <c r="M263" s="14" t="str">
        <f>IFERROR(__xludf.DUMMYFUNCTION("IF(REGEXMATCH($B263,M$1),$D263,"""")"),"Dinosaur Spirit")</f>
        <v>Dinosaur Spirit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IFERROR(__xludf.DUMMYFUNCTION("IF($A263="""","""",LEN(REGEXREPLACE($I263,"",\s?"","""")))"),5.0)</f>
        <v>5</v>
      </c>
      <c r="S263" s="14"/>
      <c r="T263" s="14"/>
      <c r="U263" s="14"/>
      <c r="V263" s="14"/>
      <c r="W263" s="14"/>
      <c r="X263" s="14"/>
      <c r="Y263" s="14"/>
      <c r="Z263" s="14"/>
      <c r="AA263" s="14"/>
      <c r="AB263" s="14"/>
    </row>
    <row r="264">
      <c r="A264" s="10" t="s">
        <v>1429</v>
      </c>
      <c r="B264" s="10" t="s">
        <v>12</v>
      </c>
      <c r="C264" s="12">
        <v>1.0</v>
      </c>
      <c r="D264" s="12" t="s">
        <v>272</v>
      </c>
      <c r="E264" s="10" t="s">
        <v>1430</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Move")</f>
        <v>Unearth Move</v>
      </c>
      <c r="G264" s="13" t="s">
        <v>1431</v>
      </c>
      <c r="H264" s="12">
        <v>5.0</v>
      </c>
      <c r="I264" s="12" t="s">
        <v>1292</v>
      </c>
      <c r="J264" s="12" t="s">
        <v>33</v>
      </c>
      <c r="L264" s="12" t="s">
        <v>272</v>
      </c>
      <c r="M264" s="14" t="str">
        <f>IFERROR(__xludf.DUMMYFUNCTION("IF(REGEXMATCH($B264,M$1),$D264,"""")"),"Animal Hunter")</f>
        <v>Animal Hunter</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IFERROR(__xludf.DUMMYFUNCTION("IF($A264="""","""",LEN(REGEXREPLACE($I264,"",\s?"","""")))"),5.0)</f>
        <v>5</v>
      </c>
      <c r="S264" s="14"/>
      <c r="T264" s="14"/>
      <c r="U264" s="14"/>
      <c r="V264" s="14"/>
      <c r="W264" s="14"/>
      <c r="X264" s="14"/>
      <c r="Y264" s="14"/>
      <c r="Z264" s="14"/>
      <c r="AA264" s="14"/>
      <c r="AB264" s="14"/>
    </row>
    <row r="265">
      <c r="A265" s="20" t="s">
        <v>1432</v>
      </c>
      <c r="B265" s="20" t="s">
        <v>12</v>
      </c>
      <c r="C265" s="19">
        <v>1.0</v>
      </c>
      <c r="D265" s="19" t="s">
        <v>360</v>
      </c>
      <c r="E265" s="20" t="s">
        <v>1433</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Crystal|.*crystal.*bury""),""Empty-Crystal"","""")&amp;IF(REGEXMATCH($E265,""Move|move""),""Move"","""")"),"Unearth ")</f>
        <v>Unearth </v>
      </c>
      <c r="G265" s="50"/>
      <c r="H265" s="19">
        <v>4.0</v>
      </c>
      <c r="I265" s="19" t="s">
        <v>1292</v>
      </c>
      <c r="J265" s="19" t="s">
        <v>69</v>
      </c>
      <c r="L265" s="19" t="s">
        <v>360</v>
      </c>
      <c r="M265" s="14" t="str">
        <f>IFERROR(__xludf.DUMMYFUNCTION("IF(REGEXMATCH($B265,M$1),$D265,"""")"),"Dinosaur")</f>
        <v>Dinosaur</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IFERROR(__xludf.DUMMYFUNCTION("IF($A265="""","""",LEN(REGEXREPLACE($I265,"",\s?"","""")))"),5.0)</f>
        <v>5</v>
      </c>
      <c r="S265" s="14"/>
      <c r="T265" s="14"/>
      <c r="U265" s="14"/>
      <c r="V265" s="14"/>
      <c r="W265" s="14"/>
      <c r="X265" s="14"/>
      <c r="Y265" s="14"/>
      <c r="Z265" s="14"/>
      <c r="AA265" s="14"/>
      <c r="AB265" s="14"/>
    </row>
    <row r="266" hidden="1">
      <c r="A266" s="25" t="s">
        <v>1434</v>
      </c>
      <c r="B266" s="91" t="s">
        <v>12</v>
      </c>
      <c r="C266" s="12">
        <v>2.0</v>
      </c>
      <c r="D266" s="12" t="s">
        <v>1339</v>
      </c>
      <c r="E266" s="20" t="s">
        <v>1435</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Crystal|.*crystal.*bury""),""Empty-Crystal"","""")&amp;IF(REGEXMATCH($E266,""Move|move""),""Move"","""")"),"Insect ")</f>
        <v>Insect </v>
      </c>
      <c r="G266" s="13" t="s">
        <v>1436</v>
      </c>
      <c r="H266" s="12">
        <v>3.0</v>
      </c>
      <c r="I266" s="12" t="s">
        <v>1341</v>
      </c>
      <c r="J266" s="12" t="s">
        <v>33</v>
      </c>
      <c r="L266" s="14" t="str">
        <f>IFERROR(__xludf.DUMMYFUNCTION("IF(REGEXMATCH($B266,L$1),$D266,"""")"),"")</f>
        <v/>
      </c>
      <c r="M266" s="14" t="str">
        <f>IFERROR(__xludf.DUMMYFUNCTION("IF(REGEXMATCH($B266,M$1),$D266,"""")"),"Insect Plant")</f>
        <v>Insect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IFERROR(__xludf.DUMMYFUNCTION("IF($A266="""","""",LEN(REGEXREPLACE($I266,"",\s?"","""")))"),4.0)</f>
        <v>4</v>
      </c>
      <c r="S266" s="14"/>
      <c r="T266" s="14"/>
      <c r="U266" s="14"/>
      <c r="V266" s="14"/>
      <c r="W266" s="14"/>
      <c r="X266" s="14"/>
      <c r="Y266" s="14"/>
      <c r="Z266" s="14"/>
      <c r="AA266" s="14"/>
      <c r="AB266" s="14"/>
    </row>
    <row r="267">
      <c r="A267" s="10" t="s">
        <v>1437</v>
      </c>
      <c r="B267" s="10" t="s">
        <v>12</v>
      </c>
      <c r="C267" s="12">
        <v>1.0</v>
      </c>
      <c r="D267" s="12" t="s">
        <v>1371</v>
      </c>
      <c r="E267" s="10" t="s">
        <v>1438</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Crystal|.*crystal.*bury""),""Empty-Crystal"","""")&amp;IF(REGEXMATCH($E267,""Move|move""),""Move"","""")"),"Nature ")</f>
        <v>Nature </v>
      </c>
      <c r="G267" s="13" t="s">
        <v>1439</v>
      </c>
      <c r="H267" s="12">
        <v>1.0</v>
      </c>
      <c r="I267" s="12" t="s">
        <v>1300</v>
      </c>
      <c r="J267" s="12" t="s">
        <v>33</v>
      </c>
      <c r="L267" s="12" t="s">
        <v>1371</v>
      </c>
      <c r="M267" s="14" t="str">
        <f>IFERROR(__xludf.DUMMYFUNCTION("IF(REGEXMATCH($B267,M$1),$D267,"""")"),"Plant Spirit")</f>
        <v>Plant Spirit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IFERROR(__xludf.DUMMYFUNCTION("IF($A267="""","""",LEN(REGEXREPLACE($I267,"",\s?"","""")))"),2.0)</f>
        <v>2</v>
      </c>
      <c r="S267" s="14"/>
      <c r="T267" s="14"/>
      <c r="U267" s="14"/>
      <c r="V267" s="14"/>
      <c r="W267" s="14"/>
      <c r="X267" s="14"/>
      <c r="Y267" s="14"/>
      <c r="Z267" s="14"/>
      <c r="AA267" s="14"/>
      <c r="AB267" s="14"/>
    </row>
    <row r="268" hidden="1">
      <c r="A268" s="20" t="s">
        <v>1440</v>
      </c>
      <c r="B268" s="92" t="s">
        <v>12</v>
      </c>
      <c r="C268" s="19">
        <v>2.0</v>
      </c>
      <c r="D268" s="19" t="s">
        <v>1441</v>
      </c>
      <c r="E268" s="20" t="s">
        <v>1442</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Crystal|.*crystal.*bury""),""Empty-Crystal"","""")&amp;IF(REGEXMATCH($E268,""Move|move""),""Move"","""")"),"Hunter Unearth ")</f>
        <v>Hunter Unearth </v>
      </c>
      <c r="G268" s="21" t="s">
        <v>1180</v>
      </c>
      <c r="H268" s="19">
        <v>4.0</v>
      </c>
      <c r="I268" s="19" t="s">
        <v>1341</v>
      </c>
      <c r="J268" s="19" t="s">
        <v>33</v>
      </c>
      <c r="L268" s="14" t="str">
        <f>IFERROR(__xludf.DUMMYFUNCTION("IF(REGEXMATCH($B268,L$1),$D268,"""")"),"")</f>
        <v/>
      </c>
      <c r="M268" s="14" t="str">
        <f>IFERROR(__xludf.DUMMYFUNCTION("IF(REGEXMATCH($B268,M$1),$D268,"""")"),"Hunter Plant")</f>
        <v>Hunter Plant</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IFERROR(__xludf.DUMMYFUNCTION("IF($A268="""","""",LEN(REGEXREPLACE($I268,"",\s?"","""")))"),4.0)</f>
        <v>4</v>
      </c>
      <c r="S268" s="14"/>
      <c r="T268" s="14"/>
      <c r="U268" s="14"/>
      <c r="V268" s="14"/>
      <c r="W268" s="14"/>
      <c r="X268" s="14"/>
      <c r="Y268" s="14"/>
      <c r="Z268" s="14"/>
      <c r="AA268" s="14"/>
      <c r="AB268" s="14"/>
    </row>
    <row r="269" hidden="1">
      <c r="A269" s="25" t="s">
        <v>1443</v>
      </c>
      <c r="B269" s="10" t="s">
        <v>12</v>
      </c>
      <c r="C269" s="12">
        <v>2.0</v>
      </c>
      <c r="D269" s="12" t="s">
        <v>1382</v>
      </c>
      <c r="E269" s="70" t="s">
        <v>1444</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Crystal|.*crystal.*bury""),""Empty-Crystal"","""")&amp;IF(REGEXMATCH($E269,""Move|move""),""Move"","""")"),"Ramp Control ")</f>
        <v>Ramp Control </v>
      </c>
      <c r="G269" s="13" t="s">
        <v>1445</v>
      </c>
      <c r="H269" s="12">
        <v>6.0</v>
      </c>
      <c r="I269" s="12" t="s">
        <v>1446</v>
      </c>
      <c r="J269" s="12" t="s">
        <v>39</v>
      </c>
      <c r="L269" s="14" t="str">
        <f>IFERROR(__xludf.DUMMYFUNCTION("IF(REGEXMATCH($B269,L$1),$D269,"""")"),"")</f>
        <v/>
      </c>
      <c r="M269" s="14" t="str">
        <f>IFERROR(__xludf.DUMMYFUNCTION("IF(REGEXMATCH($B269,M$1),$D269,"""")"),"Dinosaur Plant")</f>
        <v>Dinosaur Plant</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IFERROR(__xludf.DUMMYFUNCTION("IF($A269="""","""",LEN(REGEXREPLACE($I269,"",\s?"","""")))"),7.0)</f>
        <v>7</v>
      </c>
      <c r="S269" s="14"/>
      <c r="T269" s="14"/>
      <c r="U269" s="14"/>
      <c r="V269" s="14"/>
      <c r="W269" s="14"/>
      <c r="X269" s="14"/>
      <c r="Y269" s="14"/>
      <c r="Z269" s="14"/>
      <c r="AA269" s="14"/>
      <c r="AB269" s="14"/>
    </row>
    <row r="270" hidden="1">
      <c r="A270" s="20" t="s">
        <v>1447</v>
      </c>
      <c r="B270" s="70" t="s">
        <v>12</v>
      </c>
      <c r="C270" s="12">
        <v>2.0</v>
      </c>
      <c r="D270" s="19" t="s">
        <v>946</v>
      </c>
      <c r="E270" s="20" t="s">
        <v>1448</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Crystal|.*crystal.*bury""),""Empty-Crystal"","""")&amp;IF(REGEXMATCH($E270,""Move|move""),""Move"","""")"),"Insect Plant Control ")</f>
        <v>Insect Plant Control </v>
      </c>
      <c r="G270" s="21" t="s">
        <v>1449</v>
      </c>
      <c r="H270" s="19">
        <v>3.0</v>
      </c>
      <c r="I270" s="19" t="s">
        <v>1307</v>
      </c>
      <c r="J270" s="19" t="s">
        <v>69</v>
      </c>
      <c r="L270" s="14" t="str">
        <f>IFERROR(__xludf.DUMMYFUNCTION("IF(REGEXMATCH($B270,L$1),$D270,"""")"),"")</f>
        <v/>
      </c>
      <c r="M270" s="14" t="str">
        <f>IFERROR(__xludf.DUMMYFUNCTION("IF(REGEXMATCH($B270,M$1),$D270,"""")"),"Human Plant")</f>
        <v>Human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IFERROR(__xludf.DUMMYFUNCTION("IF($A270="""","""",LEN(REGEXREPLACE($I270,"",\s?"","""")))"),4.0)</f>
        <v>4</v>
      </c>
      <c r="S270" s="14"/>
      <c r="T270" s="14"/>
      <c r="U270" s="14"/>
      <c r="V270" s="14"/>
      <c r="W270" s="14"/>
      <c r="X270" s="14"/>
      <c r="Y270" s="14"/>
      <c r="Z270" s="14"/>
      <c r="AA270" s="14"/>
      <c r="AB270" s="14"/>
    </row>
    <row r="271" ht="15.75" customHeight="1">
      <c r="A271" s="25" t="s">
        <v>1450</v>
      </c>
      <c r="B271" s="10" t="s">
        <v>12</v>
      </c>
      <c r="C271" s="12">
        <v>1.0</v>
      </c>
      <c r="D271" s="12" t="s">
        <v>272</v>
      </c>
      <c r="E271" s="10" t="s">
        <v>1451</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Crystal|.*crystal.*bury""),""Empty-Crystal"","""")&amp;IF(REGEXMATCH($E271,""Move|move""),""Move"","""")"),"Nature ")</f>
        <v>Nature </v>
      </c>
      <c r="G271" s="13" t="s">
        <v>1452</v>
      </c>
      <c r="H271" s="12">
        <v>1.0</v>
      </c>
      <c r="I271" s="12" t="s">
        <v>1288</v>
      </c>
      <c r="J271" s="12" t="s">
        <v>33</v>
      </c>
      <c r="L271" s="12" t="s">
        <v>272</v>
      </c>
      <c r="M271" s="14" t="str">
        <f>IFERROR(__xludf.DUMMYFUNCTION("IF(REGEXMATCH($B271,M$1),$D271,"""")"),"Animal Hunter")</f>
        <v>Animal Hunter</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IFERROR(__xludf.DUMMYFUNCTION("IF($A271="""","""",LEN(REGEXREPLACE($I271,"",\s?"","""")))"),3.0)</f>
        <v>3</v>
      </c>
      <c r="S271" s="14"/>
      <c r="T271" s="14"/>
      <c r="U271" s="14"/>
      <c r="V271" s="14"/>
      <c r="W271" s="14"/>
      <c r="X271" s="14"/>
      <c r="Y271" s="14"/>
      <c r="Z271" s="14"/>
      <c r="AA271" s="14"/>
      <c r="AB271" s="14"/>
    </row>
    <row r="272" hidden="1">
      <c r="A272" s="20" t="s">
        <v>1453</v>
      </c>
      <c r="B272" s="92" t="s">
        <v>12</v>
      </c>
      <c r="C272" s="19">
        <v>2.0</v>
      </c>
      <c r="D272" s="19" t="s">
        <v>455</v>
      </c>
      <c r="E272" s="20" t="s">
        <v>1454</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Crystal|.*crystal.*bury""),""Empty-Crystal"","""")&amp;IF(REGEXMATCH($E272,""Move|move""),""Move"","""")"),"Copy ")</f>
        <v>Copy </v>
      </c>
      <c r="G272" s="21" t="s">
        <v>111</v>
      </c>
      <c r="H272" s="19">
        <v>2.0</v>
      </c>
      <c r="I272" s="19" t="s">
        <v>1288</v>
      </c>
      <c r="J272" s="19" t="s">
        <v>33</v>
      </c>
      <c r="L272" s="14" t="str">
        <f>IFERROR(__xludf.DUMMYFUNCTION("IF(REGEXMATCH($B272,L$1),$D272,"""")"),"")</f>
        <v/>
      </c>
      <c r="M272" s="14" t="str">
        <f>IFERROR(__xludf.DUMMYFUNCTION("IF(REGEXMATCH($B272,M$1),$D272,"""")"),"Spirit Wizard")</f>
        <v>Spirit Wizard</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IFERROR(__xludf.DUMMYFUNCTION("IF($A272="""","""",LEN(REGEXREPLACE($I272,"",\s?"","""")))"),3.0)</f>
        <v>3</v>
      </c>
      <c r="S272" s="14"/>
      <c r="T272" s="14"/>
      <c r="U272" s="14"/>
      <c r="V272" s="14"/>
      <c r="W272" s="14"/>
      <c r="X272" s="14"/>
      <c r="Y272" s="14"/>
      <c r="Z272" s="14"/>
      <c r="AA272" s="14"/>
      <c r="AB272" s="14"/>
    </row>
    <row r="273" hidden="1">
      <c r="A273" s="10" t="s">
        <v>1455</v>
      </c>
      <c r="B273" s="70" t="s">
        <v>12</v>
      </c>
      <c r="C273" s="12">
        <v>2.0</v>
      </c>
      <c r="D273" s="12" t="s">
        <v>1309</v>
      </c>
      <c r="E273" s="10" t="s">
        <v>1456</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Crystal|.*crystal.*bury""),""Empty-Crystal"","""")&amp;IF(REGEXMATCH($E273,""Move|move""),""Move"","""")"),"Plant ")</f>
        <v>Plant </v>
      </c>
      <c r="G273" s="13" t="s">
        <v>1457</v>
      </c>
      <c r="H273" s="12">
        <v>5.0</v>
      </c>
      <c r="I273" s="12" t="s">
        <v>1318</v>
      </c>
      <c r="J273" s="12" t="s">
        <v>33</v>
      </c>
      <c r="L273" s="14" t="str">
        <f>IFERROR(__xludf.DUMMYFUNCTION("IF(REGEXMATCH($B273,L$1),$D273,"""")"),"")</f>
        <v/>
      </c>
      <c r="M273" s="14" t="str">
        <f>IFERROR(__xludf.DUMMYFUNCTION("IF(REGEXMATCH($B273,M$1),$D273,"""")"),"Animal Plant")</f>
        <v>Animal Plant</v>
      </c>
      <c r="N273" s="14" t="str">
        <f>IFERROR(__xludf.DUMMYFUNCTION("IF(REGEXMATCH($B273,N$1),$D273,"""")"),"")</f>
        <v/>
      </c>
      <c r="O273" s="14" t="str">
        <f>IFERROR(__xludf.DUMMYFUNCTION("IF(REGEXMATCH($B273,O$1),$D273,"""")"),"")</f>
        <v/>
      </c>
      <c r="P273" s="14" t="str">
        <f>IFERROR(__xludf.DUMMYFUNCTION("IF(REGEXMATCH($B273,P$1),$D273,"""")"),"")</f>
        <v/>
      </c>
      <c r="Q273" s="14">
        <f>IFERROR(__xludf.DUMMYFUNCTION("IF($A273="""","""",LEN(REGEXREPLACE($I273,"",\s?"","""")))"),6.0)</f>
        <v>6</v>
      </c>
      <c r="S273" s="14"/>
      <c r="T273" s="14"/>
      <c r="U273" s="14"/>
      <c r="V273" s="14"/>
      <c r="W273" s="14"/>
      <c r="X273" s="14"/>
      <c r="Y273" s="14"/>
      <c r="Z273" s="14"/>
      <c r="AA273" s="14"/>
      <c r="AB273" s="14"/>
    </row>
    <row r="274">
      <c r="A274" s="77" t="s">
        <v>1458</v>
      </c>
      <c r="B274" s="10" t="s">
        <v>12</v>
      </c>
      <c r="C274" s="12">
        <v>1.0</v>
      </c>
      <c r="D274" s="12" t="s">
        <v>1441</v>
      </c>
      <c r="E274" s="10" t="s">
        <v>1459</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Crystal|.*crystal.*bury""),""Empty-Crystal"","""")&amp;IF(REGEXMATCH($E274,""Move|move""),""Move"","""")"),"Unearth Control ")</f>
        <v>Unearth Control </v>
      </c>
      <c r="G274" s="13" t="s">
        <v>1460</v>
      </c>
      <c r="H274" s="12">
        <v>2.0</v>
      </c>
      <c r="I274" s="12" t="s">
        <v>1307</v>
      </c>
      <c r="J274" s="24" t="s">
        <v>69</v>
      </c>
      <c r="L274" s="12" t="s">
        <v>1441</v>
      </c>
      <c r="M274" s="14" t="str">
        <f>IFERROR(__xludf.DUMMYFUNCTION("IF(REGEXMATCH($B274,M$1),$D274,"""")"),"Hunter Plant")</f>
        <v>Hunter Plant</v>
      </c>
      <c r="N274" s="14" t="str">
        <f>IFERROR(__xludf.DUMMYFUNCTION("IF(REGEXMATCH($B274,N$1),$D274,"""")"),"")</f>
        <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hidden="1">
      <c r="A275" s="25" t="s">
        <v>1461</v>
      </c>
      <c r="B275" s="91" t="s">
        <v>12</v>
      </c>
      <c r="C275" s="12">
        <v>2.0</v>
      </c>
      <c r="D275" s="12" t="s">
        <v>1243</v>
      </c>
      <c r="E275" s="10" t="s">
        <v>1462</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Crystal|.*crystal.*bury""),""Empty-Crystal"","""")&amp;IF(REGEXMATCH($E275,""Move|move""),""Move"","""")"),"Plant Ramp ")</f>
        <v>Plant Ramp </v>
      </c>
      <c r="G275" s="13" t="s">
        <v>1463</v>
      </c>
      <c r="H275" s="12">
        <v>1.0</v>
      </c>
      <c r="I275" s="12" t="s">
        <v>1300</v>
      </c>
      <c r="J275" s="19" t="s">
        <v>33</v>
      </c>
      <c r="L275" s="14" t="str">
        <f>IFERROR(__xludf.DUMMYFUNCTION("IF(REGEXMATCH($B275,L$1),$D275,"""")"),"")</f>
        <v/>
      </c>
      <c r="M275" s="14" t="str">
        <f>IFERROR(__xludf.DUMMYFUNCTION("IF(REGEXMATCH($B275,M$1),$D275,"""")"),"Plant")</f>
        <v>Plant</v>
      </c>
      <c r="N275" s="14" t="str">
        <f>IFERROR(__xludf.DUMMYFUNCTION("IF(REGEXMATCH($B275,N$1),$D275,"""")"),"")</f>
        <v/>
      </c>
      <c r="O275" s="14" t="str">
        <f>IFERROR(__xludf.DUMMYFUNCTION("IF(REGEXMATCH($B275,O$1),$D275,"""")"),"")</f>
        <v/>
      </c>
      <c r="P275" s="14" t="str">
        <f>IFERROR(__xludf.DUMMYFUNCTION("IF(REGEXMATCH($B275,P$1),$D275,"""")"),"")</f>
        <v/>
      </c>
      <c r="Q275" s="14">
        <f>IFERROR(__xludf.DUMMYFUNCTION("IF($A275="""","""",LEN(REGEXREPLACE($I275,"",\s?"","""")))"),2.0)</f>
        <v>2</v>
      </c>
      <c r="S275" s="14"/>
      <c r="T275" s="14"/>
      <c r="U275" s="14"/>
      <c r="V275" s="14"/>
      <c r="W275" s="14"/>
      <c r="X275" s="14"/>
      <c r="Y275" s="14"/>
      <c r="Z275" s="14"/>
      <c r="AA275" s="14"/>
      <c r="AB275" s="14"/>
    </row>
    <row r="276" hidden="1">
      <c r="A276" s="20" t="s">
        <v>1464</v>
      </c>
      <c r="B276" s="20" t="s">
        <v>1465</v>
      </c>
      <c r="C276" s="19">
        <v>0.0</v>
      </c>
      <c r="D276" s="19" t="s">
        <v>1466</v>
      </c>
      <c r="E276" s="20" t="s">
        <v>1467</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Crystal|.*crystal.*bury""),""Empty-Crystal"","""")&amp;IF(REGEXMATCH($E276,""Move|move""),""Move"","""")"),"Unearth Aggro ")</f>
        <v>Unearth Aggro </v>
      </c>
      <c r="G276" s="78" t="s">
        <v>1468</v>
      </c>
      <c r="H276" s="19">
        <v>7.0</v>
      </c>
      <c r="I276" s="19" t="s">
        <v>1469</v>
      </c>
      <c r="J276" s="12" t="s">
        <v>39</v>
      </c>
      <c r="L276" s="14" t="str">
        <f>IFERROR(__xludf.DUMMYFUNCTION("IF(REGEXMATCH($B276,L$1),$D276,"""")"),"")</f>
        <v/>
      </c>
      <c r="M276" s="14" t="str">
        <f>IFERROR(__xludf.DUMMYFUNCTION("IF(REGEXMATCH($B276,M$1),$D276,"""")"),"Dinosaur Undead")</f>
        <v>Dinosaur Undead</v>
      </c>
      <c r="N276" s="14" t="str">
        <f>IFERROR(__xludf.DUMMYFUNCTION("IF(REGEXMATCH($B276,N$1),$D276,"""")"),"Dinosaur Undead")</f>
        <v>Dinosaur Undead</v>
      </c>
      <c r="O276" s="14" t="str">
        <f>IFERROR(__xludf.DUMMYFUNCTION("IF(REGEXMATCH($B276,O$1),$D276,"""")"),"")</f>
        <v/>
      </c>
      <c r="P276" s="14" t="str">
        <f>IFERROR(__xludf.DUMMYFUNCTION("IF(REGEXMATCH($B276,P$1),$D276,"""")"),"")</f>
        <v/>
      </c>
      <c r="Q276" s="14">
        <f>IFERROR(__xludf.DUMMYFUNCTION("IF($A276="""","""",LEN(REGEXREPLACE($I276,"",\s?"","""")))"),7.0)</f>
        <v>7</v>
      </c>
      <c r="S276" s="14"/>
      <c r="T276" s="14"/>
      <c r="U276" s="14"/>
      <c r="V276" s="14"/>
      <c r="W276" s="14"/>
      <c r="X276" s="14"/>
      <c r="Y276" s="14"/>
      <c r="Z276" s="14"/>
      <c r="AA276" s="14"/>
      <c r="AB276" s="14"/>
    </row>
    <row r="277" hidden="1">
      <c r="A277" s="10" t="s">
        <v>1470</v>
      </c>
      <c r="B277" s="10" t="s">
        <v>1465</v>
      </c>
      <c r="C277" s="12">
        <v>2.0</v>
      </c>
      <c r="D277" s="12" t="s">
        <v>1471</v>
      </c>
      <c r="E277" s="10" t="s">
        <v>1472</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Crystal|.*crystal.*bury""),""Empty-Crystal"","""")&amp;IF(REGEXMATCH($E277,""Move|move""),""Move"","""")"),"Insect ")</f>
        <v>Insect </v>
      </c>
      <c r="G277" s="13" t="s">
        <v>1473</v>
      </c>
      <c r="H277" s="12">
        <v>3.0</v>
      </c>
      <c r="I277" s="12" t="s">
        <v>1474</v>
      </c>
      <c r="J277" s="12" t="s">
        <v>69</v>
      </c>
      <c r="L277" s="14" t="str">
        <f>IFERROR(__xludf.DUMMYFUNCTION("IF(REGEXMATCH($B277,L$1),$D277,"""")"),"")</f>
        <v/>
      </c>
      <c r="M277" s="14" t="str">
        <f>IFERROR(__xludf.DUMMYFUNCTION("IF(REGEXMATCH($B277,M$1),$D277,"""")"),"Demon Insect")</f>
        <v>Demon Insect</v>
      </c>
      <c r="N277" s="14" t="str">
        <f>IFERROR(__xludf.DUMMYFUNCTION("IF(REGEXMATCH($B277,N$1),$D277,"""")"),"Demon Insect")</f>
        <v>Demon Insect</v>
      </c>
      <c r="O277" s="14" t="str">
        <f>IFERROR(__xludf.DUMMYFUNCTION("IF(REGEXMATCH($B277,O$1),$D277,"""")"),"")</f>
        <v/>
      </c>
      <c r="P277" s="14" t="str">
        <f>IFERROR(__xludf.DUMMYFUNCTION("IF(REGEXMATCH($B277,P$1),$D277,"""")"),"")</f>
        <v/>
      </c>
      <c r="Q277" s="14">
        <f>IFERROR(__xludf.DUMMYFUNCTION("IF($A277="""","""",LEN(REGEXREPLACE($I277,"",\s?"","""")))"),4.0)</f>
        <v>4</v>
      </c>
      <c r="S277" s="14"/>
      <c r="T277" s="14"/>
      <c r="U277" s="14"/>
      <c r="V277" s="14"/>
      <c r="W277" s="14"/>
      <c r="X277" s="14"/>
      <c r="Y277" s="14"/>
      <c r="Z277" s="14"/>
      <c r="AA277" s="14"/>
      <c r="AB277" s="14"/>
    </row>
    <row r="278">
      <c r="A278" s="34" t="s">
        <v>1475</v>
      </c>
      <c r="B278" s="20" t="s">
        <v>1465</v>
      </c>
      <c r="C278" s="19">
        <v>1.0</v>
      </c>
      <c r="D278" s="51" t="s">
        <v>1471</v>
      </c>
      <c r="E278" s="34" t="s">
        <v>1476</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Crystal|.*crystal.*bury""),""Empty-Crystal"","""")&amp;IF(REGEXMATCH($E278,""Move|move""),""Move"","""")"),"Unearth ")</f>
        <v>Unearth </v>
      </c>
      <c r="G278" s="78" t="s">
        <v>1477</v>
      </c>
      <c r="H278" s="19">
        <v>0.0</v>
      </c>
      <c r="I278" s="19" t="s">
        <v>1478</v>
      </c>
      <c r="J278" s="19" t="s">
        <v>69</v>
      </c>
      <c r="L278" s="51" t="s">
        <v>1471</v>
      </c>
      <c r="M278" s="14" t="str">
        <f>IFERROR(__xludf.DUMMYFUNCTION("IF(REGEXMATCH($B278,M$1),$D278,"""")"),"Demon Insect")</f>
        <v>Demon Insect</v>
      </c>
      <c r="N278" s="14" t="str">
        <f>IFERROR(__xludf.DUMMYFUNCTION("IF(REGEXMATCH($B278,N$1),$D278,"""")"),"Demon Insect")</f>
        <v>Demon Insect</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10" t="s">
        <v>1479</v>
      </c>
      <c r="B279" s="10" t="s">
        <v>1465</v>
      </c>
      <c r="C279" s="12">
        <v>1.0</v>
      </c>
      <c r="D279" s="12" t="s">
        <v>1033</v>
      </c>
      <c r="E279" s="10" t="s">
        <v>1480</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Crystal|.*crystal.*bury""),""Empty-Crystal"","""")&amp;IF(REGEXMATCH($E279,""Move|move""),""Move"","""")"),"Copy ")</f>
        <v>Copy </v>
      </c>
      <c r="G279" s="13" t="s">
        <v>1481</v>
      </c>
      <c r="H279" s="12">
        <v>1.0</v>
      </c>
      <c r="I279" s="12" t="s">
        <v>1482</v>
      </c>
      <c r="J279" s="12" t="s">
        <v>39</v>
      </c>
      <c r="L279" s="12" t="s">
        <v>1033</v>
      </c>
      <c r="M279" s="14" t="str">
        <f>IFERROR(__xludf.DUMMYFUNCTION("IF(REGEXMATCH($B279,M$1),$D279,"""")"),"Animal Demon")</f>
        <v>Animal Demon</v>
      </c>
      <c r="N279" s="14" t="str">
        <f>IFERROR(__xludf.DUMMYFUNCTION("IF(REGEXMATCH($B279,N$1),$D279,"""")"),"Animal Demon")</f>
        <v>Animal Demon</v>
      </c>
      <c r="O279" s="14" t="str">
        <f>IFERROR(__xludf.DUMMYFUNCTION("IF(REGEXMATCH($B279,O$1),$D279,"""")"),"")</f>
        <v/>
      </c>
      <c r="P279" s="14" t="str">
        <f>IFERROR(__xludf.DUMMYFUNCTION("IF(REGEXMATCH($B279,P$1),$D279,"""")"),"")</f>
        <v/>
      </c>
      <c r="Q279" s="14">
        <f>IFERROR(__xludf.DUMMYFUNCTION("IF($A279="""","""",LEN(REGEXREPLACE($I279,"",\s?"","""")))"),4.0)</f>
        <v>4</v>
      </c>
      <c r="S279" s="14"/>
      <c r="T279" s="14"/>
      <c r="U279" s="14"/>
      <c r="V279" s="14"/>
      <c r="W279" s="14"/>
      <c r="X279" s="14"/>
      <c r="Y279" s="14"/>
      <c r="Z279" s="14"/>
      <c r="AA279" s="14"/>
      <c r="AB279" s="14"/>
    </row>
    <row r="280">
      <c r="A280" s="10" t="s">
        <v>1483</v>
      </c>
      <c r="B280" s="10" t="s">
        <v>1465</v>
      </c>
      <c r="C280" s="12">
        <v>1.0</v>
      </c>
      <c r="D280" s="12" t="s">
        <v>1484</v>
      </c>
      <c r="E280" s="10"/>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3" t="s">
        <v>1485</v>
      </c>
      <c r="H280" s="12">
        <v>2.0</v>
      </c>
      <c r="I280" s="12" t="s">
        <v>1486</v>
      </c>
      <c r="J280" s="12" t="s">
        <v>33</v>
      </c>
      <c r="L280" s="12" t="s">
        <v>1484</v>
      </c>
      <c r="M280" s="14" t="str">
        <f>IFERROR(__xludf.DUMMYFUNCTION("IF(REGEXMATCH($B280,M$1),$D280,"""")"),"Bannerbearer Plant Undead")</f>
        <v>Bannerbearer Plant Undead</v>
      </c>
      <c r="N280" s="14" t="str">
        <f>IFERROR(__xludf.DUMMYFUNCTION("IF(REGEXMATCH($B280,N$1),$D280,"""")"),"Bannerbearer Plant Undead")</f>
        <v>Bannerbearer Plant 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c r="A281" s="35" t="s">
        <v>1487</v>
      </c>
      <c r="B281" s="20" t="s">
        <v>13</v>
      </c>
      <c r="C281" s="19">
        <v>1.0</v>
      </c>
      <c r="D281" s="19" t="s">
        <v>1488</v>
      </c>
      <c r="E281" s="20" t="s">
        <v>1489</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Crystal|.*crystal.*bury""),""Empty-Crystal"","""")&amp;IF(REGEXMATCH($E281,""Move|move""),""Move"","""")"),"Unearth Aggro ")</f>
        <v>Unearth Aggro </v>
      </c>
      <c r="G281" s="21" t="s">
        <v>1490</v>
      </c>
      <c r="H281" s="19">
        <v>2.0</v>
      </c>
      <c r="I281" s="19" t="s">
        <v>1491</v>
      </c>
      <c r="J281" s="19" t="s">
        <v>69</v>
      </c>
      <c r="L281" s="14" t="str">
        <f>IFERROR(__xludf.DUMMYFUNCTION("IF(REGEXMATCH($B281,L$1),$D281,"""")"),"")</f>
        <v/>
      </c>
      <c r="M281" s="14" t="str">
        <f>IFERROR(__xludf.DUMMYFUNCTION("IF(REGEXMATCH($B281,M$1),$D281,"""")"),"")</f>
        <v/>
      </c>
      <c r="N281" s="14" t="str">
        <f>IFERROR(__xludf.DUMMYFUNCTION("IF(REGEXMATCH($B281,N$1),$D281,"""")"),"Insect Undead")</f>
        <v>Insect Undead</v>
      </c>
      <c r="O281" s="14" t="str">
        <f>IFERROR(__xludf.DUMMYFUNCTION("IF(REGEXMATCH($B281,O$1),$D281,"""")"),"")</f>
        <v/>
      </c>
      <c r="P281" s="14" t="str">
        <f>IFERROR(__xludf.DUMMYFUNCTION("IF(REGEXMATCH($B281,P$1),$D281,"""")"),"")</f>
        <v/>
      </c>
      <c r="Q281" s="14">
        <f>IFERROR(__xludf.DUMMYFUNCTION("IF($A281="""","""",LEN(REGEXREPLACE($I281,"",\s?"","""")))"),3.0)</f>
        <v>3</v>
      </c>
      <c r="R281" s="15" t="s">
        <v>1492</v>
      </c>
      <c r="S281" s="17" t="s">
        <v>1493</v>
      </c>
      <c r="T281" s="14"/>
      <c r="U281" s="14"/>
      <c r="V281" s="14"/>
      <c r="W281" s="14"/>
      <c r="X281" s="14"/>
      <c r="Y281" s="14"/>
      <c r="Z281" s="14"/>
      <c r="AA281" s="14"/>
      <c r="AB281" s="14"/>
    </row>
    <row r="282">
      <c r="A282" s="10" t="s">
        <v>1494</v>
      </c>
      <c r="B282" s="10" t="s">
        <v>13</v>
      </c>
      <c r="C282" s="12">
        <v>1.0</v>
      </c>
      <c r="D282" s="12" t="s">
        <v>1495</v>
      </c>
      <c r="E282" s="10" t="s">
        <v>1496</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Crystal|.*crystal.*bury""),""Empty-Crystal"","""")&amp;IF(REGEXMATCH($E282,""Move|move""),""Move"","""")"),"Control ")</f>
        <v>Control </v>
      </c>
      <c r="G282" s="13" t="s">
        <v>1497</v>
      </c>
      <c r="H282" s="12">
        <v>4.0</v>
      </c>
      <c r="I282" s="45" t="s">
        <v>1498</v>
      </c>
      <c r="J282" s="12" t="s">
        <v>69</v>
      </c>
      <c r="L282" s="12" t="s">
        <v>1495</v>
      </c>
      <c r="M282" s="14" t="str">
        <f>IFERROR(__xludf.DUMMYFUNCTION("IF(REGEXMATCH($B282,M$1),$D282,"""")"),"")</f>
        <v/>
      </c>
      <c r="N282" s="14" t="str">
        <f>IFERROR(__xludf.DUMMYFUNCTION("IF(REGEXMATCH($B282,N$1),$D282,"""")"),"Demon Hunter")</f>
        <v>Demon Hunter</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c r="A283" s="25" t="s">
        <v>1499</v>
      </c>
      <c r="B283" s="10" t="s">
        <v>13</v>
      </c>
      <c r="C283" s="12">
        <v>1.0</v>
      </c>
      <c r="D283" s="12" t="s">
        <v>1500</v>
      </c>
      <c r="E283" s="10" t="s">
        <v>1501</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f>
        <v>Unearth </v>
      </c>
      <c r="G283" s="21" t="s">
        <v>1502</v>
      </c>
      <c r="H283" s="12">
        <v>2.0</v>
      </c>
      <c r="I283" s="12" t="s">
        <v>1503</v>
      </c>
      <c r="J283" s="12" t="s">
        <v>69</v>
      </c>
      <c r="L283" s="12" t="s">
        <v>1500</v>
      </c>
      <c r="M283" s="14" t="str">
        <f>IFERROR(__xludf.DUMMYFUNCTION("IF(REGEXMATCH($B283,M$1),$D283,"""")"),"")</f>
        <v/>
      </c>
      <c r="N283" s="14" t="str">
        <f>IFERROR(__xludf.DUMMYFUNCTION("IF(REGEXMATCH($B283,N$1),$D283,"""")"),"Undead Wizard")</f>
        <v>Undead Wizard</v>
      </c>
      <c r="O283" s="14" t="str">
        <f>IFERROR(__xludf.DUMMYFUNCTION("IF(REGEXMATCH($B283,O$1),$D283,"""")"),"")</f>
        <v/>
      </c>
      <c r="P283" s="14" t="str">
        <f>IFERROR(__xludf.DUMMYFUNCTION("IF(REGEXMATCH($B283,P$1),$D283,"""")"),"")</f>
        <v/>
      </c>
      <c r="Q283" s="14">
        <f>IFERROR(__xludf.DUMMYFUNCTION("IF($A283="""","""",LEN(REGEXREPLACE($I283,"",\s?"","""")))"),3.0)</f>
        <v>3</v>
      </c>
      <c r="S283" s="14"/>
      <c r="T283" s="14"/>
      <c r="U283" s="14"/>
      <c r="V283" s="14"/>
      <c r="W283" s="14"/>
      <c r="X283" s="14"/>
      <c r="Y283" s="14"/>
      <c r="Z283" s="14"/>
      <c r="AA283" s="14"/>
      <c r="AB283" s="14"/>
    </row>
    <row r="284" hidden="1">
      <c r="A284" s="10" t="s">
        <v>1504</v>
      </c>
      <c r="B284" s="93" t="s">
        <v>13</v>
      </c>
      <c r="C284" s="12">
        <v>2.0</v>
      </c>
      <c r="D284" s="12" t="s">
        <v>114</v>
      </c>
      <c r="E284" s="10" t="s">
        <v>1505</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Unearth Ramp ")</f>
        <v>Undead Unearth Ramp </v>
      </c>
      <c r="G284" s="21" t="s">
        <v>1506</v>
      </c>
      <c r="H284" s="12">
        <v>1.0</v>
      </c>
      <c r="I284" s="12" t="s">
        <v>1507</v>
      </c>
      <c r="J284" s="19" t="s">
        <v>69</v>
      </c>
      <c r="L284" s="14" t="str">
        <f>IFERROR(__xludf.DUMMYFUNCTION("IF(REGEXMATCH($B284,L$1),$D284,"""")"),"")</f>
        <v/>
      </c>
      <c r="M284" s="14" t="str">
        <f>IFERROR(__xludf.DUMMYFUNCTION("IF(REGEXMATCH($B284,M$1),$D284,"""")"),"")</f>
        <v/>
      </c>
      <c r="N284" s="14" t="str">
        <f>IFERROR(__xludf.DUMMYFUNCTION("IF(REGEXMATCH($B284,N$1),$D284,"""")"),"Animal Undead")</f>
        <v>Animal Undead</v>
      </c>
      <c r="O284" s="14" t="str">
        <f>IFERROR(__xludf.DUMMYFUNCTION("IF(REGEXMATCH($B284,O$1),$D284,"""")"),"")</f>
        <v/>
      </c>
      <c r="P284" s="14" t="str">
        <f>IFERROR(__xludf.DUMMYFUNCTION("IF(REGEXMATCH($B284,P$1),$D284,"""")"),"")</f>
        <v/>
      </c>
      <c r="Q284" s="14">
        <f>IFERROR(__xludf.DUMMYFUNCTION("IF($A284="""","""",LEN(REGEXREPLACE($I284,"",\s?"","""")))"),1.0)</f>
        <v>1</v>
      </c>
      <c r="S284" s="14"/>
      <c r="T284" s="14"/>
      <c r="U284" s="14"/>
      <c r="V284" s="14"/>
      <c r="W284" s="14"/>
      <c r="X284" s="14"/>
      <c r="Y284" s="14"/>
      <c r="Z284" s="14"/>
      <c r="AA284" s="14"/>
      <c r="AB284" s="14"/>
    </row>
    <row r="285">
      <c r="A285" s="20" t="s">
        <v>1508</v>
      </c>
      <c r="B285" s="10" t="s">
        <v>13</v>
      </c>
      <c r="C285" s="12">
        <v>1.0</v>
      </c>
      <c r="D285" s="19" t="s">
        <v>1037</v>
      </c>
      <c r="E285" s="20" t="s">
        <v>1509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Crystal|.*crystal.*bury""),""Empty-Crystal"","""")&amp;IF(REGEXMATCH($E285,""Move|move""),""Move"","""")"),"Unearth ")</f>
        <v>Unearth </v>
      </c>
      <c r="G285" s="21" t="s">
        <v>1180</v>
      </c>
      <c r="H285" s="19">
        <v>2.0</v>
      </c>
      <c r="I285" s="19" t="s">
        <v>1510</v>
      </c>
      <c r="J285" s="19" t="s">
        <v>33</v>
      </c>
      <c r="L285" s="19" t="s">
        <v>1037</v>
      </c>
      <c r="M285" s="14" t="str">
        <f>IFERROR(__xludf.DUMMYFUNCTION("IF(REGEXMATCH($B285,M$1),$D285,"""")"),"")</f>
        <v/>
      </c>
      <c r="N285" s="14" t="str">
        <f>IFERROR(__xludf.DUMMYFUNCTION("IF(REGEXMATCH($B285,N$1),$D285,"""")"),"Undead")</f>
        <v>Undead</v>
      </c>
      <c r="O285" s="14" t="str">
        <f>IFERROR(__xludf.DUMMYFUNCTION("IF(REGEXMATCH($B285,O$1),$D285,"""")"),"")</f>
        <v/>
      </c>
      <c r="P285" s="14" t="str">
        <f>IFERROR(__xludf.DUMMYFUNCTION("IF(REGEXMATCH($B285,P$1),$D285,"""")"),"")</f>
        <v/>
      </c>
      <c r="Q285" s="14">
        <f>IFERROR(__xludf.DUMMYFUNCTION("IF($A285="""","""",LEN(REGEXREPLACE($I285,"",\s?"","""")))"),2.0)</f>
        <v>2</v>
      </c>
      <c r="S285" s="14"/>
      <c r="T285" s="14"/>
      <c r="U285" s="14"/>
      <c r="V285" s="14"/>
      <c r="W285" s="14"/>
      <c r="X285" s="14"/>
      <c r="Y285" s="14"/>
      <c r="Z285" s="14"/>
      <c r="AA285" s="14"/>
      <c r="AB285" s="14"/>
    </row>
    <row r="286" hidden="1">
      <c r="A286" s="25" t="s">
        <v>1511</v>
      </c>
      <c r="B286" s="93" t="s">
        <v>13</v>
      </c>
      <c r="C286" s="12">
        <v>2.0</v>
      </c>
      <c r="D286" s="12" t="s">
        <v>1375</v>
      </c>
      <c r="E286" s="10" t="s">
        <v>1512</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Crystal|.*crystal.*bury""),""Empty-Crystal"","""")&amp;IF(REGEXMATCH($E286,""Move|move""),""Move"","""")"),"Unearth Control ")</f>
        <v>Unearth Control </v>
      </c>
      <c r="G286" s="13" t="s">
        <v>1513</v>
      </c>
      <c r="H286" s="12">
        <v>4.0</v>
      </c>
      <c r="I286" s="12" t="s">
        <v>1514</v>
      </c>
      <c r="J286" s="12" t="s">
        <v>39</v>
      </c>
      <c r="L286" s="14" t="str">
        <f>IFERROR(__xludf.DUMMYFUNCTION("IF(REGEXMATCH($B286,L$1),$D286,"""")"),"")</f>
        <v/>
      </c>
      <c r="M286" s="14" t="str">
        <f>IFERROR(__xludf.DUMMYFUNCTION("IF(REGEXMATCH($B286,M$1),$D286,"""")"),"")</f>
        <v/>
      </c>
      <c r="N286" s="14" t="str">
        <f>IFERROR(__xludf.DUMMYFUNCTION("IF(REGEXMATCH($B286,N$1),$D286,"""")"),"Hunter Insect")</f>
        <v>Hunter Insect</v>
      </c>
      <c r="O286" s="14" t="str">
        <f>IFERROR(__xludf.DUMMYFUNCTION("IF(REGEXMATCH($B286,O$1),$D286,"""")"),"")</f>
        <v/>
      </c>
      <c r="P286" s="14" t="str">
        <f>IFERROR(__xludf.DUMMYFUNCTION("IF(REGEXMATCH($B286,P$1),$D286,"""")"),"")</f>
        <v/>
      </c>
      <c r="Q286" s="14">
        <f>IFERROR(__xludf.DUMMYFUNCTION("IF($A286="""","""",LEN(REGEXREPLACE($I286,"",\s?"","""")))"),5.0)</f>
        <v>5</v>
      </c>
      <c r="S286" s="14"/>
      <c r="T286" s="14"/>
      <c r="U286" s="14"/>
      <c r="V286" s="14"/>
      <c r="W286" s="14"/>
      <c r="X286" s="14"/>
      <c r="Y286" s="14"/>
      <c r="Z286" s="14"/>
      <c r="AA286" s="14"/>
      <c r="AB286" s="14"/>
    </row>
    <row r="287" hidden="1">
      <c r="A287" s="20" t="s">
        <v>1515</v>
      </c>
      <c r="B287" s="94" t="s">
        <v>13</v>
      </c>
      <c r="C287" s="19">
        <v>2.0</v>
      </c>
      <c r="D287" s="19" t="s">
        <v>1516</v>
      </c>
      <c r="E287" s="34" t="s">
        <v>1517</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21" t="s">
        <v>1518</v>
      </c>
      <c r="H287" s="19">
        <v>4.0</v>
      </c>
      <c r="I287" s="19" t="s">
        <v>1519</v>
      </c>
      <c r="J287" s="12" t="s">
        <v>39</v>
      </c>
      <c r="L287" s="14" t="str">
        <f>IFERROR(__xludf.DUMMYFUNCTION("IF(REGEXMATCH($B287,L$1),$D287,"""")"),"")</f>
        <v/>
      </c>
      <c r="M287" s="14" t="str">
        <f>IFERROR(__xludf.DUMMYFUNCTION("IF(REGEXMATCH($B287,M$1),$D287,"""")"),"")</f>
        <v/>
      </c>
      <c r="N287" s="14" t="str">
        <f>IFERROR(__xludf.DUMMYFUNCTION("IF(REGEXMATCH($B287,N$1),$D287,"""")"),"Demon Warrior")</f>
        <v>Demon Warrior</v>
      </c>
      <c r="O287" s="14" t="str">
        <f>IFERROR(__xludf.DUMMYFUNCTION("IF(REGEXMATCH($B287,O$1),$D287,"""")"),"")</f>
        <v/>
      </c>
      <c r="P287" s="14" t="str">
        <f>IFERROR(__xludf.DUMMYFUNCTION("IF(REGEXMATCH($B287,P$1),$D287,"""")"),"")</f>
        <v/>
      </c>
      <c r="Q287" s="14">
        <f>IFERROR(__xludf.DUMMYFUNCTION("IF($A287="""","""",LEN(REGEXREPLACE($I287,"",\s?"","""")))"),7.0)</f>
        <v>7</v>
      </c>
      <c r="S287" s="14"/>
      <c r="T287" s="14"/>
      <c r="U287" s="14"/>
      <c r="V287" s="14"/>
      <c r="W287" s="14"/>
      <c r="X287" s="14"/>
      <c r="Y287" s="14"/>
      <c r="Z287" s="14"/>
      <c r="AA287" s="14"/>
      <c r="AB287" s="14"/>
    </row>
    <row r="288" hidden="1">
      <c r="A288" s="10" t="s">
        <v>1520</v>
      </c>
      <c r="B288" s="93" t="s">
        <v>13</v>
      </c>
      <c r="C288" s="12">
        <v>2.0</v>
      </c>
      <c r="D288" s="12" t="s">
        <v>1521</v>
      </c>
      <c r="E288" s="20" t="s">
        <v>1522</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Crystal|.*crystal.*bury""),""Empty-Crystal"","""")&amp;IF(REGEXMATCH($E288,""Move|move""),""Move"","""")"),"Demon Ramp Demon Control ")</f>
        <v>Demon Ramp Demon Control </v>
      </c>
      <c r="G288" s="13" t="s">
        <v>1523</v>
      </c>
      <c r="H288" s="12">
        <v>3.0</v>
      </c>
      <c r="I288" s="12" t="s">
        <v>1503</v>
      </c>
      <c r="J288" s="19" t="s">
        <v>69</v>
      </c>
      <c r="L288" s="14" t="str">
        <f>IFERROR(__xludf.DUMMYFUNCTION("IF(REGEXMATCH($B288,L$1),$D288,"""")"),"")</f>
        <v/>
      </c>
      <c r="M288" s="14" t="str">
        <f>IFERROR(__xludf.DUMMYFUNCTION("IF(REGEXMATCH($B288,M$1),$D288,"""")"),"")</f>
        <v/>
      </c>
      <c r="N288" s="14" t="str">
        <f>IFERROR(__xludf.DUMMYFUNCTION("IF(REGEXMATCH($B288,N$1),$D288,"""")"),"Demon")</f>
        <v>Demon</v>
      </c>
      <c r="O288" s="14" t="str">
        <f>IFERROR(__xludf.DUMMYFUNCTION("IF(REGEXMATCH($B288,O$1),$D288,"""")"),"")</f>
        <v/>
      </c>
      <c r="P288" s="14" t="str">
        <f>IFERROR(__xludf.DUMMYFUNCTION("IF(REGEXMATCH($B288,P$1),$D288,"""")"),"")</f>
        <v/>
      </c>
      <c r="Q288" s="14">
        <f>IFERROR(__xludf.DUMMYFUNCTION("IF($A288="""","""",LEN(REGEXREPLACE($I288,"",\s?"","""")))"),3.0)</f>
        <v>3</v>
      </c>
      <c r="S288" s="14"/>
      <c r="T288" s="14"/>
      <c r="U288" s="14"/>
      <c r="V288" s="14"/>
      <c r="W288" s="14"/>
      <c r="X288" s="14"/>
      <c r="Y288" s="14"/>
      <c r="Z288" s="14"/>
      <c r="AA288" s="14"/>
      <c r="AB288" s="14"/>
    </row>
    <row r="289" hidden="1">
      <c r="A289" s="10" t="s">
        <v>1524</v>
      </c>
      <c r="B289" s="93" t="s">
        <v>13</v>
      </c>
      <c r="C289" s="12">
        <v>2.0</v>
      </c>
      <c r="D289" s="12" t="s">
        <v>167</v>
      </c>
      <c r="E289" s="95" t="s">
        <v>1525</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f>
        <v/>
      </c>
      <c r="G289" s="13" t="s">
        <v>1526</v>
      </c>
      <c r="H289" s="12">
        <v>0.0</v>
      </c>
      <c r="I289" s="12" t="s">
        <v>1510</v>
      </c>
      <c r="J289" s="19" t="s">
        <v>69</v>
      </c>
      <c r="L289" s="14" t="str">
        <f>IFERROR(__xludf.DUMMYFUNCTION("IF(REGEXMATCH($B289,L$1),$D289,"""")"),"")</f>
        <v/>
      </c>
      <c r="M289" s="14" t="str">
        <f>IFERROR(__xludf.DUMMYFUNCTION("IF(REGEXMATCH($B289,M$1),$D289,"""")"),"")</f>
        <v/>
      </c>
      <c r="N289" s="14" t="str">
        <f>IFERROR(__xludf.DUMMYFUNCTION("IF(REGEXMATCH($B289,N$1),$D289,"""")"),"Construct Demon")</f>
        <v>Construct Demon</v>
      </c>
      <c r="O289" s="14" t="str">
        <f>IFERROR(__xludf.DUMMYFUNCTION("IF(REGEXMATCH($B289,O$1),$D289,"""")"),"")</f>
        <v/>
      </c>
      <c r="P289" s="14" t="str">
        <f>IFERROR(__xludf.DUMMYFUNCTION("IF(REGEXMATCH($B289,P$1),$D289,"""")"),"")</f>
        <v/>
      </c>
      <c r="Q289" s="14">
        <f>IFERROR(__xludf.DUMMYFUNCTION("IF($A289="""","""",LEN(REGEXREPLACE($I289,"",\s?"","""")))"),2.0)</f>
        <v>2</v>
      </c>
      <c r="S289" s="14"/>
      <c r="T289" s="14"/>
      <c r="U289" s="14"/>
      <c r="V289" s="14"/>
      <c r="W289" s="14"/>
      <c r="X289" s="14"/>
      <c r="Y289" s="14"/>
      <c r="Z289" s="14"/>
      <c r="AA289" s="14"/>
      <c r="AB289" s="14"/>
    </row>
    <row r="290" hidden="1">
      <c r="A290" s="20" t="s">
        <v>1527</v>
      </c>
      <c r="B290" s="93" t="s">
        <v>13</v>
      </c>
      <c r="C290" s="12">
        <v>2.0</v>
      </c>
      <c r="D290" s="12" t="s">
        <v>114</v>
      </c>
      <c r="E290" s="10" t="s">
        <v>1528</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Crystal|.*crystal.*bury""),""Empty-Crystal"","""")&amp;IF(REGEXMATCH($E290,""Move|move""),""Move"","""")"),"Control ")</f>
        <v>Control </v>
      </c>
      <c r="G290" s="13" t="s">
        <v>1529</v>
      </c>
      <c r="H290" s="12">
        <v>3.0</v>
      </c>
      <c r="I290" s="12" t="s">
        <v>1503</v>
      </c>
      <c r="J290" s="12" t="s">
        <v>33</v>
      </c>
      <c r="L290" s="14" t="str">
        <f>IFERROR(__xludf.DUMMYFUNCTION("IF(REGEXMATCH($B290,L$1),$D290,"""")"),"")</f>
        <v/>
      </c>
      <c r="M290" s="14" t="str">
        <f>IFERROR(__xludf.DUMMYFUNCTION("IF(REGEXMATCH($B290,M$1),$D290,"""")"),"")</f>
        <v/>
      </c>
      <c r="N290" s="14" t="str">
        <f>IFERROR(__xludf.DUMMYFUNCTION("IF(REGEXMATCH($B290,N$1),$D290,"""")"),"Animal Undead")</f>
        <v>Animal Undead</v>
      </c>
      <c r="O290" s="14" t="str">
        <f>IFERROR(__xludf.DUMMYFUNCTION("IF(REGEXMATCH($B290,O$1),$D290,"""")"),"")</f>
        <v/>
      </c>
      <c r="P290" s="14" t="str">
        <f>IFERROR(__xludf.DUMMYFUNCTION("IF(REGEXMATCH($B290,P$1),$D290,"""")"),"")</f>
        <v/>
      </c>
      <c r="Q290" s="14">
        <f>IFERROR(__xludf.DUMMYFUNCTION("IF($A290="""","""",LEN(REGEXREPLACE($I290,"",\s?"","""")))"),3.0)</f>
        <v>3</v>
      </c>
      <c r="S290" s="14"/>
      <c r="T290" s="14"/>
      <c r="U290" s="14"/>
      <c r="V290" s="14"/>
      <c r="W290" s="14"/>
      <c r="X290" s="14"/>
      <c r="Y290" s="14"/>
      <c r="Z290" s="14"/>
      <c r="AA290" s="14"/>
      <c r="AB290" s="14"/>
    </row>
    <row r="291" hidden="1">
      <c r="A291" s="20" t="s">
        <v>1530</v>
      </c>
      <c r="B291" s="94" t="s">
        <v>13</v>
      </c>
      <c r="C291" s="19">
        <v>2.0</v>
      </c>
      <c r="D291" s="19" t="s">
        <v>1033</v>
      </c>
      <c r="E291" s="20" t="s">
        <v>1531</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f>
        <v/>
      </c>
      <c r="G291" s="21" t="s">
        <v>1532</v>
      </c>
      <c r="H291" s="19">
        <v>0.0</v>
      </c>
      <c r="I291" s="19" t="s">
        <v>1510</v>
      </c>
      <c r="J291" s="19" t="s">
        <v>69</v>
      </c>
      <c r="L291" s="14" t="str">
        <f>IFERROR(__xludf.DUMMYFUNCTION("IF(REGEXMATCH($B291,L$1),$D291,"""")"),"")</f>
        <v/>
      </c>
      <c r="M291" s="14" t="str">
        <f>IFERROR(__xludf.DUMMYFUNCTION("IF(REGEXMATCH($B291,M$1),$D291,"""")"),"")</f>
        <v/>
      </c>
      <c r="N291" s="14" t="str">
        <f>IFERROR(__xludf.DUMMYFUNCTION("IF(REGEXMATCH($B291,N$1),$D291,"""")"),"Animal Demon")</f>
        <v>Animal Demon</v>
      </c>
      <c r="O291" s="14" t="str">
        <f>IFERROR(__xludf.DUMMYFUNCTION("IF(REGEXMATCH($B291,O$1),$D291,"""")"),"")</f>
        <v/>
      </c>
      <c r="P291" s="14" t="str">
        <f>IFERROR(__xludf.DUMMYFUNCTION("IF(REGEXMATCH($B291,P$1),$D291,"""")"),"")</f>
        <v/>
      </c>
      <c r="Q291" s="14">
        <f>IFERROR(__xludf.DUMMYFUNCTION("IF($A291="""","""",LEN(REGEXREPLACE($I291,"",\s?"","""")))"),2.0)</f>
        <v>2</v>
      </c>
      <c r="S291" s="14"/>
      <c r="T291" s="14"/>
      <c r="U291" s="14"/>
      <c r="V291" s="14"/>
      <c r="W291" s="14"/>
      <c r="X291" s="14"/>
      <c r="Y291" s="14"/>
      <c r="Z291" s="14"/>
      <c r="AA291" s="14"/>
      <c r="AB291" s="14"/>
    </row>
    <row r="292" hidden="1">
      <c r="A292" s="20" t="s">
        <v>1533</v>
      </c>
      <c r="B292" s="94" t="s">
        <v>13</v>
      </c>
      <c r="C292" s="19">
        <v>2.0</v>
      </c>
      <c r="D292" s="19" t="s">
        <v>114</v>
      </c>
      <c r="E292" s="20" t="s">
        <v>1534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Crystal|.*crystal.*bury""),""Empty-Crystal"","""")&amp;IF(REGEXMATCH($E292,""Move|move""),""Move"","""")"),"Ramp Control ")</f>
        <v>Ramp Control </v>
      </c>
      <c r="G292" s="21" t="s">
        <v>700</v>
      </c>
      <c r="H292" s="19">
        <v>4.0</v>
      </c>
      <c r="I292" s="19" t="s">
        <v>1535</v>
      </c>
      <c r="J292" s="12" t="s">
        <v>33</v>
      </c>
      <c r="L292" s="14" t="str">
        <f>IFERROR(__xludf.DUMMYFUNCTION("IF(REGEXMATCH($B292,L$1),$D292,"""")"),"")</f>
        <v/>
      </c>
      <c r="M292" s="14" t="str">
        <f>IFERROR(__xludf.DUMMYFUNCTION("IF(REGEXMATCH($B292,M$1),$D292,"""")"),"")</f>
        <v/>
      </c>
      <c r="N292" s="14" t="str">
        <f>IFERROR(__xludf.DUMMYFUNCTION("IF(REGEXMATCH($B292,N$1),$D292,"""")"),"Animal Undead")</f>
        <v>Animal Undead</v>
      </c>
      <c r="O292" s="14" t="str">
        <f>IFERROR(__xludf.DUMMYFUNCTION("IF(REGEXMATCH($B292,O$1),$D292,"""")"),"")</f>
        <v/>
      </c>
      <c r="P292" s="14" t="str">
        <f>IFERROR(__xludf.DUMMYFUNCTION("IF(REGEXMATCH($B292,P$1),$D292,"""")"),"")</f>
        <v/>
      </c>
      <c r="Q292" s="14">
        <f>IFERROR(__xludf.DUMMYFUNCTION("IF($A292="""","""",LEN(REGEXREPLACE($I292,"",\s?"","""")))"),5.0)</f>
        <v>5</v>
      </c>
      <c r="S292" s="14"/>
      <c r="T292" s="14"/>
      <c r="U292" s="14"/>
      <c r="V292" s="14"/>
      <c r="W292" s="14"/>
      <c r="X292" s="14"/>
      <c r="Y292" s="14"/>
      <c r="Z292" s="14"/>
      <c r="AA292" s="14"/>
      <c r="AB292" s="14"/>
    </row>
    <row r="293" hidden="1">
      <c r="A293" s="10" t="s">
        <v>1536</v>
      </c>
      <c r="B293" s="93" t="s">
        <v>13</v>
      </c>
      <c r="C293" s="12">
        <v>2.0</v>
      </c>
      <c r="D293" s="12" t="s">
        <v>1521</v>
      </c>
      <c r="E293" s="10" t="s">
        <v>1537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700</v>
      </c>
      <c r="H293" s="12">
        <v>1.0</v>
      </c>
      <c r="I293" s="12" t="s">
        <v>1538</v>
      </c>
      <c r="J293" s="12" t="s">
        <v>39</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IFERROR(__xludf.DUMMYFUNCTION("IF($A293="""","""",LEN(REGEXREPLACE($I293,"",\s?"","""")))"),6.0)</f>
        <v>6</v>
      </c>
      <c r="S293" s="14"/>
      <c r="T293" s="14"/>
      <c r="U293" s="14"/>
      <c r="V293" s="14"/>
      <c r="W293" s="14"/>
      <c r="X293" s="14"/>
      <c r="Y293" s="14"/>
      <c r="Z293" s="14"/>
      <c r="AA293" s="14"/>
      <c r="AB293" s="14"/>
    </row>
    <row r="294" hidden="1">
      <c r="A294" s="10" t="s">
        <v>1539</v>
      </c>
      <c r="B294" s="93" t="s">
        <v>13</v>
      </c>
      <c r="C294" s="12">
        <v>2.0</v>
      </c>
      <c r="D294" s="12" t="s">
        <v>187</v>
      </c>
      <c r="E294" s="10" t="s">
        <v>1540</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Crystal|.*crystal.*bury""),""Empty-Crystal"","""")&amp;IF(REGEXMATCH($E294,""Move|move""),""Move"","""")"),"Undead Control ")</f>
        <v>Undead Control </v>
      </c>
      <c r="G294" s="13" t="s">
        <v>1529</v>
      </c>
      <c r="H294" s="12">
        <v>5.0</v>
      </c>
      <c r="I294" s="12" t="s">
        <v>1514</v>
      </c>
      <c r="J294" s="12" t="s">
        <v>69</v>
      </c>
      <c r="L294" s="14" t="str">
        <f>IFERROR(__xludf.DUMMYFUNCTION("IF(REGEXMATCH($B294,L$1),$D294,"""")"),"")</f>
        <v/>
      </c>
      <c r="M294" s="14" t="str">
        <f>IFERROR(__xludf.DUMMYFUNCTION("IF(REGEXMATCH($B294,M$1),$D294,"""")"),"")</f>
        <v/>
      </c>
      <c r="N294" s="14" t="str">
        <f>IFERROR(__xludf.DUMMYFUNCTION("IF(REGEXMATCH($B294,N$1),$D294,"""")"),"Undead Warrior")</f>
        <v>Undead Warrior</v>
      </c>
      <c r="O294" s="14" t="str">
        <f>IFERROR(__xludf.DUMMYFUNCTION("IF(REGEXMATCH($B294,O$1),$D294,"""")"),"")</f>
        <v/>
      </c>
      <c r="P294" s="14" t="str">
        <f>IFERROR(__xludf.DUMMYFUNCTION("IF(REGEXMATCH($B294,P$1),$D294,"""")"),"")</f>
        <v/>
      </c>
      <c r="Q294" s="14">
        <f>IFERROR(__xludf.DUMMYFUNCTION("IF($A294="""","""",LEN(REGEXREPLACE($I294,"",\s?"","""")))"),5.0)</f>
        <v>5</v>
      </c>
      <c r="S294" s="14"/>
      <c r="T294" s="14"/>
      <c r="U294" s="14"/>
      <c r="V294" s="14"/>
      <c r="W294" s="14"/>
      <c r="X294" s="14"/>
      <c r="Y294" s="14"/>
      <c r="Z294" s="14"/>
      <c r="AA294" s="14"/>
      <c r="AB294" s="14"/>
    </row>
    <row r="295">
      <c r="A295" s="10" t="s">
        <v>1541</v>
      </c>
      <c r="B295" s="10" t="s">
        <v>13</v>
      </c>
      <c r="C295" s="12">
        <v>1.0</v>
      </c>
      <c r="D295" s="19" t="s">
        <v>1542</v>
      </c>
      <c r="E295" s="20" t="s">
        <v>1543</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Crystal|.*crystal.*bury""),""Empty-Crystal"","""")&amp;IF(REGEXMATCH($E295,""Move|move""),""Move"","""")"),"Unearth ")</f>
        <v>Unearth </v>
      </c>
      <c r="G295" s="21" t="s">
        <v>1544</v>
      </c>
      <c r="H295" s="19">
        <v>2.0</v>
      </c>
      <c r="I295" s="19" t="s">
        <v>1545</v>
      </c>
      <c r="J295" s="12" t="s">
        <v>69</v>
      </c>
      <c r="L295" s="19" t="s">
        <v>1542</v>
      </c>
      <c r="M295" s="14" t="str">
        <f>IFERROR(__xludf.DUMMYFUNCTION("IF(REGEXMATCH($B295,M$1),$D295,"""")"),"")</f>
        <v/>
      </c>
      <c r="N295" s="14" t="str">
        <f>IFERROR(__xludf.DUMMYFUNCTION("IF(REGEXMATCH($B295,N$1),$D295,"""")"),"Hunter Undead")</f>
        <v>Hunter Undead</v>
      </c>
      <c r="O295" s="14" t="str">
        <f>IFERROR(__xludf.DUMMYFUNCTION("IF(REGEXMATCH($B295,O$1),$D295,"""")"),"")</f>
        <v/>
      </c>
      <c r="P295" s="14" t="str">
        <f>IFERROR(__xludf.DUMMYFUNCTION("IF(REGEXMATCH($B295,P$1),$D295,"""")"),"")</f>
        <v/>
      </c>
      <c r="Q295" s="14">
        <f>IFERROR(__xludf.DUMMYFUNCTION("IF($A295="""","""",LEN(REGEXREPLACE($I295,"",\s?"","""")))"),4.0)</f>
        <v>4</v>
      </c>
      <c r="S295" s="14"/>
      <c r="T295" s="14"/>
      <c r="U295" s="14"/>
      <c r="V295" s="14"/>
      <c r="W295" s="14"/>
      <c r="X295" s="14"/>
      <c r="Y295" s="14"/>
      <c r="Z295" s="14"/>
      <c r="AA295" s="14"/>
      <c r="AB295" s="14"/>
    </row>
    <row r="296" hidden="1">
      <c r="A296" s="10" t="s">
        <v>1546</v>
      </c>
      <c r="B296" s="93" t="s">
        <v>13</v>
      </c>
      <c r="C296" s="12">
        <v>2.0</v>
      </c>
      <c r="D296" s="12" t="s">
        <v>1521</v>
      </c>
      <c r="E296" s="10" t="s">
        <v>1547</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3" t="s">
        <v>700</v>
      </c>
      <c r="H296" s="12">
        <v>1.0</v>
      </c>
      <c r="I296" s="12" t="s">
        <v>1507</v>
      </c>
      <c r="J296" s="12"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IFERROR(__xludf.DUMMYFUNCTION("IF($A296="""","""",LEN(REGEXREPLACE($I296,"",\s?"","""")))"),1.0)</f>
        <v>1</v>
      </c>
      <c r="S296" s="14"/>
      <c r="T296" s="14"/>
      <c r="U296" s="14"/>
      <c r="V296" s="14"/>
      <c r="W296" s="14"/>
      <c r="X296" s="14"/>
      <c r="Y296" s="14"/>
      <c r="Z296" s="14"/>
      <c r="AA296" s="14"/>
      <c r="AB296" s="14"/>
    </row>
    <row r="297">
      <c r="A297" s="10" t="s">
        <v>1548</v>
      </c>
      <c r="B297" s="10" t="s">
        <v>13</v>
      </c>
      <c r="C297" s="12">
        <v>1.0</v>
      </c>
      <c r="D297" s="12" t="s">
        <v>308</v>
      </c>
      <c r="E297" s="10" t="s">
        <v>1549</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Crystal|.*crystal.*bury""),""Empty-Crystal"","""")&amp;IF(REGEXMATCH($E297,""Move|move""),""Move"","""")"),"Demon Demon ")</f>
        <v>Demon Demon </v>
      </c>
      <c r="G297" s="13" t="s">
        <v>1550</v>
      </c>
      <c r="H297" s="12">
        <v>3.0</v>
      </c>
      <c r="I297" s="12" t="s">
        <v>1545</v>
      </c>
      <c r="J297" s="12" t="s">
        <v>69</v>
      </c>
      <c r="L297" s="12" t="s">
        <v>308</v>
      </c>
      <c r="M297" s="14" t="str">
        <f>IFERROR(__xludf.DUMMYFUNCTION("IF(REGEXMATCH($B297,M$1),$D297,"""")"),"")</f>
        <v/>
      </c>
      <c r="N297" s="14" t="str">
        <f>IFERROR(__xludf.DUMMYFUNCTION("IF(REGEXMATCH($B297,N$1),$D297,"""")"),"Human Wizard")</f>
        <v>Human Wizard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c r="A298" s="10" t="s">
        <v>1551</v>
      </c>
      <c r="B298" s="10" t="s">
        <v>13</v>
      </c>
      <c r="C298" s="12">
        <v>1.0</v>
      </c>
      <c r="D298" s="12" t="s">
        <v>1037</v>
      </c>
      <c r="E298" s="20" t="s">
        <v>1552</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1553</v>
      </c>
      <c r="H298" s="12">
        <v>3.0</v>
      </c>
      <c r="I298" s="12" t="s">
        <v>1503</v>
      </c>
      <c r="J298" s="12" t="s">
        <v>33</v>
      </c>
      <c r="L298" s="12" t="s">
        <v>1037</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c r="A299" s="20" t="s">
        <v>1554</v>
      </c>
      <c r="B299" s="10" t="s">
        <v>13</v>
      </c>
      <c r="C299" s="12">
        <v>1.0</v>
      </c>
      <c r="D299" s="19" t="s">
        <v>1037</v>
      </c>
      <c r="E299" s="20" t="s">
        <v>1555</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Crystal|.*crystal.*bury""),""Empty-Crystal"","""")&amp;IF(REGEXMATCH($E299,""Move|move""),""Move"","""")"),"Void ")</f>
        <v>Void </v>
      </c>
      <c r="G299" s="21" t="s">
        <v>1556</v>
      </c>
      <c r="H299" s="19">
        <v>3.0</v>
      </c>
      <c r="I299" s="19" t="s">
        <v>1503</v>
      </c>
      <c r="J299" s="19" t="s">
        <v>33</v>
      </c>
      <c r="L299" s="19" t="s">
        <v>1037</v>
      </c>
      <c r="M299" s="14" t="str">
        <f>IFERROR(__xludf.DUMMYFUNCTION("IF(REGEXMATCH($B299,M$1),$D299,"""")"),"")</f>
        <v/>
      </c>
      <c r="N299" s="14" t="str">
        <f>IFERROR(__xludf.DUMMYFUNCTION("IF(REGEXMATCH($B299,N$1),$D299,"""")"),"Undead")</f>
        <v>Undead</v>
      </c>
      <c r="O299" s="14" t="str">
        <f>IFERROR(__xludf.DUMMYFUNCTION("IF(REGEXMATCH($B299,O$1),$D299,"""")"),"")</f>
        <v/>
      </c>
      <c r="P299" s="14" t="str">
        <f>IFERROR(__xludf.DUMMYFUNCTION("IF(REGEXMATCH($B299,P$1),$D299,"""")"),"")</f>
        <v/>
      </c>
      <c r="Q299" s="14">
        <f>IFERROR(__xludf.DUMMYFUNCTION("IF($A299="""","""",LEN(REGEXREPLACE($I299,"",\s?"","""")))"),3.0)</f>
        <v>3</v>
      </c>
      <c r="S299" s="14"/>
      <c r="T299" s="14"/>
      <c r="U299" s="14"/>
      <c r="V299" s="14"/>
      <c r="W299" s="14"/>
      <c r="X299" s="14"/>
      <c r="Y299" s="14"/>
      <c r="Z299" s="14"/>
      <c r="AA299" s="14"/>
      <c r="AB299" s="14"/>
    </row>
    <row r="300">
      <c r="A300" s="27" t="s">
        <v>1557</v>
      </c>
      <c r="B300" s="10" t="s">
        <v>13</v>
      </c>
      <c r="C300" s="12">
        <v>1.0</v>
      </c>
      <c r="D300" s="24" t="s">
        <v>1521</v>
      </c>
      <c r="E300" s="10" t="s">
        <v>1558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Crystal|.*crystal.*bury""),""Empty-Crystal"","""")&amp;IF(REGEXMATCH($E300,""Move|move""),""Move"","""")"),"Void Unearth ")</f>
        <v>Void Unearth </v>
      </c>
      <c r="G300" s="21" t="s">
        <v>1559</v>
      </c>
      <c r="H300" s="12">
        <v>2.0</v>
      </c>
      <c r="I300" s="12" t="s">
        <v>1510</v>
      </c>
      <c r="J300" s="19" t="s">
        <v>33</v>
      </c>
      <c r="L300" s="24" t="s">
        <v>1521</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5" t="s">
        <v>1560</v>
      </c>
      <c r="B301" s="93" t="s">
        <v>13</v>
      </c>
      <c r="C301" s="12">
        <v>2.0</v>
      </c>
      <c r="D301" s="12" t="s">
        <v>1037</v>
      </c>
      <c r="E301" s="10" t="s">
        <v>1561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3" t="s">
        <v>1562</v>
      </c>
      <c r="H301" s="12">
        <v>3.0</v>
      </c>
      <c r="I301" s="12" t="s">
        <v>1503</v>
      </c>
      <c r="J301" s="12" t="s">
        <v>33</v>
      </c>
      <c r="L301" s="14" t="str">
        <f>IFERROR(__xludf.DUMMYFUNCTION("IF(REGEXMATCH($B301,L$1),$D301,"""")"),"")</f>
        <v/>
      </c>
      <c r="M301" s="14" t="str">
        <f>IFERROR(__xludf.DUMMYFUNCTION("IF(REGEXMATCH($B301,M$1),$D301,"""")"),"")</f>
        <v/>
      </c>
      <c r="N301" s="14" t="str">
        <f>IFERROR(__xludf.DUMMYFUNCTION("IF(REGEXMATCH($B301,N$1),$D301,"""")"),"Undead")</f>
        <v>Undead</v>
      </c>
      <c r="O301" s="14" t="str">
        <f>IFERROR(__xludf.DUMMYFUNCTION("IF(REGEXMATCH($B301,O$1),$D301,"""")"),"")</f>
        <v/>
      </c>
      <c r="P301" s="14" t="str">
        <f>IFERROR(__xludf.DUMMYFUNCTION("IF(REGEXMATCH($B301,P$1),$D301,"""")"),"")</f>
        <v/>
      </c>
      <c r="Q301" s="14">
        <f>IFERROR(__xludf.DUMMYFUNCTION("IF($A301="""","""",LEN(REGEXREPLACE($I301,"",\s?"","""")))"),3.0)</f>
        <v>3</v>
      </c>
      <c r="S301" s="14"/>
      <c r="T301" s="14"/>
      <c r="U301" s="14"/>
      <c r="V301" s="14"/>
      <c r="W301" s="14"/>
      <c r="X301" s="14"/>
      <c r="Y301" s="14"/>
      <c r="Z301" s="14"/>
      <c r="AA301" s="14"/>
      <c r="AB301" s="14"/>
    </row>
    <row r="302" hidden="1">
      <c r="A302" s="25" t="s">
        <v>1563</v>
      </c>
      <c r="B302" s="93" t="s">
        <v>13</v>
      </c>
      <c r="C302" s="12">
        <v>2.0</v>
      </c>
      <c r="D302" s="12" t="s">
        <v>44</v>
      </c>
      <c r="E302" s="10" t="s">
        <v>1564</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Crystal|.*crystal.*bury""),""Empty-Crystal"","""")&amp;IF(REGEXMATCH($E302,""Move|move""),""Move"","""")"),"Construct Copy ")</f>
        <v>Construct Copy </v>
      </c>
      <c r="G302" s="13" t="s">
        <v>1565</v>
      </c>
      <c r="H302" s="12">
        <v>6.0</v>
      </c>
      <c r="I302" s="12" t="s">
        <v>1566</v>
      </c>
      <c r="J302" s="12" t="s">
        <v>69</v>
      </c>
      <c r="L302" s="14" t="str">
        <f>IFERROR(__xludf.DUMMYFUNCTION("IF(REGEXMATCH($B302,L$1),$D302,"""")"),"")</f>
        <v/>
      </c>
      <c r="M302" s="14" t="str">
        <f>IFERROR(__xludf.DUMMYFUNCTION("IF(REGEXMATCH($B302,M$1),$D302,"""")"),"")</f>
        <v/>
      </c>
      <c r="N302" s="14" t="str">
        <f>IFERROR(__xludf.DUMMYFUNCTION("IF(REGEXMATCH($B302,N$1),$D302,"""")"),"Human")</f>
        <v>Human</v>
      </c>
      <c r="O302" s="14" t="str">
        <f>IFERROR(__xludf.DUMMYFUNCTION("IF(REGEXMATCH($B302,O$1),$D302,"""")"),"")</f>
        <v/>
      </c>
      <c r="P302" s="14" t="str">
        <f>IFERROR(__xludf.DUMMYFUNCTION("IF(REGEXMATCH($B302,P$1),$D302,"""")"),"")</f>
        <v/>
      </c>
      <c r="Q302" s="14">
        <f>IFERROR(__xludf.DUMMYFUNCTION("IF($A302="""","""",LEN(REGEXREPLACE($I302,"",\s?"","""")))"),6.0)</f>
        <v>6</v>
      </c>
      <c r="S302" s="14"/>
      <c r="T302" s="14"/>
      <c r="U302" s="14"/>
      <c r="V302" s="14"/>
      <c r="W302" s="14"/>
      <c r="X302" s="14"/>
      <c r="Y302" s="14"/>
      <c r="Z302" s="14"/>
      <c r="AA302" s="14"/>
      <c r="AB302" s="14"/>
    </row>
    <row r="303" hidden="1">
      <c r="A303" s="10" t="s">
        <v>1567</v>
      </c>
      <c r="B303" s="93" t="s">
        <v>13</v>
      </c>
      <c r="C303" s="12">
        <v>2.0</v>
      </c>
      <c r="D303" s="12" t="s">
        <v>1521</v>
      </c>
      <c r="E303" s="20" t="s">
        <v>1568</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1569</v>
      </c>
      <c r="H303" s="12">
        <v>2.0</v>
      </c>
      <c r="I303" s="12" t="s">
        <v>1510</v>
      </c>
      <c r="J303" s="12" t="s">
        <v>69</v>
      </c>
      <c r="L303" s="14" t="str">
        <f>IFERROR(__xludf.DUMMYFUNCTION("IF(REGEXMATCH($B303,L$1),$D303,"""")"),"")</f>
        <v/>
      </c>
      <c r="M303" s="14" t="str">
        <f>IFERROR(__xludf.DUMMYFUNCTION("IF(REGEXMATCH($B303,M$1),$D303,"""")"),"")</f>
        <v/>
      </c>
      <c r="N303" s="14" t="str">
        <f>IFERROR(__xludf.DUMMYFUNCTION("IF(REGEXMATCH($B303,N$1),$D303,"""")"),"Demon")</f>
        <v>Demon</v>
      </c>
      <c r="O303" s="14" t="str">
        <f>IFERROR(__xludf.DUMMYFUNCTION("IF(REGEXMATCH($B303,O$1),$D303,"""")"),"")</f>
        <v/>
      </c>
      <c r="P303" s="14" t="str">
        <f>IFERROR(__xludf.DUMMYFUNCTION("IF(REGEXMATCH($B303,P$1),$D303,"""")"),"")</f>
        <v/>
      </c>
      <c r="Q303" s="14">
        <f>IFERROR(__xludf.DUMMYFUNCTION("IF($A303="""","""",LEN(REGEXREPLACE($I303,"",\s?"","""")))"),2.0)</f>
        <v>2</v>
      </c>
      <c r="S303" s="14"/>
      <c r="T303" s="14"/>
      <c r="U303" s="14"/>
      <c r="V303" s="14"/>
      <c r="W303" s="14"/>
      <c r="X303" s="14"/>
      <c r="Y303" s="14"/>
      <c r="Z303" s="14"/>
      <c r="AA303" s="14"/>
      <c r="AB303" s="14"/>
    </row>
    <row r="304" hidden="1">
      <c r="A304" s="20" t="s">
        <v>1570</v>
      </c>
      <c r="B304" s="93" t="s">
        <v>13</v>
      </c>
      <c r="C304" s="12">
        <v>2.0</v>
      </c>
      <c r="D304" s="19" t="s">
        <v>741</v>
      </c>
      <c r="E304" s="20" t="s">
        <v>1571</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Crystal|.*crystal.*bury""),""Empty-Crystal"","""")&amp;IF(REGEXMATCH($E304,""Move|move""),""Move"","""")"),"Demon Ramp Demon Control ")</f>
        <v>Demon Ramp Demon Control </v>
      </c>
      <c r="G304" s="58" t="s">
        <v>857</v>
      </c>
      <c r="H304" s="19">
        <v>5.0</v>
      </c>
      <c r="I304" s="19" t="s">
        <v>1498</v>
      </c>
      <c r="J304" s="19" t="s">
        <v>33</v>
      </c>
      <c r="L304" s="14" t="str">
        <f>IFERROR(__xludf.DUMMYFUNCTION("IF(REGEXMATCH($B304,L$1),$D304,"""")"),"")</f>
        <v/>
      </c>
      <c r="M304" s="14" t="str">
        <f>IFERROR(__xludf.DUMMYFUNCTION("IF(REGEXMATCH($B304,M$1),$D304,"""")"),"")</f>
        <v/>
      </c>
      <c r="N304" s="14" t="str">
        <f>IFERROR(__xludf.DUMMYFUNCTION("IF(REGEXMATCH($B304,N$1),$D304,"""")"),"Demon Dinosaur")</f>
        <v>Demon Dinosaur</v>
      </c>
      <c r="O304" s="14" t="str">
        <f>IFERROR(__xludf.DUMMYFUNCTION("IF(REGEXMATCH($B304,O$1),$D304,"""")"),"")</f>
        <v/>
      </c>
      <c r="P304" s="14" t="str">
        <f>IFERROR(__xludf.DUMMYFUNCTION("IF(REGEXMATCH($B304,P$1),$D304,"""")"),"")</f>
        <v/>
      </c>
      <c r="Q304" s="14">
        <f>IFERROR(__xludf.DUMMYFUNCTION("IF($A304="""","""",LEN(REGEXREPLACE($I304,"",\s?"","""")))"),4.0)</f>
        <v>4</v>
      </c>
      <c r="S304" s="14"/>
      <c r="T304" s="14"/>
      <c r="U304" s="14"/>
      <c r="V304" s="14"/>
      <c r="W304" s="14"/>
      <c r="X304" s="14"/>
      <c r="Y304" s="14"/>
      <c r="Z304" s="14"/>
      <c r="AA304" s="14"/>
      <c r="AB304" s="14"/>
    </row>
    <row r="305">
      <c r="A305" s="10" t="s">
        <v>1572</v>
      </c>
      <c r="B305" s="10" t="s">
        <v>13</v>
      </c>
      <c r="C305" s="12">
        <v>1.0</v>
      </c>
      <c r="D305" s="32" t="s">
        <v>1466</v>
      </c>
      <c r="E305" s="10" t="s">
        <v>1573</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96" t="s">
        <v>1574</v>
      </c>
      <c r="H305" s="12">
        <v>4.0</v>
      </c>
      <c r="I305" s="12" t="s">
        <v>1545</v>
      </c>
      <c r="J305" s="19" t="s">
        <v>33</v>
      </c>
      <c r="L305" s="32" t="s">
        <v>1466</v>
      </c>
      <c r="M305" s="14" t="str">
        <f>IFERROR(__xludf.DUMMYFUNCTION("IF(REGEXMATCH($B305,M$1),$D305,"""")"),"")</f>
        <v/>
      </c>
      <c r="N305" s="14" t="str">
        <f>IFERROR(__xludf.DUMMYFUNCTION("IF(REGEXMATCH($B305,N$1),$D305,"""")"),"Dinosaur Undead")</f>
        <v>Dinosaur Undead</v>
      </c>
      <c r="O305" s="14" t="str">
        <f>IFERROR(__xludf.DUMMYFUNCTION("IF(REGEXMATCH($B305,O$1),$D305,"""")"),"")</f>
        <v/>
      </c>
      <c r="P305" s="14" t="str">
        <f>IFERROR(__xludf.DUMMYFUNCTION("IF(REGEXMATCH($B305,P$1),$D305,"""")"),"")</f>
        <v/>
      </c>
      <c r="Q305" s="14">
        <f>IFERROR(__xludf.DUMMYFUNCTION("IF($A305="""","""",LEN(REGEXREPLACE($I305,"",\s?"","""")))"),4.0)</f>
        <v>4</v>
      </c>
      <c r="S305" s="14"/>
      <c r="T305" s="14"/>
      <c r="U305" s="14"/>
      <c r="V305" s="14"/>
      <c r="W305" s="14"/>
      <c r="X305" s="14"/>
      <c r="Y305" s="14"/>
      <c r="Z305" s="14"/>
      <c r="AA305" s="14"/>
      <c r="AB305" s="14"/>
    </row>
    <row r="306">
      <c r="A306" s="14" t="s">
        <v>1575</v>
      </c>
      <c r="B306" s="10" t="s">
        <v>13</v>
      </c>
      <c r="C306" s="12">
        <v>1.0</v>
      </c>
      <c r="D306" s="12" t="s">
        <v>167</v>
      </c>
      <c r="E306" s="10" t="s">
        <v>1576</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13" t="s">
        <v>1577</v>
      </c>
      <c r="H306" s="12">
        <v>0.0</v>
      </c>
      <c r="I306" s="12" t="s">
        <v>1503</v>
      </c>
      <c r="J306" s="12" t="s">
        <v>33</v>
      </c>
      <c r="L306" s="12" t="s">
        <v>167</v>
      </c>
      <c r="M306" s="14" t="str">
        <f>IFERROR(__xludf.DUMMYFUNCTION("IF(REGEXMATCH($B306,M$1),$D306,"""")"),"")</f>
        <v/>
      </c>
      <c r="N306" s="14" t="str">
        <f>IFERROR(__xludf.DUMMYFUNCTION("IF(REGEXMATCH($B306,N$1),$D306,"""")"),"Construct Demon")</f>
        <v>Construct Demon</v>
      </c>
      <c r="O306" s="14" t="str">
        <f>IFERROR(__xludf.DUMMYFUNCTION("IF(REGEXMATCH($B306,O$1),$D306,"""")"),"")</f>
        <v/>
      </c>
      <c r="P306" s="14" t="str">
        <f>IFERROR(__xludf.DUMMYFUNCTION("IF(REGEXMATCH($B306,P$1),$D306,"""")"),"")</f>
        <v/>
      </c>
      <c r="Q306" s="14">
        <f>IFERROR(__xludf.DUMMYFUNCTION("IF($A306="""","""",LEN(REGEXREPLACE($I306,"",\s?"","""")))"),3.0)</f>
        <v>3</v>
      </c>
      <c r="S306" s="14"/>
      <c r="T306" s="14"/>
      <c r="U306" s="14"/>
      <c r="V306" s="14"/>
      <c r="W306" s="14"/>
      <c r="X306" s="14"/>
      <c r="Y306" s="14"/>
      <c r="Z306" s="14"/>
      <c r="AA306" s="14"/>
      <c r="AB306" s="14"/>
    </row>
    <row r="307" hidden="1">
      <c r="A307" s="10" t="s">
        <v>1578</v>
      </c>
      <c r="B307" s="93" t="s">
        <v>13</v>
      </c>
      <c r="C307" s="12">
        <v>2.0</v>
      </c>
      <c r="D307" s="12" t="s">
        <v>1579</v>
      </c>
      <c r="E307" s="22" t="s">
        <v>1580</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21" t="s">
        <v>1581</v>
      </c>
      <c r="H307" s="12">
        <v>3.0</v>
      </c>
      <c r="I307" s="12" t="s">
        <v>1510</v>
      </c>
      <c r="J307" s="12" t="s">
        <v>69</v>
      </c>
      <c r="L307" s="14" t="str">
        <f>IFERROR(__xludf.DUMMYFUNCTION("IF(REGEXMATCH($B307,L$1),$D307,"""")"),"")</f>
        <v/>
      </c>
      <c r="M307" s="14" t="str">
        <f>IFERROR(__xludf.DUMMYFUNCTION("IF(REGEXMATCH($B307,M$1),$D307,"""")"),"")</f>
        <v/>
      </c>
      <c r="N307" s="14" t="str">
        <f>IFERROR(__xludf.DUMMYFUNCTION("IF(REGEXMATCH($B307,N$1),$D307,"""")"),"Crystalblight Undead")</f>
        <v>Crystalblight Undead</v>
      </c>
      <c r="O307" s="14" t="str">
        <f>IFERROR(__xludf.DUMMYFUNCTION("IF(REGEXMATCH($B307,O$1),$D307,"""")"),"")</f>
        <v/>
      </c>
      <c r="P307" s="14" t="str">
        <f>IFERROR(__xludf.DUMMYFUNCTION("IF(REGEXMATCH($B307,P$1),$D307,"""")"),"")</f>
        <v/>
      </c>
      <c r="Q307" s="14">
        <f>IFERROR(__xludf.DUMMYFUNCTION("IF($A307="""","""",LEN(REGEXREPLACE($I307,"",\s?"","""")))"),2.0)</f>
        <v>2</v>
      </c>
      <c r="S307" s="14"/>
      <c r="T307" s="14"/>
      <c r="U307" s="14"/>
      <c r="V307" s="14"/>
      <c r="W307" s="14"/>
      <c r="X307" s="14"/>
      <c r="Y307" s="14"/>
      <c r="Z307" s="14"/>
      <c r="AA307" s="14"/>
      <c r="AB307" s="14"/>
    </row>
    <row r="308">
      <c r="A308" s="10" t="s">
        <v>1582</v>
      </c>
      <c r="B308" s="10" t="s">
        <v>13</v>
      </c>
      <c r="C308" s="12">
        <v>1.0</v>
      </c>
      <c r="D308" s="12" t="s">
        <v>1516</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1583</v>
      </c>
      <c r="H308" s="12">
        <v>6.0</v>
      </c>
      <c r="I308" s="45" t="s">
        <v>1514</v>
      </c>
      <c r="J308" s="12" t="s">
        <v>33</v>
      </c>
      <c r="L308" s="12" t="s">
        <v>1516</v>
      </c>
      <c r="M308" s="14" t="str">
        <f>IFERROR(__xludf.DUMMYFUNCTION("IF(REGEXMATCH($B308,M$1),$D308,"""")"),"")</f>
        <v/>
      </c>
      <c r="N308" s="14" t="str">
        <f>IFERROR(__xludf.DUMMYFUNCTION("IF(REGEXMATCH($B308,N$1),$D308,"""")"),"Demon Warrior")</f>
        <v>Demon Warrior</v>
      </c>
      <c r="O308" s="14" t="str">
        <f>IFERROR(__xludf.DUMMYFUNCTION("IF(REGEXMATCH($B308,O$1),$D308,"""")"),"")</f>
        <v/>
      </c>
      <c r="P308" s="14" t="str">
        <f>IFERROR(__xludf.DUMMYFUNCTION("IF(REGEXMATCH($B308,P$1),$D308,"""")"),"")</f>
        <v/>
      </c>
      <c r="Q308" s="14">
        <f>IFERROR(__xludf.DUMMYFUNCTION("IF($A308="""","""",LEN(REGEXREPLACE($I308,"",\s?"","""")))"),5.0)</f>
        <v>5</v>
      </c>
      <c r="S308" s="14"/>
      <c r="T308" s="14"/>
      <c r="U308" s="14"/>
      <c r="V308" s="14"/>
      <c r="W308" s="14"/>
      <c r="X308" s="14"/>
      <c r="Y308" s="14"/>
      <c r="Z308" s="14"/>
      <c r="AA308" s="14"/>
      <c r="AB308" s="14"/>
    </row>
    <row r="309">
      <c r="A309" s="10" t="s">
        <v>1584</v>
      </c>
      <c r="B309" s="10" t="s">
        <v>13</v>
      </c>
      <c r="C309" s="12">
        <v>1.0</v>
      </c>
      <c r="D309" s="12" t="s">
        <v>1266</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f>
        <v/>
      </c>
      <c r="G309" s="13" t="s">
        <v>1585</v>
      </c>
      <c r="H309" s="12">
        <v>2.0</v>
      </c>
      <c r="I309" s="12" t="s">
        <v>1507</v>
      </c>
      <c r="J309" s="12" t="s">
        <v>33</v>
      </c>
      <c r="L309" s="12" t="s">
        <v>1266</v>
      </c>
      <c r="M309" s="14" t="str">
        <f>IFERROR(__xludf.DUMMYFUNCTION("IF(REGEXMATCH($B309,M$1),$D309,"""")"),"")</f>
        <v/>
      </c>
      <c r="N309" s="14" t="str">
        <f>IFERROR(__xludf.DUMMYFUNCTION("IF(REGEXMATCH($B309,N$1),$D309,"""")"),"Demon Wizard")</f>
        <v>Demon Wizard</v>
      </c>
      <c r="O309" s="14" t="str">
        <f>IFERROR(__xludf.DUMMYFUNCTION("IF(REGEXMATCH($B309,O$1),$D309,"""")"),"")</f>
        <v/>
      </c>
      <c r="P309" s="14" t="str">
        <f>IFERROR(__xludf.DUMMYFUNCTION("IF(REGEXMATCH($B309,P$1),$D309,"""")"),"")</f>
        <v/>
      </c>
      <c r="Q309" s="14">
        <f>IFERROR(__xludf.DUMMYFUNCTION("IF($A309="""","""",LEN(REGEXREPLACE($I309,"",\s?"","""")))"),1.0)</f>
        <v>1</v>
      </c>
      <c r="S309" s="14"/>
      <c r="T309" s="14"/>
      <c r="U309" s="14"/>
      <c r="V309" s="14"/>
      <c r="W309" s="14"/>
      <c r="X309" s="14"/>
      <c r="Y309" s="14"/>
      <c r="Z309" s="14"/>
      <c r="AA309" s="14"/>
      <c r="AB309" s="14"/>
    </row>
    <row r="310" hidden="1">
      <c r="A310" s="10" t="s">
        <v>1586</v>
      </c>
      <c r="B310" s="93" t="s">
        <v>13</v>
      </c>
      <c r="C310" s="12">
        <v>2.0</v>
      </c>
      <c r="D310" s="12" t="s">
        <v>187</v>
      </c>
      <c r="E310" s="10" t="s">
        <v>1587</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Crystal|.*crystal.*bury""),""Empty-Crystal"","""")&amp;IF(REGEXMATCH($E310,""Move|move""),""Move"","""")"),"Control ")</f>
        <v>Control </v>
      </c>
      <c r="G310" s="13" t="s">
        <v>1529</v>
      </c>
      <c r="H310" s="12">
        <v>1.0</v>
      </c>
      <c r="I310" s="12" t="s">
        <v>1503</v>
      </c>
      <c r="J310" s="12" t="s">
        <v>33</v>
      </c>
      <c r="L310" s="14" t="str">
        <f>IFERROR(__xludf.DUMMYFUNCTION("IF(REGEXMATCH($B310,L$1),$D310,"""")"),"")</f>
        <v/>
      </c>
      <c r="M310" s="14" t="str">
        <f>IFERROR(__xludf.DUMMYFUNCTION("IF(REGEXMATCH($B310,M$1),$D310,"""")"),"")</f>
        <v/>
      </c>
      <c r="N310" s="14" t="str">
        <f>IFERROR(__xludf.DUMMYFUNCTION("IF(REGEXMATCH($B310,N$1),$D310,"""")"),"Undead Warrior")</f>
        <v>Undead Warrior</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hidden="1">
      <c r="A311" s="10" t="s">
        <v>1588</v>
      </c>
      <c r="B311" s="93" t="s">
        <v>13</v>
      </c>
      <c r="C311" s="12">
        <v>2.0</v>
      </c>
      <c r="D311" s="12" t="s">
        <v>1471</v>
      </c>
      <c r="E311" s="10" t="s">
        <v>1589</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f>
        <v/>
      </c>
      <c r="G311" s="13" t="s">
        <v>1590</v>
      </c>
      <c r="H311" s="12">
        <v>1.0</v>
      </c>
      <c r="I311" s="45" t="s">
        <v>1498</v>
      </c>
      <c r="J311" s="12" t="s">
        <v>69</v>
      </c>
      <c r="L311" s="14" t="str">
        <f>IFERROR(__xludf.DUMMYFUNCTION("IF(REGEXMATCH($B311,L$1),$D311,"""")"),"")</f>
        <v/>
      </c>
      <c r="M311" s="14" t="str">
        <f>IFERROR(__xludf.DUMMYFUNCTION("IF(REGEXMATCH($B311,M$1),$D311,"""")"),"")</f>
        <v/>
      </c>
      <c r="N311" s="14" t="str">
        <f>IFERROR(__xludf.DUMMYFUNCTION("IF(REGEXMATCH($B311,N$1),$D311,"""")"),"Demon Insect")</f>
        <v>Demon Insect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53" t="s">
        <v>1591</v>
      </c>
      <c r="B312" s="57" t="s">
        <v>13</v>
      </c>
      <c r="C312" s="56">
        <v>1.0</v>
      </c>
      <c r="D312" s="56" t="s">
        <v>1278</v>
      </c>
      <c r="E312" s="57" t="s">
        <v>1592</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58" t="s">
        <v>1593</v>
      </c>
      <c r="H312" s="56">
        <v>4.0</v>
      </c>
      <c r="I312" s="56" t="s">
        <v>1514</v>
      </c>
      <c r="J312" s="56" t="s">
        <v>69</v>
      </c>
      <c r="L312" s="56" t="s">
        <v>1278</v>
      </c>
      <c r="M312" s="14" t="str">
        <f>IFERROR(__xludf.DUMMYFUNCTION("IF(REGEXMATCH($B312,M$1),$D312,"""")"),"")</f>
        <v/>
      </c>
      <c r="N312" s="14" t="str">
        <f>IFERROR(__xludf.DUMMYFUNCTION("IF(REGEXMATCH($B312,N$1),$D312,"""")"),"Demon Human")</f>
        <v>Demon Human</v>
      </c>
      <c r="O312" s="14" t="str">
        <f>IFERROR(__xludf.DUMMYFUNCTION("IF(REGEXMATCH($B312,O$1),$D312,"""")"),"")</f>
        <v/>
      </c>
      <c r="P312" s="14" t="str">
        <f>IFERROR(__xludf.DUMMYFUNCTION("IF(REGEXMATCH($B312,P$1),$D312,"""")"),"")</f>
        <v/>
      </c>
      <c r="Q312" s="14">
        <f>IFERROR(__xludf.DUMMYFUNCTION("IF($A312="""","""",LEN(REGEXREPLACE($I312,"",\s?"","""")))"),5.0)</f>
        <v>5</v>
      </c>
      <c r="S312" s="14"/>
      <c r="T312" s="14"/>
      <c r="U312" s="14"/>
      <c r="V312" s="14"/>
      <c r="W312" s="14"/>
      <c r="X312" s="14"/>
      <c r="Y312" s="14"/>
      <c r="Z312" s="14"/>
      <c r="AA312" s="14"/>
      <c r="AB312" s="14"/>
    </row>
    <row r="313">
      <c r="A313" s="10" t="s">
        <v>1594</v>
      </c>
      <c r="B313" s="10" t="s">
        <v>13</v>
      </c>
      <c r="C313" s="12">
        <v>1.0</v>
      </c>
      <c r="D313" s="12" t="s">
        <v>1471</v>
      </c>
      <c r="E313" s="10" t="s">
        <v>1595</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Crystal|.*crystal.*bury""),""Empty-Crystal"","""")&amp;IF(REGEXMATCH($E313,""Move|move""),""Move"","""")"),"Void ")</f>
        <v>Void </v>
      </c>
      <c r="G313" s="13" t="s">
        <v>1596</v>
      </c>
      <c r="H313" s="12">
        <v>1.0</v>
      </c>
      <c r="I313" s="12" t="s">
        <v>1510</v>
      </c>
      <c r="J313" s="12" t="s">
        <v>33</v>
      </c>
      <c r="L313" s="12" t="s">
        <v>1471</v>
      </c>
      <c r="M313" s="14" t="str">
        <f>IFERROR(__xludf.DUMMYFUNCTION("IF(REGEXMATCH($B313,M$1),$D313,"""")"),"")</f>
        <v/>
      </c>
      <c r="N313" s="14" t="str">
        <f>IFERROR(__xludf.DUMMYFUNCTION("IF(REGEXMATCH($B313,N$1),$D313,"""")"),"Demon Insect")</f>
        <v>Demon Insect</v>
      </c>
      <c r="O313" s="14" t="str">
        <f>IFERROR(__xludf.DUMMYFUNCTION("IF(REGEXMATCH($B313,O$1),$D313,"""")"),"")</f>
        <v/>
      </c>
      <c r="P313" s="14" t="str">
        <f>IFERROR(__xludf.DUMMYFUNCTION("IF(REGEXMATCH($B313,P$1),$D313,"""")"),"")</f>
        <v/>
      </c>
      <c r="Q313" s="14">
        <f>IFERROR(__xludf.DUMMYFUNCTION("IF($A313="""","""",LEN(REGEXREPLACE($I313,"",\s?"","""")))"),2.0)</f>
        <v>2</v>
      </c>
      <c r="S313" s="14"/>
      <c r="T313" s="14"/>
      <c r="U313" s="14"/>
      <c r="V313" s="14"/>
      <c r="W313" s="14"/>
      <c r="X313" s="14"/>
      <c r="Y313" s="14"/>
      <c r="Z313" s="14"/>
      <c r="AA313" s="14"/>
      <c r="AB313" s="14"/>
    </row>
    <row r="314">
      <c r="A314" s="27" t="s">
        <v>1597</v>
      </c>
      <c r="B314" s="10" t="s">
        <v>13</v>
      </c>
      <c r="C314" s="12">
        <v>1.0</v>
      </c>
      <c r="D314" s="12" t="s">
        <v>1033</v>
      </c>
      <c r="E314" s="10" t="s">
        <v>565</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f>
        <v/>
      </c>
      <c r="G314" s="21" t="s">
        <v>1598</v>
      </c>
      <c r="H314" s="24">
        <v>3.0</v>
      </c>
      <c r="I314" s="12" t="s">
        <v>1503</v>
      </c>
      <c r="J314" s="24" t="s">
        <v>33</v>
      </c>
      <c r="L314" s="12" t="s">
        <v>1033</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IFERROR(__xludf.DUMMYFUNCTION("IF($A314="""","""",LEN(REGEXREPLACE($I314,"",\s?"","""")))"),3.0)</f>
        <v>3</v>
      </c>
      <c r="S314" s="14"/>
      <c r="T314" s="14"/>
      <c r="U314" s="14"/>
      <c r="V314" s="14"/>
      <c r="W314" s="14"/>
      <c r="X314" s="14"/>
      <c r="Y314" s="14"/>
      <c r="Z314" s="14"/>
      <c r="AA314" s="14"/>
      <c r="AB314" s="14"/>
    </row>
    <row r="315">
      <c r="A315" s="27" t="s">
        <v>1599</v>
      </c>
      <c r="B315" s="10" t="s">
        <v>13</v>
      </c>
      <c r="C315" s="12">
        <v>1.0</v>
      </c>
      <c r="D315" s="12" t="s">
        <v>689</v>
      </c>
      <c r="E315" s="10" t="s">
        <v>1600</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Crystal|.*crystal.*bury""),""Empty-Crystal"","""")&amp;IF(REGEXMATCH($E315,""Move|move""),""Move"","""")"),"Control Empty-Crystal")</f>
        <v>Control Empty-Crystal</v>
      </c>
      <c r="G315" s="21" t="s">
        <v>1601</v>
      </c>
      <c r="H315" s="12">
        <v>10.0</v>
      </c>
      <c r="I315" s="12" t="s">
        <v>1498</v>
      </c>
      <c r="J315" s="24" t="s">
        <v>39</v>
      </c>
      <c r="L315" s="12" t="s">
        <v>689</v>
      </c>
      <c r="M315" s="14" t="str">
        <f>IFERROR(__xludf.DUMMYFUNCTION("IF(REGEXMATCH($B315,M$1),$D315,"""")"),"")</f>
        <v/>
      </c>
      <c r="N315" s="14" t="str">
        <f>IFERROR(__xludf.DUMMYFUNCTION("IF(REGEXMATCH($B315,N$1),$D315,"""")"),"Demon Spirit")</f>
        <v>Demon Spirit</v>
      </c>
      <c r="O315" s="14" t="str">
        <f>IFERROR(__xludf.DUMMYFUNCTION("IF(REGEXMATCH($B315,O$1),$D315,"""")"),"")</f>
        <v/>
      </c>
      <c r="P315" s="14" t="str">
        <f>IFERROR(__xludf.DUMMYFUNCTION("IF(REGEXMATCH($B315,P$1),$D315,"""")"),"")</f>
        <v/>
      </c>
      <c r="Q315" s="14">
        <f>IFERROR(__xludf.DUMMYFUNCTION("IF($A315="""","""",LEN(REGEXREPLACE($I315,"",\s?"","""")))"),4.0)</f>
        <v>4</v>
      </c>
      <c r="S315" s="14"/>
      <c r="T315" s="14"/>
      <c r="U315" s="14"/>
      <c r="V315" s="14"/>
      <c r="W315" s="14"/>
      <c r="X315" s="14"/>
      <c r="Y315" s="14"/>
      <c r="Z315" s="14"/>
      <c r="AA315" s="14"/>
      <c r="AB315" s="14"/>
    </row>
    <row r="316" hidden="1">
      <c r="A316" s="10" t="s">
        <v>1602</v>
      </c>
      <c r="B316" s="93" t="s">
        <v>13</v>
      </c>
      <c r="C316" s="12">
        <v>2.0</v>
      </c>
      <c r="D316" s="12" t="s">
        <v>1521</v>
      </c>
      <c r="E316" s="10" t="s">
        <v>1603</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Crystal|.*crystal.*bury""),""Empty-Crystal"","""")&amp;IF(REGEXMATCH($E316,""Move|move""),""Move"","""")"),"Ramp ")</f>
        <v>Ramp </v>
      </c>
      <c r="G316" s="13" t="s">
        <v>1604</v>
      </c>
      <c r="H316" s="12">
        <v>3.0</v>
      </c>
      <c r="I316" s="12" t="s">
        <v>1503</v>
      </c>
      <c r="J316" s="12" t="s">
        <v>69</v>
      </c>
      <c r="L316" s="14" t="str">
        <f>IFERROR(__xludf.DUMMYFUNCTION("IF(REGEXMATCH($B316,L$1),$D316,"""")"),"")</f>
        <v/>
      </c>
      <c r="M316" s="14" t="str">
        <f>IFERROR(__xludf.DUMMYFUNCTION("IF(REGEXMATCH($B316,M$1),$D316,"""")"),"")</f>
        <v/>
      </c>
      <c r="N316" s="14" t="str">
        <f>IFERROR(__xludf.DUMMYFUNCTION("IF(REGEXMATCH($B316,N$1),$D316,"""")"),"Demon")</f>
        <v>Demon</v>
      </c>
      <c r="O316" s="14" t="str">
        <f>IFERROR(__xludf.DUMMYFUNCTION("IF(REGEXMATCH($B316,O$1),$D316,"""")"),"")</f>
        <v/>
      </c>
      <c r="P316" s="14" t="str">
        <f>IFERROR(__xludf.DUMMYFUNCTION("IF(REGEXMATCH($B316,P$1),$D316,"""")"),"")</f>
        <v/>
      </c>
      <c r="Q316" s="14">
        <f>IFERROR(__xludf.DUMMYFUNCTION("IF($A316="""","""",LEN(REGEXREPLACE($I316,"",\s?"","""")))"),3.0)</f>
        <v>3</v>
      </c>
      <c r="S316" s="14"/>
      <c r="T316" s="14"/>
      <c r="U316" s="14"/>
      <c r="V316" s="14"/>
      <c r="W316" s="14"/>
      <c r="X316" s="14"/>
      <c r="Y316" s="14"/>
      <c r="Z316" s="14"/>
      <c r="AA316" s="14"/>
      <c r="AB316" s="14"/>
    </row>
    <row r="317">
      <c r="A317" s="27" t="s">
        <v>1605</v>
      </c>
      <c r="B317" s="10" t="s">
        <v>13</v>
      </c>
      <c r="C317" s="12">
        <v>1.0</v>
      </c>
      <c r="D317" s="12" t="s">
        <v>1033</v>
      </c>
      <c r="E317" s="10" t="s">
        <v>1606</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f>
        <v>Unearth </v>
      </c>
      <c r="G317" s="21" t="s">
        <v>1607</v>
      </c>
      <c r="H317" s="24">
        <v>4.0</v>
      </c>
      <c r="I317" s="12" t="s">
        <v>1498</v>
      </c>
      <c r="J317" s="24" t="s">
        <v>33</v>
      </c>
      <c r="L317" s="12" t="s">
        <v>1033</v>
      </c>
      <c r="M317" s="14" t="str">
        <f>IFERROR(__xludf.DUMMYFUNCTION("IF(REGEXMATCH($B317,M$1),$D317,"""")"),"")</f>
        <v/>
      </c>
      <c r="N317" s="14" t="str">
        <f>IFERROR(__xludf.DUMMYFUNCTION("IF(REGEXMATCH($B317,N$1),$D317,"""")"),"Animal Demon")</f>
        <v>Animal Demon</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35" t="s">
        <v>1608</v>
      </c>
      <c r="B318" s="94" t="s">
        <v>13</v>
      </c>
      <c r="C318" s="19">
        <v>2.0</v>
      </c>
      <c r="D318" s="19" t="s">
        <v>1355</v>
      </c>
      <c r="E318" s="20" t="s">
        <v>252</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21" t="s">
        <v>1609</v>
      </c>
      <c r="H318" s="19">
        <v>2.0</v>
      </c>
      <c r="I318" s="19" t="s">
        <v>1510</v>
      </c>
      <c r="J318" s="19" t="s">
        <v>33</v>
      </c>
      <c r="L318" s="14" t="str">
        <f>IFERROR(__xludf.DUMMYFUNCTION("IF(REGEXMATCH($B318,L$1),$D318,"""")"),"")</f>
        <v/>
      </c>
      <c r="M318" s="14" t="str">
        <f>IFERROR(__xludf.DUMMYFUNCTION("IF(REGEXMATCH($B318,M$1),$D318,"""")"),"")</f>
        <v/>
      </c>
      <c r="N318" s="14" t="str">
        <f>IFERROR(__xludf.DUMMYFUNCTION("IF(REGEXMATCH($B318,N$1),$D318,"""")"),"Crusader Warrior")</f>
        <v>Crusader Warrior</v>
      </c>
      <c r="O318" s="14" t="str">
        <f>IFERROR(__xludf.DUMMYFUNCTION("IF(REGEXMATCH($B318,O$1),$D318,"""")"),"")</f>
        <v/>
      </c>
      <c r="P318" s="14" t="str">
        <f>IFERROR(__xludf.DUMMYFUNCTION("IF(REGEXMATCH($B318,P$1),$D318,"""")"),"")</f>
        <v/>
      </c>
      <c r="Q318" s="14">
        <f>IFERROR(__xludf.DUMMYFUNCTION("IF($A318="""","""",LEN(REGEXREPLACE($I318,"",\s?"","""")))"),2.0)</f>
        <v>2</v>
      </c>
      <c r="S318" s="14"/>
      <c r="T318" s="14"/>
      <c r="U318" s="14"/>
      <c r="V318" s="14"/>
      <c r="W318" s="14"/>
      <c r="X318" s="14"/>
      <c r="Y318" s="14"/>
      <c r="Z318" s="14"/>
      <c r="AA318" s="14"/>
      <c r="AB318" s="14"/>
    </row>
    <row r="319" hidden="1">
      <c r="A319" s="25" t="s">
        <v>1610</v>
      </c>
      <c r="B319" s="93" t="s">
        <v>13</v>
      </c>
      <c r="C319" s="19">
        <v>2.0</v>
      </c>
      <c r="D319" s="12" t="s">
        <v>114</v>
      </c>
      <c r="E319" s="70" t="s">
        <v>1611</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Crystal|.*crystal.*bury""),""Empty-Crystal"","""")&amp;IF(REGEXMATCH($E319,""Move|move""),""Move"","""")"),"Unearth Control ")</f>
        <v>Unearth Control </v>
      </c>
      <c r="G319" s="13" t="s">
        <v>1612</v>
      </c>
      <c r="H319" s="12">
        <v>2.0</v>
      </c>
      <c r="I319" s="12" t="s">
        <v>1510</v>
      </c>
      <c r="J319" s="12" t="s">
        <v>33</v>
      </c>
      <c r="L319" s="14" t="str">
        <f>IFERROR(__xludf.DUMMYFUNCTION("IF(REGEXMATCH($B319,L$1),$D319,"""")"),"")</f>
        <v/>
      </c>
      <c r="M319" s="14" t="str">
        <f>IFERROR(__xludf.DUMMYFUNCTION("IF(REGEXMATCH($B319,M$1),$D319,"""")"),"")</f>
        <v/>
      </c>
      <c r="N319" s="14" t="str">
        <f>IFERROR(__xludf.DUMMYFUNCTION("IF(REGEXMATCH($B319,N$1),$D319,"""")"),"Animal Undead")</f>
        <v>Animal Undead</v>
      </c>
      <c r="O319" s="14" t="str">
        <f>IFERROR(__xludf.DUMMYFUNCTION("IF(REGEXMATCH($B319,O$1),$D319,"""")"),"")</f>
        <v/>
      </c>
      <c r="P319" s="14" t="str">
        <f>IFERROR(__xludf.DUMMYFUNCTION("IF(REGEXMATCH($B319,P$1),$D319,"""")"),"")</f>
        <v/>
      </c>
      <c r="Q319" s="14">
        <f>IFERROR(__xludf.DUMMYFUNCTION("IF($A319="""","""",LEN(REGEXREPLACE($I319,"",\s?"","""")))"),2.0)</f>
        <v>2</v>
      </c>
      <c r="S319" s="14"/>
      <c r="T319" s="14"/>
      <c r="U319" s="14"/>
      <c r="V319" s="14"/>
      <c r="W319" s="14"/>
      <c r="X319" s="14"/>
      <c r="Y319" s="14"/>
      <c r="Z319" s="14"/>
      <c r="AA319" s="14"/>
      <c r="AB319" s="14"/>
    </row>
    <row r="320" hidden="1">
      <c r="A320" s="20" t="s">
        <v>1613</v>
      </c>
      <c r="B320" s="94" t="s">
        <v>13</v>
      </c>
      <c r="C320" s="19">
        <v>2.0</v>
      </c>
      <c r="D320" s="19" t="s">
        <v>1614</v>
      </c>
      <c r="E320" s="20" t="s">
        <v>1615</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Control ")</f>
        <v>Unearth Control </v>
      </c>
      <c r="G320" s="21" t="s">
        <v>1616</v>
      </c>
      <c r="H320" s="19">
        <v>3.0</v>
      </c>
      <c r="I320" s="19" t="s">
        <v>1545</v>
      </c>
      <c r="J320" s="19" t="s">
        <v>33</v>
      </c>
      <c r="L320" s="14" t="str">
        <f>IFERROR(__xludf.DUMMYFUNCTION("IF(REGEXMATCH($B320,L$1),$D320,"""")"),"")</f>
        <v/>
      </c>
      <c r="M320" s="14" t="str">
        <f>IFERROR(__xludf.DUMMYFUNCTION("IF(REGEXMATCH($B320,M$1),$D320,"""")"),"")</f>
        <v/>
      </c>
      <c r="N320" s="14" t="str">
        <f>IFERROR(__xludf.DUMMYFUNCTION("IF(REGEXMATCH($B320,N$1),$D320,"""")"),"Construct Crystalblight Undead")</f>
        <v>Construct Crystalblight Undead</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hidden="1">
      <c r="A321" s="20" t="s">
        <v>1617</v>
      </c>
      <c r="B321" s="93" t="s">
        <v>13</v>
      </c>
      <c r="C321" s="12">
        <v>2.0</v>
      </c>
      <c r="D321" s="12" t="s">
        <v>1375</v>
      </c>
      <c r="E321" s="10" t="s">
        <v>1618</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Crystal|.*crystal.*bury""),""Empty-Crystal"","""")&amp;IF(REGEXMATCH($E321,""Move|move""),""Move"","""")"),"Unearth Copy ")</f>
        <v>Unearth Copy </v>
      </c>
      <c r="G321" s="13" t="s">
        <v>1619</v>
      </c>
      <c r="H321" s="12">
        <v>2.0</v>
      </c>
      <c r="I321" s="12" t="s">
        <v>1498</v>
      </c>
      <c r="J321" s="12" t="s">
        <v>69</v>
      </c>
      <c r="L321" s="14" t="str">
        <f>IFERROR(__xludf.DUMMYFUNCTION("IF(REGEXMATCH($B321,L$1),$D321,"""")"),"")</f>
        <v/>
      </c>
      <c r="M321" s="14" t="str">
        <f>IFERROR(__xludf.DUMMYFUNCTION("IF(REGEXMATCH($B321,M$1),$D321,"""")"),"")</f>
        <v/>
      </c>
      <c r="N321" s="14" t="str">
        <f>IFERROR(__xludf.DUMMYFUNCTION("IF(REGEXMATCH($B321,N$1),$D321,"""")"),"Hunter Insect")</f>
        <v>Hunter Insect</v>
      </c>
      <c r="O321" s="14" t="str">
        <f>IFERROR(__xludf.DUMMYFUNCTION("IF(REGEXMATCH($B321,O$1),$D321,"""")"),"")</f>
        <v/>
      </c>
      <c r="P321" s="14" t="str">
        <f>IFERROR(__xludf.DUMMYFUNCTION("IF(REGEXMATCH($B321,P$1),$D321,"""")"),"")</f>
        <v/>
      </c>
      <c r="Q321" s="14">
        <f>IFERROR(__xludf.DUMMYFUNCTION("IF($A321="""","""",LEN(REGEXREPLACE($I321,"",\s?"","""")))"),4.0)</f>
        <v>4</v>
      </c>
      <c r="S321" s="14"/>
      <c r="T321" s="14"/>
      <c r="U321" s="14"/>
      <c r="V321" s="14"/>
      <c r="W321" s="14"/>
      <c r="X321" s="14"/>
      <c r="Y321" s="14"/>
      <c r="Z321" s="14"/>
      <c r="AA321" s="14"/>
      <c r="AB321" s="14"/>
    </row>
    <row r="322" hidden="1">
      <c r="A322" s="20" t="s">
        <v>1620</v>
      </c>
      <c r="B322" s="94" t="s">
        <v>13</v>
      </c>
      <c r="C322" s="19">
        <v>2.0</v>
      </c>
      <c r="D322" s="19" t="s">
        <v>83</v>
      </c>
      <c r="E322" s="20" t="s">
        <v>1621</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Crystal|.*crystal.*bury""),""Empty-Crystal"","""")&amp;IF(REGEXMATCH($E322,""Move|move""),""Move"","""")"),"Control ")</f>
        <v>Control </v>
      </c>
      <c r="G322" s="21" t="s">
        <v>1622</v>
      </c>
      <c r="H322" s="19">
        <v>0.0</v>
      </c>
      <c r="I322" s="19" t="s">
        <v>1498</v>
      </c>
      <c r="J322" s="19" t="s">
        <v>69</v>
      </c>
      <c r="L322" s="14" t="str">
        <f>IFERROR(__xludf.DUMMYFUNCTION("IF(REGEXMATCH($B322,L$1),$D322,"""")"),"")</f>
        <v/>
      </c>
      <c r="M322" s="14" t="str">
        <f>IFERROR(__xludf.DUMMYFUNCTION("IF(REGEXMATCH($B322,M$1),$D322,"""")"),"")</f>
        <v/>
      </c>
      <c r="N322" s="14" t="str">
        <f>IFERROR(__xludf.DUMMYFUNCTION("IF(REGEXMATCH($B322,N$1),$D322,"""")"),"Construct Undead")</f>
        <v>Construct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c r="A323" s="10" t="s">
        <v>1623</v>
      </c>
      <c r="B323" s="10" t="s">
        <v>13</v>
      </c>
      <c r="C323" s="12">
        <v>1.0</v>
      </c>
      <c r="D323" s="12" t="s">
        <v>1375</v>
      </c>
      <c r="E323" s="10" t="s">
        <v>1624</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Crystal|.*crystal.*bury""),""Empty-Crystal"","""")&amp;IF(REGEXMATCH($E323,""Move|move""),""Move"","""")"),"Unearth Copy ")</f>
        <v>Unearth Copy </v>
      </c>
      <c r="G323" s="13" t="s">
        <v>1625</v>
      </c>
      <c r="H323" s="12">
        <v>4.0</v>
      </c>
      <c r="I323" s="12" t="s">
        <v>1498</v>
      </c>
      <c r="J323" s="12" t="s">
        <v>33</v>
      </c>
      <c r="L323" s="12" t="s">
        <v>1375</v>
      </c>
      <c r="M323" s="14" t="str">
        <f>IFERROR(__xludf.DUMMYFUNCTION("IF(REGEXMATCH($B323,M$1),$D323,"""")"),"")</f>
        <v/>
      </c>
      <c r="N323" s="14" t="str">
        <f>IFERROR(__xludf.DUMMYFUNCTION("IF(REGEXMATCH($B323,N$1),$D323,"""")"),"Hunter Insect")</f>
        <v>Hunter Insect</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5" t="s">
        <v>1626</v>
      </c>
      <c r="B324" s="10" t="s">
        <v>13</v>
      </c>
      <c r="C324" s="12">
        <v>1.0</v>
      </c>
      <c r="D324" s="12" t="s">
        <v>187</v>
      </c>
      <c r="E324" s="10" t="s">
        <v>1627</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Crystal|.*crystal.*bury""),""Empty-Crystal"","""")&amp;IF(REGEXMATCH($E324,""Move|move""),""Move"","""")"),"Void ")</f>
        <v>Void </v>
      </c>
      <c r="G324" s="13" t="s">
        <v>1628</v>
      </c>
      <c r="H324" s="12">
        <v>5.0</v>
      </c>
      <c r="I324" s="12" t="s">
        <v>1514</v>
      </c>
      <c r="J324" s="12" t="s">
        <v>69</v>
      </c>
      <c r="L324" s="12" t="s">
        <v>187</v>
      </c>
      <c r="M324" s="14" t="str">
        <f>IFERROR(__xludf.DUMMYFUNCTION("IF(REGEXMATCH($D324,M$1),#REF!,"""")"),"")</f>
        <v/>
      </c>
      <c r="N324" s="14" t="str">
        <f>IFERROR(__xludf.DUMMYFUNCTION("IF(REGEXMATCH($D324,N$1),#REF!,"""")"),"")</f>
        <v/>
      </c>
      <c r="O324" s="14" t="str">
        <f>IFERROR(__xludf.DUMMYFUNCTION("IF(REGEXMATCH($D324,O$1),#REF!,"""")"),"")</f>
        <v/>
      </c>
      <c r="P324" s="14" t="str">
        <f>IFERROR(__xludf.DUMMYFUNCTION("IF(REGEXMATCH($D324,P$1),#REF!,"""")"),"")</f>
        <v/>
      </c>
      <c r="Q324" s="14">
        <f>IFERROR(__xludf.DUMMYFUNCTION("IF($A324="""","""",LEN(REGEXREPLACE($I324,"",\s?"","""")))"),5.0)</f>
        <v>5</v>
      </c>
      <c r="S324" s="14"/>
      <c r="T324" s="14"/>
      <c r="U324" s="14"/>
      <c r="V324" s="14"/>
      <c r="W324" s="14"/>
      <c r="X324" s="14"/>
      <c r="Y324" s="14"/>
      <c r="Z324" s="14"/>
      <c r="AA324" s="14"/>
      <c r="AB324" s="14"/>
    </row>
    <row r="325">
      <c r="A325" s="27" t="s">
        <v>1629</v>
      </c>
      <c r="B325" s="10" t="s">
        <v>13</v>
      </c>
      <c r="C325" s="12">
        <v>1.0</v>
      </c>
      <c r="D325" s="12" t="s">
        <v>1630</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f>
        <v/>
      </c>
      <c r="G325" s="13" t="s">
        <v>1631</v>
      </c>
      <c r="H325" s="12">
        <v>5.0</v>
      </c>
      <c r="I325" s="12" t="s">
        <v>1498</v>
      </c>
      <c r="J325" s="24" t="s">
        <v>33</v>
      </c>
      <c r="L325" s="12" t="s">
        <v>1630</v>
      </c>
      <c r="M325" s="14" t="str">
        <f>IFERROR(__xludf.DUMMYFUNCTION("IF(REGEXMATCH($B325,M$1),$D325,"""")"),"")</f>
        <v/>
      </c>
      <c r="N325" s="14" t="str">
        <f>IFERROR(__xludf.DUMMYFUNCTION("IF(REGEXMATCH($B325,N$1),$D325,"""")"),"Plant Undead")</f>
        <v>Plant Undead</v>
      </c>
      <c r="O325" s="14" t="str">
        <f>IFERROR(__xludf.DUMMYFUNCTION("IF(REGEXMATCH($B325,O$1),$D325,"""")"),"")</f>
        <v/>
      </c>
      <c r="P325" s="14" t="str">
        <f>IFERROR(__xludf.DUMMYFUNCTION("IF(REGEXMATCH($B325,P$1),$D325,"""")"),"")</f>
        <v/>
      </c>
      <c r="Q325" s="14">
        <f>IFERROR(__xludf.DUMMYFUNCTION("IF($A325="""","""",LEN(REGEXREPLACE($I325,"",\s?"","""")))"),4.0)</f>
        <v>4</v>
      </c>
      <c r="S325" s="14"/>
      <c r="T325" s="14"/>
      <c r="U325" s="14"/>
      <c r="V325" s="14"/>
      <c r="W325" s="14"/>
      <c r="X325" s="14"/>
      <c r="Y325" s="14"/>
      <c r="Z325" s="14"/>
      <c r="AA325" s="14"/>
      <c r="AB325" s="14"/>
    </row>
    <row r="326" hidden="1">
      <c r="A326" s="20" t="s">
        <v>1632</v>
      </c>
      <c r="B326" s="94" t="s">
        <v>13</v>
      </c>
      <c r="C326" s="19">
        <v>2.0</v>
      </c>
      <c r="D326" s="19" t="s">
        <v>1633</v>
      </c>
      <c r="E326" s="20" t="s">
        <v>1634</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Crystal|.*crystal.*bury""),""Empty-Crystal"","""")&amp;IF(REGEXMATCH($E326,""Move|move""),""Move"","""")"),"Ramp ")</f>
        <v>Ramp </v>
      </c>
      <c r="G326" s="21" t="s">
        <v>1635</v>
      </c>
      <c r="H326" s="19">
        <v>4.0</v>
      </c>
      <c r="I326" s="19" t="s">
        <v>1498</v>
      </c>
      <c r="J326" s="19" t="s">
        <v>69</v>
      </c>
      <c r="L326" s="14" t="str">
        <f>IFERROR(__xludf.DUMMYFUNCTION("IF(REGEXMATCH($B326,L$1),$D326,"""")"),"")</f>
        <v/>
      </c>
      <c r="M326" s="14" t="str">
        <f>IFERROR(__xludf.DUMMYFUNCTION("IF(REGEXMATCH($B326,M$1),$D326,"""")"),"")</f>
        <v/>
      </c>
      <c r="N326" s="14" t="str">
        <f>IFERROR(__xludf.DUMMYFUNCTION("IF(REGEXMATCH($B326,N$1),$D326,"""")"),"Crystalblight Demon")</f>
        <v>Crystalblight Demon</v>
      </c>
      <c r="O326" s="14" t="str">
        <f>IFERROR(__xludf.DUMMYFUNCTION("IF(REGEXMATCH($B326,O$1),$D326,"""")"),"")</f>
        <v/>
      </c>
      <c r="P326" s="14" t="str">
        <f>IFERROR(__xludf.DUMMYFUNCTION("IF(REGEXMATCH($B326,P$1),$D326,"""")"),"")</f>
        <v/>
      </c>
      <c r="Q326" s="14">
        <f>IFERROR(__xludf.DUMMYFUNCTION("IF($A326="""","""",LEN(REGEXREPLACE($I326,"",\s?"","""")))"),4.0)</f>
        <v>4</v>
      </c>
      <c r="S326" s="14"/>
      <c r="T326" s="14"/>
      <c r="U326" s="14"/>
      <c r="V326" s="14"/>
      <c r="W326" s="14"/>
      <c r="X326" s="14"/>
      <c r="Y326" s="14"/>
      <c r="Z326" s="14"/>
      <c r="AA326" s="14"/>
      <c r="AB326" s="14"/>
    </row>
    <row r="327">
      <c r="A327" s="27" t="s">
        <v>1636</v>
      </c>
      <c r="B327" s="10" t="s">
        <v>13</v>
      </c>
      <c r="C327" s="12">
        <v>1.0</v>
      </c>
      <c r="D327" s="12" t="s">
        <v>114</v>
      </c>
      <c r="E327" s="10" t="s">
        <v>1637</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Crystal|.*crystal.*bury""),""Empty-Crystal"","""")&amp;IF(REGEXMATCH($E327,""Move|move""),""Move"","""")"),"Control ")</f>
        <v>Control </v>
      </c>
      <c r="G327" s="13" t="s">
        <v>1638</v>
      </c>
      <c r="H327" s="12">
        <v>1.0</v>
      </c>
      <c r="I327" s="12" t="s">
        <v>1503</v>
      </c>
      <c r="J327" s="24" t="s">
        <v>69</v>
      </c>
      <c r="L327" s="12" t="s">
        <v>114</v>
      </c>
      <c r="M327" s="14" t="str">
        <f>IFERROR(__xludf.DUMMYFUNCTION("IF(REGEXMATCH($B327,M$1),$D327,"""")"),"")</f>
        <v/>
      </c>
      <c r="N327" s="14" t="str">
        <f>IFERROR(__xludf.DUMMYFUNCTION("IF(REGEXMATCH($B327,N$1),$D327,"""")"),"Animal Undead")</f>
        <v>Animal Undead</v>
      </c>
      <c r="O327" s="14" t="str">
        <f>IFERROR(__xludf.DUMMYFUNCTION("IF(REGEXMATCH($B327,O$1),$D327,"""")"),"")</f>
        <v/>
      </c>
      <c r="P327" s="14" t="str">
        <f>IFERROR(__xludf.DUMMYFUNCTION("IF(REGEXMATCH($B327,P$1),$D327,"""")"),"")</f>
        <v/>
      </c>
      <c r="Q327" s="14">
        <f>IFERROR(__xludf.DUMMYFUNCTION("IF($A327="""","""",LEN(REGEXREPLACE($I327,"",\s?"","""")))"),3.0)</f>
        <v>3</v>
      </c>
      <c r="S327" s="14"/>
      <c r="T327" s="14"/>
      <c r="U327" s="14"/>
      <c r="V327" s="14"/>
      <c r="W327" s="14"/>
      <c r="X327" s="14"/>
      <c r="Y327" s="14"/>
      <c r="Z327" s="14"/>
      <c r="AA327" s="14"/>
      <c r="AB327" s="14"/>
    </row>
    <row r="328" hidden="1">
      <c r="A328" s="20" t="s">
        <v>1639</v>
      </c>
      <c r="B328" s="94" t="s">
        <v>13</v>
      </c>
      <c r="C328" s="19">
        <v>2.0</v>
      </c>
      <c r="D328" s="19" t="s">
        <v>1037</v>
      </c>
      <c r="E328" s="20" t="s">
        <v>1640</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Crystal|.*crystal.*bury""),""Empty-Crystal"","""")&amp;IF(REGEXMATCH($E328,""Move|move""),""Move"","""")"),"Unearth ")</f>
        <v>Unearth </v>
      </c>
      <c r="G328" s="21" t="s">
        <v>1641</v>
      </c>
      <c r="H328" s="19">
        <v>2.0</v>
      </c>
      <c r="I328" s="19" t="s">
        <v>1503</v>
      </c>
      <c r="J328" s="19" t="s">
        <v>33</v>
      </c>
      <c r="L328" s="14" t="str">
        <f>IFERROR(__xludf.DUMMYFUNCTION("IF(REGEXMATCH($B328,L$1),$D328,"""")"),"")</f>
        <v/>
      </c>
      <c r="M328" s="14" t="str">
        <f>IFERROR(__xludf.DUMMYFUNCTION("IF(REGEXMATCH($B328,M$1),$D328,"""")"),"")</f>
        <v/>
      </c>
      <c r="N328" s="14" t="str">
        <f>IFERROR(__xludf.DUMMYFUNCTION("IF(REGEXMATCH($B328,N$1),$D328,"""")"),"Undead")</f>
        <v>Undead</v>
      </c>
      <c r="O328" s="14" t="str">
        <f>IFERROR(__xludf.DUMMYFUNCTION("IF(REGEXMATCH($B328,O$1),$D328,"""")"),"")</f>
        <v/>
      </c>
      <c r="P328" s="14" t="str">
        <f>IFERROR(__xludf.DUMMYFUNCTION("IF(REGEXMATCH($B328,P$1),$D328,"""")"),"")</f>
        <v/>
      </c>
      <c r="Q328" s="14">
        <f>IFERROR(__xludf.DUMMYFUNCTION("IF($A328="""","""",LEN(REGEXREPLACE($I328,"",\s?"","""")))"),3.0)</f>
        <v>3</v>
      </c>
      <c r="S328" s="14"/>
      <c r="T328" s="14"/>
      <c r="U328" s="14"/>
      <c r="V328" s="14"/>
      <c r="W328" s="14"/>
      <c r="X328" s="14"/>
      <c r="Y328" s="14"/>
      <c r="Z328" s="14"/>
      <c r="AA328" s="14"/>
      <c r="AB328" s="14"/>
    </row>
    <row r="329">
      <c r="A329" s="25" t="s">
        <v>1642</v>
      </c>
      <c r="B329" s="10" t="s">
        <v>13</v>
      </c>
      <c r="C329" s="12">
        <v>1.0</v>
      </c>
      <c r="D329" s="12" t="s">
        <v>1643</v>
      </c>
      <c r="E329" s="10" t="s">
        <v>1644</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Crystal|.*crystal.*bury""),""Empty-Crystal"","""")&amp;IF(REGEXMATCH($E329,""Move|move""),""Move"","""")"),"Void ")</f>
        <v>Void </v>
      </c>
      <c r="G329" s="13" t="s">
        <v>1645</v>
      </c>
      <c r="H329" s="12">
        <v>2.0</v>
      </c>
      <c r="I329" s="12" t="s">
        <v>1510</v>
      </c>
      <c r="J329" s="12" t="s">
        <v>33</v>
      </c>
      <c r="L329" s="12" t="s">
        <v>1643</v>
      </c>
      <c r="M329" s="14" t="str">
        <f>IFERROR(__xludf.DUMMYFUNCTION("IF(REGEXMATCH($B329,M$1),$D329,"""")"),"")</f>
        <v/>
      </c>
      <c r="N329" s="14" t="str">
        <f>IFERROR(__xludf.DUMMYFUNCTION("IF(REGEXMATCH($B329,N$1),$D329,"""")"),"Demon Plant")</f>
        <v>Demon Plant</v>
      </c>
      <c r="O329" s="14" t="str">
        <f>IFERROR(__xludf.DUMMYFUNCTION("IF(REGEXMATCH($B329,O$1),$D329,"""")"),"")</f>
        <v/>
      </c>
      <c r="P329" s="14" t="str">
        <f>IFERROR(__xludf.DUMMYFUNCTION("IF(REGEXMATCH($B329,P$1),$D329,"""")"),"")</f>
        <v/>
      </c>
      <c r="Q329" s="14">
        <f>IFERROR(__xludf.DUMMYFUNCTION("IF($A329="""","""",LEN(REGEXREPLACE($I329,"",\s?"","""")))"),2.0)</f>
        <v>2</v>
      </c>
      <c r="S329" s="14"/>
      <c r="T329" s="14"/>
      <c r="U329" s="14"/>
      <c r="V329" s="14"/>
      <c r="W329" s="14"/>
      <c r="X329" s="14"/>
      <c r="Y329" s="14"/>
      <c r="Z329" s="14"/>
      <c r="AA329" s="14"/>
      <c r="AB329" s="14"/>
    </row>
    <row r="330">
      <c r="A330" s="10" t="s">
        <v>1646</v>
      </c>
      <c r="B330" s="10" t="s">
        <v>13</v>
      </c>
      <c r="C330" s="12">
        <v>1.0</v>
      </c>
      <c r="D330" s="12" t="s">
        <v>1647</v>
      </c>
      <c r="E330" s="10" t="s">
        <v>1648</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Crystal|.*crystal.*bury""),""Empty-Crystal"","""")&amp;IF(REGEXMATCH($E330,""Move|move""),""Move"","""")"),"Angel Demon Unearth Demon ")</f>
        <v>Angel Demon Unearth Demon </v>
      </c>
      <c r="G330" s="13" t="s">
        <v>1649</v>
      </c>
      <c r="H330" s="12">
        <v>6.0</v>
      </c>
      <c r="I330" s="12" t="s">
        <v>1566</v>
      </c>
      <c r="J330" s="12" t="s">
        <v>39</v>
      </c>
      <c r="L330" s="12" t="s">
        <v>1647</v>
      </c>
      <c r="M330" s="14" t="str">
        <f>IFERROR(__xludf.DUMMYFUNCTION("IF(REGEXMATCH($B330,M$1),$D330,"""")"),"")</f>
        <v/>
      </c>
      <c r="N330" s="14" t="str">
        <f>IFERROR(__xludf.DUMMYFUNCTION("IF(REGEXMATCH($B330,N$1),$D330,"""")"),"Angel Demon")</f>
        <v>Angel Demon</v>
      </c>
      <c r="O330" s="14" t="str">
        <f>IFERROR(__xludf.DUMMYFUNCTION("IF(REGEXMATCH($B330,O$1),$D330,"""")"),"")</f>
        <v/>
      </c>
      <c r="P330" s="14" t="str">
        <f>IFERROR(__xludf.DUMMYFUNCTION("IF(REGEXMATCH($B330,P$1),$D330,"""")"),"")</f>
        <v/>
      </c>
      <c r="Q330" s="14">
        <f>IFERROR(__xludf.DUMMYFUNCTION("IF($A330="""","""",LEN(REGEXREPLACE($I330,"",\s?"","""")))"),6.0)</f>
        <v>6</v>
      </c>
      <c r="S330" s="14"/>
      <c r="T330" s="14"/>
      <c r="U330" s="14"/>
      <c r="V330" s="14"/>
      <c r="W330" s="14"/>
      <c r="X330" s="14"/>
      <c r="Y330" s="14"/>
      <c r="Z330" s="14"/>
      <c r="AA330" s="14"/>
      <c r="AB330" s="14"/>
    </row>
    <row r="331">
      <c r="A331" s="71" t="s">
        <v>1650</v>
      </c>
      <c r="B331" s="97" t="s">
        <v>13</v>
      </c>
      <c r="C331" s="73">
        <v>1.0</v>
      </c>
      <c r="D331" s="73" t="s">
        <v>1495</v>
      </c>
      <c r="E331" s="71" t="s">
        <v>1651</v>
      </c>
      <c r="F331" s="74"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Crystal|.*crystal.*bury""),""Empty-Crystal"","""")&amp;IF(REGEXMATCH($E331,""Move|move""),""Move"","""")"),"Ramp Control ")</f>
        <v>Ramp Control </v>
      </c>
      <c r="G331" s="71"/>
      <c r="H331" s="73">
        <v>6.0</v>
      </c>
      <c r="I331" s="73" t="s">
        <v>1519</v>
      </c>
      <c r="J331" s="73" t="s">
        <v>39</v>
      </c>
      <c r="K331" s="31"/>
      <c r="L331" s="71" t="str">
        <f>IFERROR(__xludf.DUMMYFUNCTION("IF(REGEXMATCH($B331,L$1),$D331,"""")"),"")</f>
        <v/>
      </c>
      <c r="M331" s="31" t="str">
        <f>IFERROR(__xludf.DUMMYFUNCTION("IF(REGEXMATCH($B331,M$1),$D331,"""")"),"")</f>
        <v/>
      </c>
      <c r="N331" s="31" t="str">
        <f>IFERROR(__xludf.DUMMYFUNCTION("IF(REGEXMATCH($B331,N$1),$D331,"""")"),"Demon Hunter")</f>
        <v>Demon Hunter</v>
      </c>
      <c r="O331" s="31" t="str">
        <f>IFERROR(__xludf.DUMMYFUNCTION("IF(REGEXMATCH($B331,O$1),$D331,"""")"),"")</f>
        <v/>
      </c>
      <c r="P331" s="31" t="str">
        <f>IFERROR(__xludf.DUMMYFUNCTION("IF(REGEXMATCH($B331,P$1),$D331,"""")"),"")</f>
        <v/>
      </c>
      <c r="Q331" s="75">
        <f>IFERROR(__xludf.DUMMYFUNCTION("IF($A331="""","""",LEN(REGEXREPLACE($I331,"",\s?"","""")))"),7.0)</f>
        <v>7</v>
      </c>
      <c r="R331" s="31"/>
      <c r="S331" s="31"/>
      <c r="T331" s="31"/>
      <c r="U331" s="31"/>
      <c r="V331" s="31"/>
      <c r="W331" s="31"/>
      <c r="X331" s="31"/>
      <c r="Y331" s="31"/>
      <c r="Z331" s="31"/>
      <c r="AA331" s="31"/>
      <c r="AB331" s="31"/>
    </row>
    <row r="332" hidden="1">
      <c r="A332" s="20" t="s">
        <v>1652</v>
      </c>
      <c r="B332" s="94" t="s">
        <v>13</v>
      </c>
      <c r="C332" s="19">
        <v>2.0</v>
      </c>
      <c r="D332" s="19" t="s">
        <v>689</v>
      </c>
      <c r="E332" s="20" t="s">
        <v>1653</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21" t="s">
        <v>1654</v>
      </c>
      <c r="H332" s="19">
        <v>0.0</v>
      </c>
      <c r="I332" s="19" t="s">
        <v>1514</v>
      </c>
      <c r="J332" s="19" t="s">
        <v>69</v>
      </c>
      <c r="L332" s="14" t="str">
        <f>IFERROR(__xludf.DUMMYFUNCTION("IF(REGEXMATCH($B332,L$1),$D332,"""")"),"")</f>
        <v/>
      </c>
      <c r="M332" s="14" t="str">
        <f>IFERROR(__xludf.DUMMYFUNCTION("IF(REGEXMATCH($B332,M$1),$D332,"""")"),"")</f>
        <v/>
      </c>
      <c r="N332" s="14" t="str">
        <f>IFERROR(__xludf.DUMMYFUNCTION("IF(REGEXMATCH($B332,N$1),$D332,"""")"),"Demon Spirit")</f>
        <v>Demon Spirit</v>
      </c>
      <c r="O332" s="14" t="str">
        <f>IFERROR(__xludf.DUMMYFUNCTION("IF(REGEXMATCH($B332,O$1),$D332,"""")"),"")</f>
        <v/>
      </c>
      <c r="P332" s="14" t="str">
        <f>IFERROR(__xludf.DUMMYFUNCTION("IF(REGEXMATCH($B332,P$1),$D332,"""")"),"")</f>
        <v/>
      </c>
      <c r="Q332" s="14">
        <f>IFERROR(__xludf.DUMMYFUNCTION("IF($A332="""","""",LEN(REGEXREPLACE($I332,"",\s?"","""")))"),5.0)</f>
        <v>5</v>
      </c>
      <c r="S332" s="14"/>
      <c r="T332" s="14"/>
      <c r="U332" s="14"/>
      <c r="V332" s="14"/>
      <c r="W332" s="14"/>
      <c r="X332" s="14"/>
      <c r="Y332" s="14"/>
      <c r="Z332" s="14"/>
      <c r="AA332" s="14"/>
      <c r="AB332" s="14"/>
    </row>
    <row r="333" hidden="1">
      <c r="A333" s="10" t="s">
        <v>1655</v>
      </c>
      <c r="B333" s="93" t="s">
        <v>13</v>
      </c>
      <c r="C333" s="12">
        <v>2.0</v>
      </c>
      <c r="D333" s="12" t="s">
        <v>1274</v>
      </c>
      <c r="E333" s="10" t="s">
        <v>1656</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Crystal|.*crystal.*bury""),""Empty-Crystal"","""")&amp;IF(REGEXMATCH($E333,""Move|move""),""Move"","""")"),"Undead ")</f>
        <v>Undead </v>
      </c>
      <c r="G333" s="13" t="s">
        <v>1657</v>
      </c>
      <c r="H333" s="12">
        <v>2.0</v>
      </c>
      <c r="I333" s="12" t="s">
        <v>1498</v>
      </c>
      <c r="J333" s="12" t="s">
        <v>69</v>
      </c>
      <c r="L333" s="14" t="str">
        <f>IFERROR(__xludf.DUMMYFUNCTION("IF(REGEXMATCH($B333,L$1),$D333,"""")"),"")</f>
        <v/>
      </c>
      <c r="M333" s="14" t="str">
        <f>IFERROR(__xludf.DUMMYFUNCTION("IF(REGEXMATCH($B333,M$1),$D333,"""")"),"")</f>
        <v/>
      </c>
      <c r="N333" s="14" t="str">
        <f>IFERROR(__xludf.DUMMYFUNCTION("IF(REGEXMATCH($B333,N$1),$D333,"""")"),"Human Undead")</f>
        <v>Human Undead</v>
      </c>
      <c r="O333" s="14" t="str">
        <f>IFERROR(__xludf.DUMMYFUNCTION("IF(REGEXMATCH($B333,O$1),$D333,"""")"),"")</f>
        <v/>
      </c>
      <c r="P333" s="14" t="str">
        <f>IFERROR(__xludf.DUMMYFUNCTION("IF(REGEXMATCH($B333,P$1),$D333,"""")"),"")</f>
        <v/>
      </c>
      <c r="Q333" s="14">
        <f>IFERROR(__xludf.DUMMYFUNCTION("IF($A333="""","""",LEN(REGEXREPLACE($I333,"",\s?"","""")))"),4.0)</f>
        <v>4</v>
      </c>
      <c r="S333" s="14"/>
      <c r="T333" s="14"/>
      <c r="U333" s="14"/>
      <c r="V333" s="14"/>
      <c r="W333" s="14"/>
      <c r="X333" s="14"/>
      <c r="Y333" s="14"/>
      <c r="Z333" s="14"/>
      <c r="AA333" s="14"/>
      <c r="AB333" s="14"/>
    </row>
    <row r="334" hidden="1">
      <c r="A334" s="20" t="s">
        <v>1658</v>
      </c>
      <c r="B334" s="94" t="s">
        <v>13</v>
      </c>
      <c r="C334" s="19">
        <v>2.0</v>
      </c>
      <c r="D334" s="19" t="s">
        <v>1630</v>
      </c>
      <c r="E334" s="20" t="s">
        <v>1659</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Crystal|.*crystal.*bury""),""Empty-Crystal"","""")&amp;IF(REGEXMATCH($E334,""Move|move""),""Move"","""")"),"Void Ascend ")</f>
        <v>Void Ascend </v>
      </c>
      <c r="G334" s="21" t="s">
        <v>1660</v>
      </c>
      <c r="H334" s="19">
        <v>3.0</v>
      </c>
      <c r="I334" s="19" t="s">
        <v>1503</v>
      </c>
      <c r="J334" s="19" t="s">
        <v>33</v>
      </c>
      <c r="L334" s="14" t="str">
        <f>IFERROR(__xludf.DUMMYFUNCTION("IF(REGEXMATCH($B334,L$1),$D334,"""")"),"")</f>
        <v/>
      </c>
      <c r="M334" s="14" t="str">
        <f>IFERROR(__xludf.DUMMYFUNCTION("IF(REGEXMATCH($B334,M$1),$D334,"""")"),"")</f>
        <v/>
      </c>
      <c r="N334" s="14" t="str">
        <f>IFERROR(__xludf.DUMMYFUNCTION("IF(REGEXMATCH($B334,N$1),$D334,"""")"),"Plant Undead")</f>
        <v>Plant Undead</v>
      </c>
      <c r="O334" s="14" t="str">
        <f>IFERROR(__xludf.DUMMYFUNCTION("IF(REGEXMATCH($B334,O$1),$D334,"""")"),"")</f>
        <v/>
      </c>
      <c r="P334" s="14" t="str">
        <f>IFERROR(__xludf.DUMMYFUNCTION("IF(REGEXMATCH($B334,P$1),$D334,"""")"),"")</f>
        <v/>
      </c>
      <c r="Q334" s="14">
        <f>IFERROR(__xludf.DUMMYFUNCTION("IF($A334="""","""",LEN(REGEXREPLACE($I334,"",\s?"","""")))"),3.0)</f>
        <v>3</v>
      </c>
      <c r="S334" s="14"/>
      <c r="T334" s="14"/>
      <c r="U334" s="14"/>
      <c r="V334" s="14"/>
      <c r="W334" s="14"/>
      <c r="X334" s="14"/>
      <c r="Y334" s="14"/>
      <c r="Z334" s="14"/>
      <c r="AA334" s="14"/>
      <c r="AB334" s="14"/>
    </row>
    <row r="335" hidden="1">
      <c r="A335" s="10" t="s">
        <v>1661</v>
      </c>
      <c r="B335" s="93" t="s">
        <v>13</v>
      </c>
      <c r="C335" s="12">
        <v>2.0</v>
      </c>
      <c r="D335" s="12" t="s">
        <v>1495</v>
      </c>
      <c r="E335" s="10" t="s">
        <v>1662</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Crystal|.*crystal.*bury""),""Empty-Crystal"","""")&amp;IF(REGEXMATCH($E335,""Move|move""),""Move"","""")"),"Demon Demon Ascend ")</f>
        <v>Demon Demon Ascend </v>
      </c>
      <c r="G335" s="13" t="s">
        <v>1663</v>
      </c>
      <c r="H335" s="12">
        <v>4.0</v>
      </c>
      <c r="I335" s="12" t="s">
        <v>1514</v>
      </c>
      <c r="J335" s="12" t="s">
        <v>69</v>
      </c>
      <c r="L335" s="14" t="str">
        <f>IFERROR(__xludf.DUMMYFUNCTION("IF(REGEXMATCH($B335,L$1),$D335,"""")"),"")</f>
        <v/>
      </c>
      <c r="M335" s="14" t="str">
        <f>IFERROR(__xludf.DUMMYFUNCTION("IF(REGEXMATCH($B335,M$1),$D335,"""")"),"")</f>
        <v/>
      </c>
      <c r="N335" s="14" t="str">
        <f>IFERROR(__xludf.DUMMYFUNCTION("IF(REGEXMATCH($B335,N$1),$D335,"""")"),"Demon Hunter")</f>
        <v>Demon Hunter</v>
      </c>
      <c r="O335" s="14" t="str">
        <f>IFERROR(__xludf.DUMMYFUNCTION("IF(REGEXMATCH($B335,O$1),$D335,"""")"),"")</f>
        <v/>
      </c>
      <c r="P335" s="14" t="str">
        <f>IFERROR(__xludf.DUMMYFUNCTION("IF(REGEXMATCH($B335,P$1),$D335,"""")"),"")</f>
        <v/>
      </c>
      <c r="Q335" s="14">
        <f>IFERROR(__xludf.DUMMYFUNCTION("IF($A335="""","""",LEN(REGEXREPLACE($I335,"",\s?"","""")))"),5.0)</f>
        <v>5</v>
      </c>
      <c r="S335" s="14"/>
      <c r="T335" s="14"/>
      <c r="U335" s="14"/>
      <c r="V335" s="14"/>
      <c r="W335" s="14"/>
      <c r="X335" s="14"/>
      <c r="Y335" s="14"/>
      <c r="Z335" s="14"/>
      <c r="AA335" s="14"/>
      <c r="AB335" s="14"/>
    </row>
    <row r="336">
      <c r="A336" s="77" t="s">
        <v>1664</v>
      </c>
      <c r="B336" s="10" t="s">
        <v>13</v>
      </c>
      <c r="C336" s="12">
        <v>1.0</v>
      </c>
      <c r="D336" s="12" t="s">
        <v>1500</v>
      </c>
      <c r="E336" s="20" t="s">
        <v>1665</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1666</v>
      </c>
      <c r="H336" s="12">
        <v>3.0</v>
      </c>
      <c r="I336" s="12" t="s">
        <v>1538</v>
      </c>
      <c r="J336" s="12" t="s">
        <v>39</v>
      </c>
      <c r="K336" s="14" t="str">
        <f>IFERROR(__xludf.DUMMYFUNCTION("IF(REGEXMATCH($B336,M$1),$D336,"""")"),"")</f>
        <v/>
      </c>
      <c r="L336" s="12" t="s">
        <v>1500</v>
      </c>
      <c r="N336" s="14" t="str">
        <f>IFERROR(__xludf.DUMMYFUNCTION("IF(REGEXMATCH($B336,N$1),$D336,"""")"),"Undead Wizard")</f>
        <v>Undead Wizard</v>
      </c>
      <c r="O336" s="14" t="str">
        <f>IFERROR(__xludf.DUMMYFUNCTION("IF(REGEXMATCH($B336,O$1),$D336,"""")"),"")</f>
        <v/>
      </c>
      <c r="P336" s="14" t="str">
        <f>IFERROR(__xludf.DUMMYFUNCTION("IF(REGEXMATCH($B336,P$1),$D336,"""")"),"")</f>
        <v/>
      </c>
      <c r="Q336" s="14">
        <f>IFERROR(__xludf.DUMMYFUNCTION("IF($A336="""","""",LEN(REGEXREPLACE($I336,"",\s?"","""")))"),6.0)</f>
        <v>6</v>
      </c>
      <c r="S336" s="14"/>
      <c r="T336" s="14"/>
      <c r="U336" s="14"/>
      <c r="V336" s="14"/>
      <c r="W336" s="14"/>
      <c r="X336" s="14"/>
      <c r="Y336" s="14"/>
      <c r="Z336" s="14"/>
      <c r="AA336" s="14"/>
      <c r="AB336" s="14"/>
    </row>
    <row r="337" hidden="1">
      <c r="A337" s="20" t="s">
        <v>1667</v>
      </c>
      <c r="B337" s="93" t="s">
        <v>13</v>
      </c>
      <c r="C337" s="12">
        <v>2.0</v>
      </c>
      <c r="D337" s="19" t="s">
        <v>1500</v>
      </c>
      <c r="E337" s="20" t="s">
        <v>1668</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1669</v>
      </c>
      <c r="H337" s="19">
        <v>2.0</v>
      </c>
      <c r="I337" s="19" t="s">
        <v>1510</v>
      </c>
      <c r="J337" s="19" t="s">
        <v>33</v>
      </c>
      <c r="L337" s="14" t="str">
        <f>IFERROR(__xludf.DUMMYFUNCTION("IF(REGEXMATCH($B337,L$1),$D337,"""")"),"")</f>
        <v/>
      </c>
      <c r="M337" s="14" t="str">
        <f>IFERROR(__xludf.DUMMYFUNCTION("IF(REGEXMATCH($B337,M$1),$D337,"""")"),"")</f>
        <v/>
      </c>
      <c r="N337" s="14" t="str">
        <f>IFERROR(__xludf.DUMMYFUNCTION("IF(REGEXMATCH($B337,N$1),$D337,"""")"),"Undead Wizard")</f>
        <v>Undead Wizard</v>
      </c>
      <c r="O337" s="14" t="str">
        <f>IFERROR(__xludf.DUMMYFUNCTION("IF(REGEXMATCH($B337,O$1),$D337,"""")"),"")</f>
        <v/>
      </c>
      <c r="P337" s="14" t="str">
        <f>IFERROR(__xludf.DUMMYFUNCTION("IF(REGEXMATCH($B337,P$1),$D337,"""")"),"")</f>
        <v/>
      </c>
      <c r="Q337" s="14">
        <f>IFERROR(__xludf.DUMMYFUNCTION("IF($A337="""","""",LEN(REGEXREPLACE($I337,"",\s?"","""")))"),2.0)</f>
        <v>2</v>
      </c>
      <c r="S337" s="14"/>
      <c r="T337" s="14"/>
      <c r="U337" s="14"/>
      <c r="V337" s="14"/>
      <c r="W337" s="14"/>
      <c r="X337" s="14"/>
      <c r="Y337" s="14"/>
      <c r="Z337" s="14"/>
      <c r="AA337" s="14"/>
      <c r="AB337" s="14"/>
    </row>
    <row r="338" hidden="1">
      <c r="A338" s="20" t="s">
        <v>1670</v>
      </c>
      <c r="B338" s="94" t="s">
        <v>13</v>
      </c>
      <c r="C338" s="19">
        <v>2.0</v>
      </c>
      <c r="D338" s="19" t="s">
        <v>167</v>
      </c>
      <c r="E338" s="20" t="s">
        <v>1671</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f>
        <v/>
      </c>
      <c r="G338" s="21" t="s">
        <v>1672</v>
      </c>
      <c r="H338" s="19">
        <v>0.0</v>
      </c>
      <c r="I338" s="19" t="s">
        <v>1498</v>
      </c>
      <c r="J338" s="19" t="s">
        <v>69</v>
      </c>
      <c r="L338" s="14" t="str">
        <f>IFERROR(__xludf.DUMMYFUNCTION("IF(REGEXMATCH($B338,L$1),$D338,"""")"),"")</f>
        <v/>
      </c>
      <c r="M338" s="14" t="str">
        <f>IFERROR(__xludf.DUMMYFUNCTION("IF(REGEXMATCH($B338,M$1),$D338,"""")"),"")</f>
        <v/>
      </c>
      <c r="N338" s="14" t="str">
        <f>IFERROR(__xludf.DUMMYFUNCTION("IF(REGEXMATCH($B338,N$1),$D338,"""")"),"Construct Demon")</f>
        <v>Construct Demon</v>
      </c>
      <c r="O338" s="14" t="str">
        <f>IFERROR(__xludf.DUMMYFUNCTION("IF(REGEXMATCH($B338,O$1),$D338,"""")"),"")</f>
        <v/>
      </c>
      <c r="P338" s="14" t="str">
        <f>IFERROR(__xludf.DUMMYFUNCTION("IF(REGEXMATCH($B338,P$1),$D338,"""")"),"")</f>
        <v/>
      </c>
      <c r="Q338" s="14">
        <f>IFERROR(__xludf.DUMMYFUNCTION("IF($A338="""","""",LEN(REGEXREPLACE($I338,"",\s?"","""")))"),4.0)</f>
        <v>4</v>
      </c>
      <c r="S338" s="14"/>
      <c r="T338" s="14"/>
      <c r="U338" s="14"/>
      <c r="V338" s="14"/>
      <c r="W338" s="14"/>
      <c r="X338" s="14"/>
      <c r="Y338" s="14"/>
      <c r="Z338" s="14"/>
      <c r="AA338" s="14"/>
      <c r="AB338" s="14"/>
    </row>
    <row r="339" hidden="1">
      <c r="A339" s="53" t="s">
        <v>1673</v>
      </c>
      <c r="B339" s="53"/>
      <c r="C339" s="56">
        <v>2.0</v>
      </c>
      <c r="D339" s="56" t="s">
        <v>1674</v>
      </c>
      <c r="E339" s="57" t="s">
        <v>1675</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Crystal|.*crystal.*bury""),""Empty-Crystal"","""")&amp;IF(REGEXMATCH($E339,""Move|move""),""Move"","""")"),"Control Empty-Crystal")</f>
        <v>Control Empty-Crystal</v>
      </c>
      <c r="G339" s="58" t="s">
        <v>1676</v>
      </c>
      <c r="H339" s="59">
        <v>3.0</v>
      </c>
      <c r="I339" s="56" t="s">
        <v>1677</v>
      </c>
      <c r="J339" s="56"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IFERROR(__xludf.DUMMYFUNCTION("IF($A339="""","""",LEN(REGEXREPLACE($I339,"",\s?"","""")))"),1.0)</f>
        <v>1</v>
      </c>
      <c r="S339" s="14"/>
      <c r="T339" s="14"/>
      <c r="U339" s="14"/>
      <c r="V339" s="14"/>
      <c r="W339" s="14"/>
      <c r="X339" s="14"/>
      <c r="Y339" s="14"/>
      <c r="Z339" s="14"/>
      <c r="AA339" s="14"/>
      <c r="AB339" s="14"/>
    </row>
    <row r="340">
      <c r="A340" s="10" t="s">
        <v>1678</v>
      </c>
      <c r="B340" s="10"/>
      <c r="C340" s="12">
        <v>1.0</v>
      </c>
      <c r="D340" s="12" t="s">
        <v>60</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3" t="s">
        <v>1679</v>
      </c>
      <c r="H340" s="12">
        <v>6.0</v>
      </c>
      <c r="I340" s="12" t="s">
        <v>1680</v>
      </c>
      <c r="J340" s="12" t="s">
        <v>33</v>
      </c>
      <c r="L340" s="12" t="s">
        <v>60</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IFERROR(__xludf.DUMMYFUNCTION("IF($A340="""","""",LEN(REGEXREPLACE($I340,"",\s?"","""")))"),7.0)</f>
        <v>7</v>
      </c>
      <c r="S340" s="14"/>
      <c r="T340" s="14"/>
      <c r="U340" s="14"/>
      <c r="V340" s="14"/>
      <c r="W340" s="14"/>
      <c r="X340" s="14"/>
      <c r="Y340" s="14"/>
      <c r="Z340" s="14"/>
      <c r="AA340" s="14"/>
      <c r="AB340" s="14"/>
    </row>
    <row r="341" hidden="1">
      <c r="A341" s="20" t="s">
        <v>1681</v>
      </c>
      <c r="C341" s="19">
        <v>2.0</v>
      </c>
      <c r="D341" s="19" t="s">
        <v>1355</v>
      </c>
      <c r="E341" s="20" t="s">
        <v>252</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21" t="s">
        <v>1682</v>
      </c>
      <c r="H341" s="19">
        <v>2.0</v>
      </c>
      <c r="I341" s="19" t="s">
        <v>1683</v>
      </c>
      <c r="J341" s="19"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IFERROR(__xludf.DUMMYFUNCTION("IF($A341="""","""",LEN(REGEXREPLACE($I341,"",\s?"","""")))"),3.0)</f>
        <v>3</v>
      </c>
      <c r="S341" s="14"/>
      <c r="T341" s="14"/>
      <c r="U341" s="14"/>
      <c r="V341" s="14"/>
      <c r="W341" s="14"/>
      <c r="X341" s="14"/>
      <c r="Y341" s="14"/>
      <c r="Z341" s="14"/>
      <c r="AA341" s="14"/>
      <c r="AB341" s="14"/>
    </row>
    <row r="342" hidden="1">
      <c r="A342" s="53" t="s">
        <v>1684</v>
      </c>
      <c r="B342" s="53"/>
      <c r="C342" s="56">
        <v>2.0</v>
      </c>
      <c r="D342" s="56" t="s">
        <v>1633</v>
      </c>
      <c r="E342" s="57" t="s">
        <v>1685</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Crystal|.*crystal.*bury""),""Empty-Crystal"","""")&amp;IF(REGEXMATCH($E342,""Move|move""),""Move"","""")"),"Control Empty-Crystal")</f>
        <v>Control Empty-Crystal</v>
      </c>
      <c r="G342" s="58" t="s">
        <v>1686</v>
      </c>
      <c r="H342" s="56">
        <v>9.0</v>
      </c>
      <c r="I342" s="56" t="s">
        <v>1687</v>
      </c>
      <c r="J342" s="5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IFERROR(__xludf.DUMMYFUNCTION("IF($A342="""","""",LEN(REGEXREPLACE($I342,"",\s?"","""")))"),6.0)</f>
        <v>6</v>
      </c>
      <c r="S342" s="14"/>
      <c r="T342" s="14"/>
      <c r="U342" s="14"/>
      <c r="V342" s="14"/>
      <c r="W342" s="14"/>
      <c r="X342" s="14"/>
      <c r="Y342" s="14"/>
      <c r="Z342" s="14"/>
      <c r="AA342" s="14"/>
      <c r="AB342" s="14"/>
    </row>
    <row r="343" hidden="1">
      <c r="A343" s="53" t="s">
        <v>1688</v>
      </c>
      <c r="B343" s="53"/>
      <c r="C343" s="56">
        <v>2.0</v>
      </c>
      <c r="D343" s="56" t="s">
        <v>1689</v>
      </c>
      <c r="E343" s="98" t="s">
        <v>1690</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Crystal|.*crystal.*bury""),""Empty-Crystal"","""")&amp;IF(REGEXMATCH($E343,""Move|move""),""Move"","""")"),"Ramp Control Empty-Crystal")</f>
        <v>Ramp Control Empty-Crystal</v>
      </c>
      <c r="G343" s="58" t="s">
        <v>1691</v>
      </c>
      <c r="H343" s="56">
        <v>6.0</v>
      </c>
      <c r="I343" s="56" t="s">
        <v>1692</v>
      </c>
      <c r="J343" s="59" t="s">
        <v>33</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IFERROR(__xludf.DUMMYFUNCTION("IF($A343="""","""",LEN(REGEXREPLACE($I343,"",\s?"","""")))"),4.0)</f>
        <v>4</v>
      </c>
      <c r="S343" s="14"/>
      <c r="T343" s="14"/>
      <c r="U343" s="14"/>
      <c r="V343" s="14"/>
      <c r="W343" s="14"/>
      <c r="X343" s="14"/>
      <c r="Y343" s="14"/>
      <c r="Z343" s="14"/>
      <c r="AA343" s="14"/>
      <c r="AB343" s="14"/>
    </row>
    <row r="344" hidden="1">
      <c r="A344" s="20" t="s">
        <v>1693</v>
      </c>
      <c r="B344" s="20"/>
      <c r="C344" s="19">
        <v>2.0</v>
      </c>
      <c r="D344" s="19"/>
      <c r="E344" s="20" t="s">
        <v>1694</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Crystal|.*crystal.*bury""),""Empty-Crystal"","""")&amp;IF(REGEXMATCH($E344,""Move|move""),""Move"","""")"),"Ascend ")</f>
        <v>Ascend </v>
      </c>
      <c r="G344" s="21" t="s">
        <v>1695</v>
      </c>
      <c r="H344" s="19">
        <v>2.0</v>
      </c>
      <c r="I344" s="19" t="s">
        <v>1683</v>
      </c>
      <c r="J344" s="19" t="s">
        <v>69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IFERROR(__xludf.DUMMYFUNCTION("IF($A344="""","""",LEN(REGEXREPLACE($I344,"",\s?"","""")))"),3.0)</f>
        <v>3</v>
      </c>
      <c r="S344" s="14"/>
      <c r="T344" s="14"/>
      <c r="U344" s="14"/>
      <c r="V344" s="14"/>
      <c r="W344" s="14"/>
      <c r="X344" s="14"/>
      <c r="Y344" s="14"/>
      <c r="Z344" s="14"/>
      <c r="AA344" s="14"/>
      <c r="AB344" s="14"/>
    </row>
    <row r="345">
      <c r="A345" s="99" t="s">
        <v>1696</v>
      </c>
      <c r="B345" s="10"/>
      <c r="C345" s="12">
        <v>1.0</v>
      </c>
      <c r="D345" s="24" t="s">
        <v>77</v>
      </c>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13" t="s">
        <v>1697</v>
      </c>
      <c r="H345" s="12">
        <v>3.0</v>
      </c>
      <c r="I345" s="12" t="s">
        <v>1692</v>
      </c>
      <c r="J345" s="24" t="s">
        <v>33</v>
      </c>
      <c r="L345" s="24" t="s">
        <v>77</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f>IFERROR(__xludf.DUMMYFUNCTION("IF($A345="""","""",LEN(REGEXREPLACE($I345,"",\s?"","""")))"),4.0)</f>
        <v>4</v>
      </c>
      <c r="S345" s="14"/>
      <c r="T345" s="14"/>
      <c r="U345" s="14"/>
      <c r="V345" s="14"/>
      <c r="W345" s="14"/>
      <c r="X345" s="14"/>
      <c r="Y345" s="14"/>
      <c r="Z345" s="14"/>
      <c r="AA345" s="14"/>
      <c r="AB345" s="14"/>
    </row>
    <row r="346" hidden="1">
      <c r="A346" s="20" t="s">
        <v>1698</v>
      </c>
      <c r="B346" s="20"/>
      <c r="C346" s="19">
        <v>2.0</v>
      </c>
      <c r="D346" s="19" t="s">
        <v>1699</v>
      </c>
      <c r="E346" s="20" t="s">
        <v>1700</v>
      </c>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21" t="s">
        <v>857</v>
      </c>
      <c r="H346" s="19">
        <v>0.0</v>
      </c>
      <c r="I346" s="19" t="s">
        <v>1683</v>
      </c>
      <c r="J346" s="19" t="s">
        <v>69</v>
      </c>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f>IFERROR(__xludf.DUMMYFUNCTION("IF($A346="""","""",LEN(REGEXREPLACE($I346,"",\s?"","""")))"),3.0)</f>
        <v>3</v>
      </c>
      <c r="S346" s="14"/>
      <c r="T346" s="14"/>
      <c r="U346" s="14"/>
      <c r="V346" s="14"/>
      <c r="W346" s="14"/>
      <c r="X346" s="14"/>
      <c r="Y346" s="14"/>
      <c r="Z346" s="14"/>
      <c r="AA346" s="14"/>
      <c r="AB346" s="14"/>
    </row>
    <row r="347">
      <c r="A347" s="10" t="s">
        <v>1701</v>
      </c>
      <c r="B347" s="10"/>
      <c r="C347" s="19">
        <v>1.0</v>
      </c>
      <c r="D347" s="12"/>
      <c r="E347" s="10" t="s">
        <v>1702</v>
      </c>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13" t="s">
        <v>1703</v>
      </c>
      <c r="H347" s="12">
        <v>2.0</v>
      </c>
      <c r="I347" s="12" t="s">
        <v>1704</v>
      </c>
      <c r="J347" s="12" t="s">
        <v>39</v>
      </c>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f>IFERROR(__xludf.DUMMYFUNCTION("IF($A347="""","""",LEN(REGEXREPLACE($I347,"",\s?"","""")))"),2.0)</f>
        <v>2</v>
      </c>
      <c r="S347" s="14"/>
      <c r="T347" s="14"/>
      <c r="U347" s="14"/>
      <c r="V347" s="14"/>
      <c r="W347" s="14"/>
      <c r="X347" s="14"/>
      <c r="Y347" s="14"/>
      <c r="Z347" s="14"/>
      <c r="AA347" s="14"/>
      <c r="AB347" s="14"/>
    </row>
    <row r="348">
      <c r="A348" s="10" t="s">
        <v>1705</v>
      </c>
      <c r="B348" s="20"/>
      <c r="C348" s="19">
        <v>1.0</v>
      </c>
      <c r="D348" s="12"/>
      <c r="E348" s="10" t="s">
        <v>1706</v>
      </c>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13" t="s">
        <v>1707</v>
      </c>
      <c r="H348" s="12">
        <v>2.0</v>
      </c>
      <c r="I348" s="12" t="s">
        <v>1704</v>
      </c>
      <c r="J348" s="12" t="s">
        <v>39</v>
      </c>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f>IFERROR(__xludf.DUMMYFUNCTION("IF($A348="""","""",LEN(REGEXREPLACE($I348,"",\s?"","""")))"),2.0)</f>
        <v>2</v>
      </c>
      <c r="S348" s="14"/>
      <c r="T348" s="14"/>
      <c r="U348" s="14"/>
      <c r="V348" s="14"/>
      <c r="W348" s="14"/>
      <c r="X348" s="14"/>
      <c r="Y348" s="14"/>
      <c r="Z348" s="14"/>
      <c r="AA348" s="14"/>
      <c r="AB348" s="14"/>
    </row>
    <row r="349">
      <c r="A349" s="20" t="s">
        <v>1708</v>
      </c>
      <c r="C349" s="19">
        <v>1.0</v>
      </c>
      <c r="D349" s="19" t="s">
        <v>121</v>
      </c>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0"/>
      <c r="H349" s="19">
        <v>5.0</v>
      </c>
      <c r="I349" s="19" t="s">
        <v>1089</v>
      </c>
      <c r="J349" s="100"/>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f>IFERROR(__xludf.DUMMYFUNCTION("IF($A349="""","""",LEN(REGEXREPLACE($I349,"",\s?"","""")))"),5.0)</f>
        <v>5</v>
      </c>
      <c r="S349" s="14"/>
      <c r="T349" s="14"/>
      <c r="U349" s="14"/>
      <c r="V349" s="14"/>
      <c r="W349" s="14"/>
      <c r="X349" s="14"/>
      <c r="Y349" s="14"/>
      <c r="Z349" s="14"/>
      <c r="AA349" s="14"/>
      <c r="AB349" s="14"/>
    </row>
    <row r="350">
      <c r="A350" s="20" t="s">
        <v>1709</v>
      </c>
      <c r="C350" s="19">
        <v>1.0</v>
      </c>
      <c r="D350" s="19" t="s">
        <v>1710</v>
      </c>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0"/>
      <c r="H350" s="19">
        <v>7.0</v>
      </c>
      <c r="I350" s="19" t="s">
        <v>1711</v>
      </c>
      <c r="J350" s="100"/>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f>IFERROR(__xludf.DUMMYFUNCTION("IF($A350="""","""",LEN(REGEXREPLACE($I350,"",\s?"","""")))"),7.0)</f>
        <v>7</v>
      </c>
      <c r="S350" s="14"/>
      <c r="T350" s="14"/>
      <c r="U350" s="14"/>
      <c r="V350" s="14"/>
      <c r="W350" s="14"/>
      <c r="X350" s="14"/>
      <c r="Y350" s="14"/>
      <c r="Z350" s="14"/>
      <c r="AA350" s="14"/>
      <c r="AB350" s="14"/>
    </row>
    <row r="351">
      <c r="A351" s="20" t="s">
        <v>1712</v>
      </c>
      <c r="C351" s="19">
        <v>1.0</v>
      </c>
      <c r="D351" s="19" t="s">
        <v>1096</v>
      </c>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0"/>
      <c r="H351" s="19">
        <v>4.0</v>
      </c>
      <c r="I351" s="19" t="s">
        <v>567</v>
      </c>
      <c r="J351" s="100"/>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f>IFERROR(__xludf.DUMMYFUNCTION("IF($A351="""","""",LEN(REGEXREPLACE($I351,"",\s?"","""")))"),4.0)</f>
        <v>4</v>
      </c>
      <c r="S351" s="14"/>
      <c r="T351" s="14"/>
      <c r="U351" s="14"/>
      <c r="V351" s="14"/>
      <c r="W351" s="14"/>
      <c r="X351" s="14"/>
      <c r="Y351" s="14"/>
      <c r="Z351" s="14"/>
      <c r="AA351" s="14"/>
      <c r="AB351" s="14"/>
    </row>
    <row r="352">
      <c r="A352" s="20" t="s">
        <v>1713</v>
      </c>
      <c r="C352" s="19">
        <v>1.0</v>
      </c>
      <c r="D352" s="19" t="s">
        <v>1309</v>
      </c>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0"/>
      <c r="H352" s="19">
        <v>2.0</v>
      </c>
      <c r="I352" s="19" t="s">
        <v>1510</v>
      </c>
      <c r="J352" s="100"/>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f>IFERROR(__xludf.DUMMYFUNCTION("IF($A352="""","""",LEN(REGEXREPLACE($I352,"",\s?"","""")))"),2.0)</f>
        <v>2</v>
      </c>
      <c r="S352" s="14"/>
      <c r="T352" s="14"/>
      <c r="U352" s="14"/>
      <c r="V352" s="14"/>
      <c r="W352" s="14"/>
      <c r="X352" s="14"/>
      <c r="Y352" s="14"/>
      <c r="Z352" s="14"/>
      <c r="AA352" s="14"/>
      <c r="AB352" s="14"/>
    </row>
    <row r="353">
      <c r="A353" s="20" t="s">
        <v>1714</v>
      </c>
      <c r="C353" s="19">
        <v>1.0</v>
      </c>
      <c r="D353" s="19" t="s">
        <v>564</v>
      </c>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0"/>
      <c r="H353" s="19">
        <v>6.0</v>
      </c>
      <c r="I353" s="19" t="s">
        <v>179</v>
      </c>
      <c r="J353" s="100"/>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f>IFERROR(__xludf.DUMMYFUNCTION("IF($A353="""","""",LEN(REGEXREPLACE($I353,"",\s?"","""")))"),6.0)</f>
        <v>6</v>
      </c>
      <c r="S353" s="14"/>
      <c r="T353" s="14"/>
      <c r="U353" s="14"/>
      <c r="V353" s="14"/>
      <c r="W353" s="14"/>
      <c r="X353" s="14"/>
      <c r="Y353" s="14"/>
      <c r="Z353" s="14"/>
      <c r="AA353" s="14"/>
      <c r="AB353" s="14"/>
    </row>
    <row r="354">
      <c r="A354" s="20" t="s">
        <v>1715</v>
      </c>
      <c r="C354" s="19">
        <v>1.0</v>
      </c>
      <c r="D354" s="19" t="s">
        <v>272</v>
      </c>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0"/>
      <c r="H354" s="19">
        <v>1.0</v>
      </c>
      <c r="I354" s="19" t="s">
        <v>1324</v>
      </c>
      <c r="J354" s="100"/>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f>IFERROR(__xludf.DUMMYFUNCTION("IF($A354="""","""",LEN(REGEXREPLACE($I354,"",\s?"","""")))"),1.0)</f>
        <v>1</v>
      </c>
      <c r="S354" s="14"/>
      <c r="T354" s="14"/>
      <c r="U354" s="14"/>
      <c r="V354" s="14"/>
      <c r="W354" s="14"/>
      <c r="X354" s="14"/>
      <c r="Y354" s="14"/>
      <c r="Z354" s="14"/>
      <c r="AA354" s="14"/>
      <c r="AB354" s="14"/>
    </row>
    <row r="355">
      <c r="A355" s="20" t="s">
        <v>1716</v>
      </c>
      <c r="C355" s="19">
        <v>1.0</v>
      </c>
      <c r="D355" s="19" t="s">
        <v>221</v>
      </c>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0"/>
      <c r="H355" s="19">
        <v>3.0</v>
      </c>
      <c r="I355" s="19" t="s">
        <v>426</v>
      </c>
      <c r="J355" s="100"/>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f>IFERROR(__xludf.DUMMYFUNCTION("IF($A355="""","""",LEN(REGEXREPLACE($I355,"",\s?"","""")))"),3.0)</f>
        <v>3</v>
      </c>
      <c r="S355" s="14"/>
      <c r="T355" s="14"/>
      <c r="U355" s="14"/>
      <c r="V355" s="14"/>
      <c r="W355" s="14"/>
      <c r="X355" s="14"/>
      <c r="Y355" s="14"/>
      <c r="Z355" s="14"/>
      <c r="AA355" s="14"/>
      <c r="AB355" s="14"/>
    </row>
    <row r="356">
      <c r="C356" s="100"/>
      <c r="D356" s="100"/>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0"/>
      <c r="H356" s="19"/>
      <c r="I356" s="100"/>
      <c r="J356" s="100"/>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100"/>
      <c r="D357" s="100"/>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0"/>
      <c r="H357" s="100"/>
      <c r="I357" s="100"/>
      <c r="J357" s="100"/>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100"/>
      <c r="D358" s="100"/>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0"/>
      <c r="H358" s="100"/>
      <c r="I358" s="100"/>
      <c r="J358" s="100"/>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100"/>
      <c r="D359" s="100"/>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0"/>
      <c r="H359" s="100"/>
      <c r="I359" s="100"/>
      <c r="J359" s="100"/>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100"/>
      <c r="D360" s="100"/>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0"/>
      <c r="H360" s="100"/>
      <c r="I360" s="100"/>
      <c r="J360" s="100"/>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100"/>
      <c r="D361" s="100"/>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0"/>
      <c r="H361" s="100"/>
      <c r="I361" s="100"/>
      <c r="J361" s="100"/>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100"/>
      <c r="D362" s="100"/>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0"/>
      <c r="H362" s="100"/>
      <c r="I362" s="100"/>
      <c r="J362" s="100"/>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100"/>
      <c r="D363" s="100"/>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0"/>
      <c r="H363" s="100"/>
      <c r="I363" s="100"/>
      <c r="J363" s="100"/>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100"/>
      <c r="D364" s="100"/>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0"/>
      <c r="H364" s="100"/>
      <c r="I364" s="100"/>
      <c r="J364" s="100"/>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100"/>
      <c r="D365" s="100"/>
      <c r="F365" s="10" t="str">
        <f>IFERROR(__xludf.DUMMYFUNCTION("IF($J365=""Common"",IF(REGEXMATCH($E365,""Wizard""),""Wizard "","""")&amp;IF(REGEXMATCH($E365,""Construct""),""Construct "","""")&amp;IF(REGEXMATCH($E365,""Insect""),""Insect "","""")&amp;IF(REGEXMATCH($E365,""Dragon""),""Dragon "","""")&amp;IF(REGEXMATCH($E365,""Human"""&amp;"),""Human "","""")&amp;IF(REGEXMATCH($E365,""Hunter""),""Hunter "","""")&amp;IF(REGEXMATCH($E365,""Animal""),""Animal "","""")&amp;IF(REGEXMATCH($E365,""Undead""),""Undead "","""")&amp;IF(REGEXMATCH($E365,""Plant""),""Plant "","""")&amp;IF(REGEXMATCH($E365,""Dinosaur""),""Di"&amp;"nosaur "","""")&amp;IF(REGEXMATCH($E365,""Warrior""),""Warrior "","""")&amp;IF(REGEXMATCH($E365,""Spirit""),""Spirit "","""")&amp;IF(REGEXMATCH($E365,""Angel""),""Angel "","""")&amp;IF(REGEXMATCH($E365,""Demon""),""Demon "","""")&amp;IF(REGEXMATCH($E365,""Divine""),""Divine "&amp;""","""")&amp;IF(REGEXMATCH($E365,""Elemental""),""Elemental "","""")&amp;IF(REGEXMATCH($E365,""Nature""),""Nature "","""")&amp;IF(REGEXMATCH($E365,""Mortal""),""Mortal "","""")&amp;IF(REGEXMATCH($E365,""Void""),""Void "","""")&amp;IF(REGEXMATCH($E365,""Unearth|Ambush|Ritual|"&amp;"unearth|ambush|ritual""),""Unearth "","""")&amp;IF(REGEXMATCH($E365,""Unleash|Crystallize|all realms|Crystalborn|crystallize""),""Ramp "","""")&amp;IF(REGEXMATCH($E365,""Demon""),""Demon "","""")&amp;IF(REGEXMATCH($E365,""bury|buries|Bury|Buries|Cleanse|puts a Unit|t"&amp;"rail|Trail""),""Control "","""")&amp;IF(REGEXMATCH($E365,""Bounce|Return|Copy|bounce|return|copy""),""Copy "","""")&amp;IF(REGEXMATCH($E365,""conquer|Conquer|leading in lanes|lead by""),""Aggro "","""")&amp;IF(REGEXMATCH($E365,""Ascend|ascend""),""Ascend "","""")&amp;IF("&amp;"REGEXMATCH($E365,""Bury .+ Crystal|.*crystal.*bury""),""Empty-Crystal"","""")&amp;IF(REGEXMATCH($E365,""Move|move""),""Move"",""""),"""")"),"")</f>
        <v/>
      </c>
      <c r="G365" s="50"/>
      <c r="H365" s="100"/>
      <c r="I365" s="100"/>
      <c r="J365" s="100"/>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100"/>
      <c r="D366" s="100"/>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0"/>
      <c r="H366" s="100"/>
      <c r="I366" s="100"/>
      <c r="J366" s="100"/>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100"/>
      <c r="D367" s="100"/>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0"/>
      <c r="H367" s="100"/>
      <c r="I367" s="100"/>
      <c r="J367" s="100"/>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100"/>
      <c r="D368" s="100"/>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0"/>
      <c r="H368" s="100"/>
      <c r="I368" s="100"/>
      <c r="J368" s="100"/>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100"/>
      <c r="D369" s="100"/>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0"/>
      <c r="H369" s="100"/>
      <c r="I369" s="100"/>
      <c r="J369" s="100"/>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100"/>
      <c r="D370" s="100"/>
      <c r="G370" s="50"/>
      <c r="H370" s="100"/>
      <c r="I370" s="100"/>
      <c r="J370" s="100"/>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100"/>
      <c r="D371" s="100"/>
      <c r="G371" s="50"/>
      <c r="H371" s="100"/>
      <c r="I371" s="100"/>
      <c r="J371" s="100"/>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100"/>
      <c r="D372" s="100"/>
      <c r="G372" s="50"/>
      <c r="H372" s="100"/>
      <c r="I372" s="100"/>
      <c r="J372" s="100"/>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100"/>
      <c r="D373" s="100"/>
      <c r="G373" s="50"/>
      <c r="H373" s="100"/>
      <c r="I373" s="100"/>
      <c r="J373" s="100"/>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100"/>
      <c r="D374" s="100"/>
      <c r="G374" s="50"/>
      <c r="H374" s="100"/>
      <c r="I374" s="100"/>
      <c r="J374" s="100"/>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100"/>
      <c r="D375" s="100"/>
      <c r="G375" s="50"/>
      <c r="H375" s="100"/>
      <c r="I375" s="100"/>
      <c r="J375" s="100"/>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100"/>
      <c r="D376" s="100"/>
      <c r="G376" s="50"/>
      <c r="H376" s="100"/>
      <c r="I376" s="100"/>
      <c r="J376" s="100"/>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100"/>
      <c r="D377" s="100"/>
      <c r="G377" s="50"/>
      <c r="H377" s="100"/>
      <c r="I377" s="100"/>
      <c r="J377" s="100"/>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100"/>
      <c r="D378" s="100"/>
      <c r="G378" s="50"/>
      <c r="H378" s="100"/>
      <c r="I378" s="100"/>
      <c r="J378" s="100"/>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100"/>
      <c r="D379" s="100"/>
      <c r="G379" s="50"/>
      <c r="H379" s="100"/>
      <c r="I379" s="100"/>
      <c r="J379" s="100"/>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100"/>
      <c r="D380" s="100"/>
      <c r="G380" s="50"/>
      <c r="H380" s="100"/>
      <c r="I380" s="100"/>
      <c r="J380" s="100"/>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100"/>
      <c r="D381" s="100"/>
      <c r="G381" s="50"/>
      <c r="H381" s="100"/>
      <c r="I381" s="100"/>
      <c r="J381" s="100"/>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100"/>
      <c r="D382" s="100"/>
      <c r="G382" s="50"/>
      <c r="H382" s="100"/>
      <c r="I382" s="100"/>
      <c r="J382" s="100"/>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100"/>
      <c r="D383" s="100"/>
      <c r="G383" s="50"/>
      <c r="H383" s="100"/>
      <c r="I383" s="100"/>
      <c r="J383" s="100"/>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100"/>
      <c r="D384" s="100"/>
      <c r="G384" s="50"/>
      <c r="H384" s="100"/>
      <c r="I384" s="100"/>
      <c r="J384" s="100"/>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100"/>
      <c r="D385" s="100"/>
      <c r="G385" s="50"/>
      <c r="H385" s="100"/>
      <c r="I385" s="100"/>
      <c r="J385" s="100"/>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100"/>
      <c r="D386" s="100"/>
      <c r="G386" s="50"/>
      <c r="H386" s="100"/>
      <c r="I386" s="100"/>
      <c r="J386" s="100"/>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100"/>
      <c r="D387" s="100"/>
      <c r="G387" s="50"/>
      <c r="H387" s="100"/>
      <c r="I387" s="100"/>
      <c r="J387" s="100"/>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100"/>
      <c r="D388" s="100"/>
      <c r="G388" s="50"/>
      <c r="H388" s="100"/>
      <c r="I388" s="100"/>
      <c r="J388" s="100"/>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100"/>
      <c r="D389" s="100"/>
      <c r="G389" s="50"/>
      <c r="H389" s="100"/>
      <c r="I389" s="100"/>
      <c r="J389" s="100"/>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100"/>
      <c r="D390" s="100"/>
      <c r="G390" s="50"/>
      <c r="H390" s="100"/>
      <c r="I390" s="100"/>
      <c r="J390" s="100"/>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100"/>
      <c r="D391" s="100"/>
      <c r="G391" s="50"/>
      <c r="H391" s="100"/>
      <c r="I391" s="100"/>
      <c r="J391" s="100"/>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100"/>
      <c r="D392" s="100"/>
      <c r="G392" s="50"/>
      <c r="H392" s="100"/>
      <c r="I392" s="100"/>
      <c r="J392" s="100"/>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100"/>
      <c r="D393" s="100"/>
      <c r="G393" s="50"/>
      <c r="H393" s="100"/>
      <c r="I393" s="100"/>
      <c r="J393" s="100"/>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100"/>
      <c r="D394" s="100"/>
      <c r="G394" s="50"/>
      <c r="H394" s="100"/>
      <c r="I394" s="100"/>
      <c r="J394" s="100"/>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100"/>
      <c r="D395" s="100"/>
      <c r="G395" s="50"/>
      <c r="H395" s="100"/>
      <c r="I395" s="100"/>
      <c r="J395" s="100"/>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100"/>
      <c r="D396" s="100"/>
      <c r="G396" s="50"/>
      <c r="H396" s="100"/>
      <c r="I396" s="100"/>
      <c r="J396" s="100"/>
      <c r="Q396" s="14" t="str">
        <f>IFERROR(__xludf.DUMMYFUNCTION("IF($A396="""","""",LEN(REGEXREPLACE($I396,"",\s?"","""")))"),"")</f>
        <v/>
      </c>
      <c r="S396" s="14"/>
      <c r="T396" s="14"/>
      <c r="U396" s="14"/>
      <c r="V396" s="14"/>
      <c r="W396" s="14"/>
      <c r="X396" s="14"/>
      <c r="Y396" s="14"/>
      <c r="Z396" s="14"/>
      <c r="AA396" s="14"/>
      <c r="AB396" s="14"/>
    </row>
    <row r="397">
      <c r="C397" s="100"/>
      <c r="D397" s="100"/>
      <c r="G397" s="50"/>
      <c r="H397" s="100"/>
      <c r="I397" s="100"/>
      <c r="J397" s="100"/>
      <c r="Q397" s="14" t="str">
        <f>IFERROR(__xludf.DUMMYFUNCTION("IF($A397="""","""",LEN(REGEXREPLACE($I397,"",\s?"","""")))"),"")</f>
        <v/>
      </c>
      <c r="S397" s="14"/>
      <c r="T397" s="14"/>
      <c r="U397" s="14"/>
      <c r="V397" s="14"/>
      <c r="W397" s="14"/>
      <c r="X397" s="14"/>
      <c r="Y397" s="14"/>
      <c r="Z397" s="14"/>
      <c r="AA397" s="14"/>
      <c r="AB397" s="14"/>
    </row>
    <row r="398">
      <c r="C398" s="100"/>
      <c r="D398" s="100"/>
      <c r="G398" s="50"/>
      <c r="H398" s="100"/>
      <c r="I398" s="100"/>
      <c r="J398" s="100"/>
      <c r="Q398" s="14" t="str">
        <f>IFERROR(__xludf.DUMMYFUNCTION("IF($A398="""","""",LEN(REGEXREPLACE($I398,"",\s?"","""")))"),"")</f>
        <v/>
      </c>
      <c r="S398" s="14"/>
      <c r="T398" s="14"/>
      <c r="U398" s="14"/>
      <c r="V398" s="14"/>
      <c r="W398" s="14"/>
      <c r="X398" s="14"/>
      <c r="Y398" s="14"/>
      <c r="Z398" s="14"/>
      <c r="AA398" s="14"/>
      <c r="AB398" s="14"/>
    </row>
    <row r="399">
      <c r="C399" s="100"/>
      <c r="D399" s="100"/>
      <c r="G399" s="50"/>
      <c r="H399" s="100"/>
      <c r="I399" s="100"/>
      <c r="J399" s="100"/>
      <c r="Q399" s="14" t="str">
        <f>IFERROR(__xludf.DUMMYFUNCTION("IF($A399="""","""",LEN(REGEXREPLACE($I399,"",\s?"","""")))"),"")</f>
        <v/>
      </c>
      <c r="S399" s="14"/>
      <c r="T399" s="14"/>
      <c r="U399" s="14"/>
      <c r="V399" s="14"/>
      <c r="W399" s="14"/>
      <c r="X399" s="14"/>
      <c r="Y399" s="14"/>
      <c r="Z399" s="14"/>
      <c r="AA399" s="14"/>
      <c r="AB399" s="14"/>
    </row>
    <row r="400">
      <c r="C400" s="100"/>
      <c r="D400" s="100"/>
      <c r="G400" s="50"/>
      <c r="H400" s="100"/>
      <c r="I400" s="100"/>
      <c r="J400" s="100"/>
      <c r="Q400" s="14" t="str">
        <f>IFERROR(__xludf.DUMMYFUNCTION("IF($A400="""","""",LEN(REGEXREPLACE($I400,"",\s?"","""")))"),"")</f>
        <v/>
      </c>
      <c r="S400" s="14"/>
      <c r="T400" s="14"/>
      <c r="U400" s="14"/>
      <c r="V400" s="14"/>
      <c r="W400" s="14"/>
      <c r="X400" s="14"/>
      <c r="Y400" s="14"/>
      <c r="Z400" s="14"/>
      <c r="AA400" s="14"/>
      <c r="AB400" s="14"/>
    </row>
    <row r="401">
      <c r="C401" s="100"/>
      <c r="D401" s="100"/>
      <c r="G401" s="50"/>
      <c r="H401" s="100"/>
      <c r="I401" s="100"/>
      <c r="J401" s="100"/>
      <c r="Q401" s="14" t="str">
        <f>IFERROR(__xludf.DUMMYFUNCTION("IF($A401="""","""",LEN(REGEXREPLACE($I401,"",\s?"","""")))"),"")</f>
        <v/>
      </c>
      <c r="S401" s="14"/>
      <c r="T401" s="14"/>
      <c r="U401" s="14"/>
      <c r="V401" s="14"/>
      <c r="W401" s="14"/>
      <c r="X401" s="14"/>
      <c r="Y401" s="14"/>
      <c r="Z401" s="14"/>
      <c r="AA401" s="14"/>
      <c r="AB401" s="14"/>
    </row>
    <row r="402">
      <c r="C402" s="100"/>
      <c r="D402" s="100"/>
      <c r="G402" s="50"/>
      <c r="H402" s="100"/>
      <c r="I402" s="100"/>
      <c r="J402" s="100"/>
      <c r="Q402" s="14" t="str">
        <f>IFERROR(__xludf.DUMMYFUNCTION("IF($A402="""","""",LEN(REGEXREPLACE($I402,"",\s?"","""")))"),"")</f>
        <v/>
      </c>
      <c r="S402" s="14"/>
      <c r="T402" s="14"/>
      <c r="U402" s="14"/>
      <c r="V402" s="14"/>
      <c r="W402" s="14"/>
      <c r="X402" s="14"/>
      <c r="Y402" s="14"/>
      <c r="Z402" s="14"/>
      <c r="AA402" s="14"/>
      <c r="AB402" s="14"/>
    </row>
    <row r="403">
      <c r="C403" s="100"/>
      <c r="D403" s="100"/>
      <c r="G403" s="50"/>
      <c r="H403" s="100"/>
      <c r="I403" s="100"/>
      <c r="J403" s="100"/>
      <c r="Q403" s="14" t="str">
        <f>IFERROR(__xludf.DUMMYFUNCTION("IF($A403="""","""",LEN(REGEXREPLACE($I403,"",\s?"","""")))"),"")</f>
        <v/>
      </c>
      <c r="S403" s="14"/>
      <c r="T403" s="14"/>
      <c r="U403" s="14"/>
      <c r="V403" s="14"/>
      <c r="W403" s="14"/>
      <c r="X403" s="14"/>
      <c r="Y403" s="14"/>
      <c r="Z403" s="14"/>
      <c r="AA403" s="14"/>
      <c r="AB403" s="14"/>
    </row>
    <row r="404">
      <c r="C404" s="100"/>
      <c r="D404" s="100"/>
      <c r="G404" s="50"/>
      <c r="H404" s="100"/>
      <c r="I404" s="100"/>
      <c r="J404" s="100"/>
      <c r="Q404" s="14" t="str">
        <f>IFERROR(__xludf.DUMMYFUNCTION("IF($A404="""","""",LEN(REGEXREPLACE($I404,"",\s?"","""")))"),"")</f>
        <v/>
      </c>
      <c r="S404" s="14"/>
      <c r="T404" s="14"/>
      <c r="U404" s="14"/>
      <c r="V404" s="14"/>
      <c r="W404" s="14"/>
      <c r="X404" s="14"/>
      <c r="Y404" s="14"/>
      <c r="Z404" s="14"/>
      <c r="AA404" s="14"/>
      <c r="AB404" s="14"/>
    </row>
    <row r="405">
      <c r="C405" s="100"/>
      <c r="D405" s="100"/>
      <c r="G405" s="50"/>
      <c r="H405" s="100"/>
      <c r="I405" s="100"/>
      <c r="J405" s="100"/>
      <c r="Q405" s="14" t="str">
        <f>IFERROR(__xludf.DUMMYFUNCTION("IF($A405="""","""",LEN(REGEXREPLACE($I405,"",\s?"","""")))"),"")</f>
        <v/>
      </c>
      <c r="S405" s="14"/>
      <c r="T405" s="14"/>
      <c r="U405" s="14"/>
      <c r="V405" s="14"/>
      <c r="W405" s="14"/>
      <c r="X405" s="14"/>
      <c r="Y405" s="14"/>
      <c r="Z405" s="14"/>
      <c r="AA405" s="14"/>
      <c r="AB405" s="14"/>
    </row>
    <row r="406">
      <c r="C406" s="100"/>
      <c r="D406" s="100"/>
      <c r="G406" s="50"/>
      <c r="H406" s="100"/>
      <c r="I406" s="100"/>
      <c r="J406" s="100"/>
      <c r="Q406" s="14" t="str">
        <f>IFERROR(__xludf.DUMMYFUNCTION("IF($A406="""","""",LEN(REGEXREPLACE($I406,"",\s?"","""")))"),"")</f>
        <v/>
      </c>
      <c r="S406" s="14"/>
      <c r="T406" s="14"/>
      <c r="U406" s="14"/>
      <c r="V406" s="14"/>
      <c r="W406" s="14"/>
      <c r="X406" s="14"/>
      <c r="Y406" s="14"/>
      <c r="Z406" s="14"/>
      <c r="AA406" s="14"/>
      <c r="AB406" s="14"/>
    </row>
    <row r="407">
      <c r="C407" s="100"/>
      <c r="D407" s="100"/>
      <c r="G407" s="50"/>
      <c r="H407" s="100"/>
      <c r="I407" s="100"/>
      <c r="J407" s="100"/>
      <c r="Q407" s="14" t="str">
        <f>IFERROR(__xludf.DUMMYFUNCTION("IF($A407="""","""",LEN(REGEXREPLACE($I407,"",\s?"","""")))"),"")</f>
        <v/>
      </c>
      <c r="S407" s="14"/>
      <c r="T407" s="14"/>
      <c r="U407" s="14"/>
      <c r="V407" s="14"/>
      <c r="W407" s="14"/>
      <c r="X407" s="14"/>
      <c r="Y407" s="14"/>
      <c r="Z407" s="14"/>
      <c r="AA407" s="14"/>
      <c r="AB407" s="14"/>
    </row>
    <row r="408">
      <c r="C408" s="100"/>
      <c r="D408" s="100"/>
      <c r="G408" s="50"/>
      <c r="H408" s="100"/>
      <c r="I408" s="100"/>
      <c r="J408" s="100"/>
      <c r="Q408" s="14" t="str">
        <f>IFERROR(__xludf.DUMMYFUNCTION("IF($A408="""","""",LEN(REGEXREPLACE($I408,"",\s?"","""")))"),"")</f>
        <v/>
      </c>
      <c r="S408" s="14"/>
      <c r="T408" s="14"/>
      <c r="U408" s="14"/>
      <c r="V408" s="14"/>
      <c r="W408" s="14"/>
      <c r="X408" s="14"/>
      <c r="Y408" s="14"/>
      <c r="Z408" s="14"/>
      <c r="AA408" s="14"/>
      <c r="AB408" s="14"/>
    </row>
    <row r="409">
      <c r="C409" s="100"/>
      <c r="D409" s="100"/>
      <c r="G409" s="50"/>
      <c r="H409" s="100"/>
      <c r="I409" s="100"/>
      <c r="J409" s="100"/>
      <c r="Q409" s="14" t="str">
        <f>IFERROR(__xludf.DUMMYFUNCTION("IF($A409="""","""",LEN(REGEXREPLACE($I409,"",\s?"","""")))"),"")</f>
        <v/>
      </c>
      <c r="S409" s="14"/>
      <c r="T409" s="14"/>
      <c r="U409" s="14"/>
      <c r="V409" s="14"/>
      <c r="W409" s="14"/>
      <c r="X409" s="14"/>
      <c r="Y409" s="14"/>
      <c r="Z409" s="14"/>
      <c r="AA409" s="14"/>
      <c r="AB409" s="14"/>
    </row>
    <row r="410">
      <c r="C410" s="100"/>
      <c r="D410" s="100"/>
      <c r="G410" s="50"/>
      <c r="H410" s="100"/>
      <c r="I410" s="100"/>
      <c r="J410" s="100"/>
      <c r="Q410" s="14" t="str">
        <f>IFERROR(__xludf.DUMMYFUNCTION("IF($A410="""","""",LEN(REGEXREPLACE($I410,"",\s?"","""")))"),"")</f>
        <v/>
      </c>
      <c r="S410" s="14"/>
      <c r="T410" s="14"/>
      <c r="U410" s="14"/>
      <c r="V410" s="14"/>
      <c r="W410" s="14"/>
      <c r="X410" s="14"/>
      <c r="Y410" s="14"/>
      <c r="Z410" s="14"/>
      <c r="AA410" s="14"/>
      <c r="AB410" s="14"/>
    </row>
    <row r="411">
      <c r="C411" s="100"/>
      <c r="D411" s="100"/>
      <c r="G411" s="50"/>
      <c r="H411" s="100"/>
      <c r="I411" s="100"/>
      <c r="J411" s="100"/>
      <c r="Q411" s="14" t="str">
        <f>IFERROR(__xludf.DUMMYFUNCTION("IF($A411="""","""",LEN(REGEXREPLACE($I411,"",\s?"","""")))"),"")</f>
        <v/>
      </c>
      <c r="S411" s="14"/>
      <c r="T411" s="14"/>
      <c r="U411" s="14"/>
      <c r="V411" s="14"/>
      <c r="W411" s="14"/>
      <c r="X411" s="14"/>
      <c r="Y411" s="14"/>
      <c r="Z411" s="14"/>
      <c r="AA411" s="14"/>
      <c r="AB411" s="14"/>
    </row>
    <row r="412">
      <c r="C412" s="100"/>
      <c r="D412" s="100"/>
      <c r="G412" s="50"/>
      <c r="H412" s="100"/>
      <c r="I412" s="100"/>
      <c r="J412" s="100"/>
      <c r="Q412" s="14" t="str">
        <f>IFERROR(__xludf.DUMMYFUNCTION("IF($A412="""","""",LEN(REGEXREPLACE($I412,"",\s?"","""")))"),"")</f>
        <v/>
      </c>
      <c r="S412" s="14"/>
      <c r="T412" s="14"/>
      <c r="U412" s="14"/>
      <c r="V412" s="14"/>
      <c r="W412" s="14"/>
      <c r="X412" s="14"/>
      <c r="Y412" s="14"/>
      <c r="Z412" s="14"/>
      <c r="AA412" s="14"/>
      <c r="AB412" s="14"/>
    </row>
    <row r="413">
      <c r="C413" s="100"/>
      <c r="D413" s="100"/>
      <c r="G413" s="50"/>
      <c r="H413" s="100"/>
      <c r="I413" s="100"/>
      <c r="J413" s="100"/>
      <c r="Q413" s="14" t="str">
        <f>IFERROR(__xludf.DUMMYFUNCTION("IF($A413="""","""",LEN(REGEXREPLACE($I413,"",\s?"","""")))"),"")</f>
        <v/>
      </c>
      <c r="S413" s="14"/>
      <c r="T413" s="14"/>
      <c r="U413" s="14"/>
      <c r="V413" s="14"/>
      <c r="W413" s="14"/>
      <c r="X413" s="14"/>
      <c r="Y413" s="14"/>
      <c r="Z413" s="14"/>
      <c r="AA413" s="14"/>
      <c r="AB413" s="14"/>
    </row>
    <row r="414">
      <c r="C414" s="100"/>
      <c r="D414" s="100"/>
      <c r="G414" s="50"/>
      <c r="H414" s="100"/>
      <c r="I414" s="100"/>
      <c r="J414" s="100"/>
      <c r="Q414" s="14" t="str">
        <f>IFERROR(__xludf.DUMMYFUNCTION("IF($A414="""","""",LEN(REGEXREPLACE($I414,"",\s?"","""")))"),"")</f>
        <v/>
      </c>
      <c r="S414" s="14"/>
      <c r="T414" s="14"/>
      <c r="U414" s="14"/>
      <c r="V414" s="14"/>
      <c r="W414" s="14"/>
      <c r="X414" s="14"/>
      <c r="Y414" s="14"/>
      <c r="Z414" s="14"/>
      <c r="AA414" s="14"/>
      <c r="AB414" s="14"/>
    </row>
    <row r="415">
      <c r="C415" s="100"/>
      <c r="D415" s="100"/>
      <c r="G415" s="50"/>
      <c r="H415" s="100"/>
      <c r="I415" s="100"/>
      <c r="J415" s="100"/>
      <c r="Q415" s="14" t="str">
        <f>IFERROR(__xludf.DUMMYFUNCTION("IF($A415="""","""",LEN(REGEXREPLACE($I415,"",\s?"","""")))"),"")</f>
        <v/>
      </c>
      <c r="S415" s="14"/>
      <c r="T415" s="14"/>
      <c r="U415" s="14"/>
      <c r="V415" s="14"/>
      <c r="W415" s="14"/>
      <c r="X415" s="14"/>
      <c r="Y415" s="14"/>
      <c r="Z415" s="14"/>
      <c r="AA415" s="14"/>
      <c r="AB415" s="14"/>
    </row>
    <row r="416">
      <c r="C416" s="100"/>
      <c r="D416" s="100"/>
      <c r="G416" s="50"/>
      <c r="H416" s="100"/>
      <c r="I416" s="100"/>
      <c r="J416" s="100"/>
      <c r="Q416" s="14" t="str">
        <f>IFERROR(__xludf.DUMMYFUNCTION("IF($A416="""","""",LEN(REGEXREPLACE($I416,"",\s?"","""")))"),"")</f>
        <v/>
      </c>
      <c r="S416" s="14"/>
      <c r="T416" s="14"/>
      <c r="U416" s="14"/>
      <c r="V416" s="14"/>
      <c r="W416" s="14"/>
      <c r="X416" s="14"/>
      <c r="Y416" s="14"/>
      <c r="Z416" s="14"/>
      <c r="AA416" s="14"/>
      <c r="AB416" s="14"/>
    </row>
    <row r="417">
      <c r="C417" s="100"/>
      <c r="D417" s="100"/>
      <c r="G417" s="50"/>
      <c r="H417" s="100"/>
      <c r="I417" s="100"/>
      <c r="J417" s="100"/>
      <c r="Q417" s="14" t="str">
        <f>IFERROR(__xludf.DUMMYFUNCTION("IF($A417="""","""",LEN(REGEXREPLACE($I417,"",\s?"","""")))"),"")</f>
        <v/>
      </c>
      <c r="S417" s="14"/>
      <c r="T417" s="14"/>
      <c r="U417" s="14"/>
      <c r="V417" s="14"/>
      <c r="W417" s="14"/>
      <c r="X417" s="14"/>
      <c r="Y417" s="14"/>
      <c r="Z417" s="14"/>
      <c r="AA417" s="14"/>
      <c r="AB417" s="14"/>
    </row>
    <row r="418">
      <c r="C418" s="100"/>
      <c r="D418" s="100"/>
      <c r="G418" s="50"/>
      <c r="H418" s="100"/>
      <c r="I418" s="100"/>
      <c r="J418" s="100"/>
      <c r="Q418" s="14" t="str">
        <f>IFERROR(__xludf.DUMMYFUNCTION("IF($A418="""","""",LEN(REGEXREPLACE($I418,"",\s?"","""")))"),"")</f>
        <v/>
      </c>
      <c r="S418" s="14"/>
      <c r="T418" s="14"/>
      <c r="U418" s="14"/>
      <c r="V418" s="14"/>
      <c r="W418" s="14"/>
      <c r="X418" s="14"/>
      <c r="Y418" s="14"/>
      <c r="Z418" s="14"/>
      <c r="AA418" s="14"/>
      <c r="AB418" s="14"/>
    </row>
    <row r="419">
      <c r="C419" s="100"/>
      <c r="D419" s="100"/>
      <c r="G419" s="50"/>
      <c r="H419" s="100"/>
      <c r="I419" s="100"/>
      <c r="J419" s="100"/>
      <c r="Q419" s="14" t="str">
        <f>IFERROR(__xludf.DUMMYFUNCTION("IF($A419="""","""",LEN(REGEXREPLACE($I419,"",\s?"","""")))"),"")</f>
        <v/>
      </c>
      <c r="S419" s="14"/>
      <c r="T419" s="14"/>
      <c r="U419" s="14"/>
      <c r="V419" s="14"/>
      <c r="W419" s="14"/>
      <c r="X419" s="14"/>
      <c r="Y419" s="14"/>
      <c r="Z419" s="14"/>
      <c r="AA419" s="14"/>
      <c r="AB419" s="14"/>
    </row>
    <row r="420">
      <c r="C420" s="100"/>
      <c r="D420" s="100"/>
      <c r="G420" s="50"/>
      <c r="H420" s="100"/>
      <c r="I420" s="100"/>
      <c r="J420" s="100"/>
      <c r="Q420" s="14" t="str">
        <f>IFERROR(__xludf.DUMMYFUNCTION("IF($A420="""","""",LEN(REGEXREPLACE($I420,"",\s?"","""")))"),"")</f>
        <v/>
      </c>
      <c r="S420" s="14"/>
      <c r="T420" s="14"/>
      <c r="U420" s="14"/>
      <c r="V420" s="14"/>
      <c r="W420" s="14"/>
      <c r="X420" s="14"/>
      <c r="Y420" s="14"/>
      <c r="Z420" s="14"/>
      <c r="AA420" s="14"/>
      <c r="AB420" s="14"/>
    </row>
    <row r="421">
      <c r="C421" s="100"/>
      <c r="D421" s="100"/>
      <c r="G421" s="50"/>
      <c r="H421" s="100"/>
      <c r="I421" s="100"/>
      <c r="J421" s="100"/>
      <c r="Q421" s="14" t="str">
        <f>IFERROR(__xludf.DUMMYFUNCTION("IF($A421="""","""",LEN(REGEXREPLACE($I421,"",\s?"","""")))"),"")</f>
        <v/>
      </c>
      <c r="S421" s="14"/>
      <c r="T421" s="14"/>
      <c r="U421" s="14"/>
      <c r="V421" s="14"/>
      <c r="W421" s="14"/>
      <c r="X421" s="14"/>
      <c r="Y421" s="14"/>
      <c r="Z421" s="14"/>
      <c r="AA421" s="14"/>
      <c r="AB421" s="14"/>
    </row>
    <row r="422">
      <c r="C422" s="100"/>
      <c r="D422" s="100"/>
      <c r="G422" s="50"/>
      <c r="H422" s="100"/>
      <c r="I422" s="100"/>
      <c r="J422" s="100"/>
      <c r="Q422" s="14" t="str">
        <f>IFERROR(__xludf.DUMMYFUNCTION("IF($A422="""","""",LEN(REGEXREPLACE($I422,"",\s?"","""")))"),"")</f>
        <v/>
      </c>
      <c r="S422" s="14"/>
      <c r="T422" s="14"/>
      <c r="U422" s="14"/>
      <c r="V422" s="14"/>
      <c r="W422" s="14"/>
      <c r="X422" s="14"/>
      <c r="Y422" s="14"/>
      <c r="Z422" s="14"/>
      <c r="AA422" s="14"/>
      <c r="AB422" s="14"/>
    </row>
    <row r="423">
      <c r="C423" s="100"/>
      <c r="D423" s="100"/>
      <c r="G423" s="50"/>
      <c r="H423" s="100"/>
      <c r="I423" s="100"/>
      <c r="J423" s="100"/>
      <c r="Q423" s="14" t="str">
        <f>IFERROR(__xludf.DUMMYFUNCTION("IF($A423="""","""",LEN(REGEXREPLACE($I423,"",\s?"","""")))"),"")</f>
        <v/>
      </c>
      <c r="S423" s="14"/>
      <c r="T423" s="14"/>
      <c r="U423" s="14"/>
      <c r="V423" s="14"/>
      <c r="W423" s="14"/>
      <c r="X423" s="14"/>
      <c r="Y423" s="14"/>
      <c r="Z423" s="14"/>
      <c r="AA423" s="14"/>
      <c r="AB423" s="14"/>
    </row>
    <row r="424">
      <c r="C424" s="100"/>
      <c r="D424" s="100"/>
      <c r="G424" s="50"/>
      <c r="H424" s="100"/>
      <c r="I424" s="100"/>
      <c r="J424" s="100"/>
      <c r="Q424" s="14" t="str">
        <f>IFERROR(__xludf.DUMMYFUNCTION("IF($A424="""","""",LEN(REGEXREPLACE($I424,"",\s?"","""")))"),"")</f>
        <v/>
      </c>
      <c r="S424" s="14"/>
      <c r="T424" s="14"/>
      <c r="U424" s="14"/>
      <c r="V424" s="14"/>
      <c r="W424" s="14"/>
      <c r="X424" s="14"/>
      <c r="Y424" s="14"/>
      <c r="Z424" s="14"/>
      <c r="AA424" s="14"/>
      <c r="AB424" s="14"/>
    </row>
    <row r="425">
      <c r="C425" s="100"/>
      <c r="D425" s="100"/>
      <c r="G425" s="50"/>
      <c r="H425" s="100"/>
      <c r="I425" s="100"/>
      <c r="J425" s="100"/>
      <c r="Q425" s="14" t="str">
        <f>IFERROR(__xludf.DUMMYFUNCTION("IF($A425="""","""",LEN(REGEXREPLACE($I425,"",\s?"","""")))"),"")</f>
        <v/>
      </c>
      <c r="S425" s="14"/>
      <c r="T425" s="14"/>
      <c r="U425" s="14"/>
      <c r="V425" s="14"/>
      <c r="W425" s="14"/>
      <c r="X425" s="14"/>
      <c r="Y425" s="14"/>
      <c r="Z425" s="14"/>
      <c r="AA425" s="14"/>
      <c r="AB425" s="14"/>
    </row>
    <row r="426">
      <c r="C426" s="100"/>
      <c r="D426" s="100"/>
      <c r="G426" s="50"/>
      <c r="H426" s="100"/>
      <c r="I426" s="100"/>
      <c r="J426" s="100"/>
      <c r="Q426" s="14" t="str">
        <f>IFERROR(__xludf.DUMMYFUNCTION("IF($A426="""","""",LEN(REGEXREPLACE($I426,"",\s?"","""")))"),"")</f>
        <v/>
      </c>
      <c r="S426" s="14"/>
      <c r="T426" s="14"/>
      <c r="U426" s="14"/>
      <c r="V426" s="14"/>
      <c r="W426" s="14"/>
      <c r="X426" s="14"/>
      <c r="Y426" s="14"/>
      <c r="Z426" s="14"/>
      <c r="AA426" s="14"/>
      <c r="AB426" s="14"/>
    </row>
    <row r="427">
      <c r="C427" s="100"/>
      <c r="D427" s="100"/>
      <c r="G427" s="50"/>
      <c r="H427" s="100"/>
      <c r="I427" s="100"/>
      <c r="J427" s="100"/>
      <c r="Q427" s="14" t="str">
        <f>IFERROR(__xludf.DUMMYFUNCTION("IF($A427="""","""",LEN(REGEXREPLACE($I427,"",\s?"","""")))"),"")</f>
        <v/>
      </c>
      <c r="S427" s="14"/>
      <c r="T427" s="14"/>
      <c r="U427" s="14"/>
      <c r="V427" s="14"/>
      <c r="W427" s="14"/>
      <c r="X427" s="14"/>
      <c r="Y427" s="14"/>
      <c r="Z427" s="14"/>
      <c r="AA427" s="14"/>
      <c r="AB427" s="14"/>
    </row>
    <row r="428">
      <c r="C428" s="100"/>
      <c r="D428" s="100"/>
      <c r="G428" s="50"/>
      <c r="H428" s="100"/>
      <c r="I428" s="100"/>
      <c r="J428" s="100"/>
      <c r="Q428" s="14" t="str">
        <f>IFERROR(__xludf.DUMMYFUNCTION("IF($A428="""","""",LEN(REGEXREPLACE($I428,"",\s?"","""")))"),"")</f>
        <v/>
      </c>
      <c r="S428" s="14"/>
      <c r="T428" s="14"/>
      <c r="U428" s="14"/>
      <c r="V428" s="14"/>
      <c r="W428" s="14"/>
      <c r="X428" s="14"/>
      <c r="Y428" s="14"/>
      <c r="Z428" s="14"/>
      <c r="AA428" s="14"/>
      <c r="AB428" s="14"/>
    </row>
    <row r="429">
      <c r="C429" s="100"/>
      <c r="D429" s="100"/>
      <c r="G429" s="50"/>
      <c r="H429" s="100"/>
      <c r="I429" s="100"/>
      <c r="J429" s="100"/>
      <c r="Q429" s="14" t="str">
        <f>IFERROR(__xludf.DUMMYFUNCTION("IF($A429="""","""",LEN(REGEXREPLACE($I429,"",\s?"","""")))"),"")</f>
        <v/>
      </c>
      <c r="S429" s="14"/>
      <c r="T429" s="14"/>
      <c r="U429" s="14"/>
      <c r="V429" s="14"/>
      <c r="W429" s="14"/>
      <c r="X429" s="14"/>
      <c r="Y429" s="14"/>
      <c r="Z429" s="14"/>
      <c r="AA429" s="14"/>
      <c r="AB429" s="14"/>
    </row>
    <row r="430">
      <c r="C430" s="100"/>
      <c r="D430" s="100"/>
      <c r="G430" s="50"/>
      <c r="H430" s="100"/>
      <c r="I430" s="100"/>
      <c r="J430" s="100"/>
      <c r="Q430" s="14" t="str">
        <f>IFERROR(__xludf.DUMMYFUNCTION("IF($A430="""","""",LEN(REGEXREPLACE($I430,"",\s?"","""")))"),"")</f>
        <v/>
      </c>
      <c r="S430" s="14"/>
      <c r="T430" s="14"/>
      <c r="U430" s="14"/>
      <c r="V430" s="14"/>
      <c r="W430" s="14"/>
      <c r="X430" s="14"/>
      <c r="Y430" s="14"/>
      <c r="Z430" s="14"/>
      <c r="AA430" s="14"/>
      <c r="AB430" s="14"/>
    </row>
    <row r="431">
      <c r="C431" s="100"/>
      <c r="D431" s="100"/>
      <c r="G431" s="50"/>
      <c r="H431" s="100"/>
      <c r="I431" s="100"/>
      <c r="J431" s="100"/>
      <c r="Q431" s="14" t="str">
        <f>IFERROR(__xludf.DUMMYFUNCTION("IF($A431="""","""",LEN(REGEXREPLACE($I431,"",\s?"","""")))"),"")</f>
        <v/>
      </c>
      <c r="S431" s="14"/>
      <c r="T431" s="14"/>
      <c r="U431" s="14"/>
      <c r="V431" s="14"/>
      <c r="W431" s="14"/>
      <c r="X431" s="14"/>
      <c r="Y431" s="14"/>
      <c r="Z431" s="14"/>
      <c r="AA431" s="14"/>
      <c r="AB431" s="14"/>
    </row>
    <row r="432">
      <c r="C432" s="100"/>
      <c r="D432" s="100"/>
      <c r="G432" s="50"/>
      <c r="H432" s="100"/>
      <c r="I432" s="100"/>
      <c r="J432" s="100"/>
      <c r="Q432" s="14" t="str">
        <f>IFERROR(__xludf.DUMMYFUNCTION("IF($A432="""","""",LEN(REGEXREPLACE($I432,"",\s?"","""")))"),"")</f>
        <v/>
      </c>
      <c r="S432" s="14"/>
      <c r="T432" s="14"/>
      <c r="U432" s="14"/>
      <c r="V432" s="14"/>
      <c r="W432" s="14"/>
      <c r="X432" s="14"/>
      <c r="Y432" s="14"/>
      <c r="Z432" s="14"/>
      <c r="AA432" s="14"/>
      <c r="AB432" s="14"/>
    </row>
    <row r="433">
      <c r="C433" s="100"/>
      <c r="D433" s="100"/>
      <c r="G433" s="50"/>
      <c r="H433" s="100"/>
      <c r="I433" s="100"/>
      <c r="J433" s="100"/>
      <c r="Q433" s="14" t="str">
        <f>IFERROR(__xludf.DUMMYFUNCTION("IF($A433="""","""",LEN(REGEXREPLACE($I433,"",\s?"","""")))"),"")</f>
        <v/>
      </c>
      <c r="S433" s="14"/>
      <c r="T433" s="14"/>
      <c r="U433" s="14"/>
      <c r="V433" s="14"/>
      <c r="W433" s="14"/>
      <c r="X433" s="14"/>
      <c r="Y433" s="14"/>
      <c r="Z433" s="14"/>
      <c r="AA433" s="14"/>
      <c r="AB433" s="14"/>
    </row>
    <row r="434">
      <c r="C434" s="100"/>
      <c r="D434" s="100"/>
      <c r="G434" s="50"/>
      <c r="H434" s="100"/>
      <c r="I434" s="100"/>
      <c r="J434" s="100"/>
      <c r="Q434" s="14" t="str">
        <f>IFERROR(__xludf.DUMMYFUNCTION("IF($A434="""","""",LEN(REGEXREPLACE($I434,"",\s?"","""")))"),"")</f>
        <v/>
      </c>
      <c r="S434" s="14"/>
      <c r="T434" s="14"/>
      <c r="U434" s="14"/>
      <c r="V434" s="14"/>
      <c r="W434" s="14"/>
      <c r="X434" s="14"/>
      <c r="Y434" s="14"/>
      <c r="Z434" s="14"/>
      <c r="AA434" s="14"/>
      <c r="AB434" s="14"/>
    </row>
    <row r="435">
      <c r="C435" s="100"/>
      <c r="D435" s="100"/>
      <c r="G435" s="50"/>
      <c r="H435" s="100"/>
      <c r="I435" s="100"/>
      <c r="J435" s="100"/>
      <c r="Q435" s="14" t="str">
        <f>IFERROR(__xludf.DUMMYFUNCTION("IF($A435="""","""",LEN(REGEXREPLACE($I435,"",\s?"","""")))"),"")</f>
        <v/>
      </c>
      <c r="S435" s="14"/>
      <c r="T435" s="14"/>
      <c r="U435" s="14"/>
      <c r="V435" s="14"/>
      <c r="W435" s="14"/>
      <c r="X435" s="14"/>
      <c r="Y435" s="14"/>
      <c r="Z435" s="14"/>
      <c r="AA435" s="14"/>
      <c r="AB435" s="14"/>
    </row>
    <row r="436">
      <c r="C436" s="100"/>
      <c r="D436" s="100"/>
      <c r="G436" s="50"/>
      <c r="H436" s="100"/>
      <c r="I436" s="100"/>
      <c r="J436" s="100"/>
      <c r="Q436" s="14" t="str">
        <f>IFERROR(__xludf.DUMMYFUNCTION("IF($A436="""","""",LEN(REGEXREPLACE($I436,"",\s?"","""")))"),"")</f>
        <v/>
      </c>
      <c r="S436" s="14"/>
      <c r="T436" s="14"/>
      <c r="U436" s="14"/>
      <c r="V436" s="14"/>
      <c r="W436" s="14"/>
      <c r="X436" s="14"/>
      <c r="Y436" s="14"/>
      <c r="Z436" s="14"/>
      <c r="AA436" s="14"/>
      <c r="AB436" s="14"/>
    </row>
    <row r="437">
      <c r="C437" s="100"/>
      <c r="D437" s="100"/>
      <c r="G437" s="50"/>
      <c r="H437" s="100"/>
      <c r="I437" s="100"/>
      <c r="J437" s="100"/>
      <c r="Q437" s="14" t="str">
        <f>IFERROR(__xludf.DUMMYFUNCTION("IF($A437="""","""",LEN(REGEXREPLACE($I437,"",\s?"","""")))"),"")</f>
        <v/>
      </c>
      <c r="S437" s="14"/>
      <c r="T437" s="14"/>
      <c r="U437" s="14"/>
      <c r="V437" s="14"/>
      <c r="W437" s="14"/>
      <c r="X437" s="14"/>
      <c r="Y437" s="14"/>
      <c r="Z437" s="14"/>
      <c r="AA437" s="14"/>
      <c r="AB437" s="14"/>
    </row>
    <row r="438">
      <c r="C438" s="100"/>
      <c r="D438" s="100"/>
      <c r="G438" s="50"/>
      <c r="H438" s="100"/>
      <c r="I438" s="100"/>
      <c r="J438" s="100"/>
      <c r="Q438" s="14" t="str">
        <f>IFERROR(__xludf.DUMMYFUNCTION("IF($A438="""","""",LEN(REGEXREPLACE($I438,"",\s?"","""")))"),"")</f>
        <v/>
      </c>
      <c r="S438" s="14"/>
      <c r="T438" s="14"/>
      <c r="U438" s="14"/>
      <c r="V438" s="14"/>
      <c r="W438" s="14"/>
      <c r="X438" s="14"/>
      <c r="Y438" s="14"/>
      <c r="Z438" s="14"/>
      <c r="AA438" s="14"/>
      <c r="AB438" s="14"/>
    </row>
    <row r="439">
      <c r="C439" s="100"/>
      <c r="D439" s="100"/>
      <c r="G439" s="50"/>
      <c r="H439" s="100"/>
      <c r="I439" s="100"/>
      <c r="J439" s="100"/>
      <c r="Q439" s="14" t="str">
        <f>IFERROR(__xludf.DUMMYFUNCTION("IF($A439="""","""",LEN(REGEXREPLACE($I439,"",\s?"","""")))"),"")</f>
        <v/>
      </c>
      <c r="S439" s="14"/>
      <c r="T439" s="14"/>
      <c r="U439" s="14"/>
      <c r="V439" s="14"/>
      <c r="W439" s="14"/>
      <c r="X439" s="14"/>
      <c r="Y439" s="14"/>
      <c r="Z439" s="14"/>
      <c r="AA439" s="14"/>
      <c r="AB439" s="14"/>
    </row>
    <row r="440">
      <c r="C440" s="100"/>
      <c r="D440" s="100"/>
      <c r="G440" s="50"/>
      <c r="H440" s="100"/>
      <c r="I440" s="100"/>
      <c r="J440" s="100"/>
      <c r="Q440" s="14" t="str">
        <f>IFERROR(__xludf.DUMMYFUNCTION("IF($A440="""","""",LEN(REGEXREPLACE($I440,"",\s?"","""")))"),"")</f>
        <v/>
      </c>
      <c r="S440" s="14"/>
      <c r="T440" s="14"/>
      <c r="U440" s="14"/>
      <c r="V440" s="14"/>
      <c r="W440" s="14"/>
      <c r="X440" s="14"/>
      <c r="Y440" s="14"/>
      <c r="Z440" s="14"/>
      <c r="AA440" s="14"/>
      <c r="AB440" s="14"/>
    </row>
    <row r="441">
      <c r="C441" s="100"/>
      <c r="D441" s="100"/>
      <c r="G441" s="50"/>
      <c r="H441" s="100"/>
      <c r="I441" s="100"/>
      <c r="J441" s="100"/>
      <c r="Q441" s="14" t="str">
        <f>IFERROR(__xludf.DUMMYFUNCTION("IF($A441="""","""",LEN(REGEXREPLACE($I441,"",\s?"","""")))"),"")</f>
        <v/>
      </c>
      <c r="S441" s="14"/>
      <c r="T441" s="14"/>
      <c r="U441" s="14"/>
      <c r="V441" s="14"/>
      <c r="W441" s="14"/>
      <c r="X441" s="14"/>
      <c r="Y441" s="14"/>
      <c r="Z441" s="14"/>
      <c r="AA441" s="14"/>
      <c r="AB441" s="14"/>
    </row>
    <row r="442">
      <c r="C442" s="100"/>
      <c r="D442" s="100"/>
      <c r="G442" s="50"/>
      <c r="H442" s="100"/>
      <c r="I442" s="100"/>
      <c r="J442" s="100"/>
      <c r="Q442" s="14" t="str">
        <f>IFERROR(__xludf.DUMMYFUNCTION("IF($A442="""","""",LEN(REGEXREPLACE($I442,"",\s?"","""")))"),"")</f>
        <v/>
      </c>
      <c r="S442" s="14"/>
      <c r="T442" s="14"/>
      <c r="U442" s="14"/>
      <c r="V442" s="14"/>
      <c r="W442" s="14"/>
      <c r="X442" s="14"/>
      <c r="Y442" s="14"/>
      <c r="Z442" s="14"/>
      <c r="AA442" s="14"/>
      <c r="AB442" s="14"/>
    </row>
    <row r="443">
      <c r="C443" s="100"/>
      <c r="D443" s="100"/>
      <c r="G443" s="50"/>
      <c r="H443" s="100"/>
      <c r="I443" s="100"/>
      <c r="J443" s="100"/>
      <c r="Q443" s="14" t="str">
        <f>IFERROR(__xludf.DUMMYFUNCTION("IF($A443="""","""",LEN(REGEXREPLACE($I443,"",\s?"","""")))"),"")</f>
        <v/>
      </c>
      <c r="S443" s="14"/>
      <c r="T443" s="14"/>
      <c r="U443" s="14"/>
      <c r="V443" s="14"/>
      <c r="W443" s="14"/>
      <c r="X443" s="14"/>
      <c r="Y443" s="14"/>
      <c r="Z443" s="14"/>
      <c r="AA443" s="14"/>
      <c r="AB443" s="14"/>
    </row>
    <row r="444">
      <c r="C444" s="100"/>
      <c r="D444" s="100"/>
      <c r="G444" s="50"/>
      <c r="H444" s="100"/>
      <c r="I444" s="100"/>
      <c r="J444" s="100"/>
      <c r="Q444" s="14" t="str">
        <f>IFERROR(__xludf.DUMMYFUNCTION("IF($A444="""","""",LEN(REGEXREPLACE($I444,"",\s?"","""")))"),"")</f>
        <v/>
      </c>
      <c r="S444" s="14"/>
      <c r="T444" s="14"/>
      <c r="U444" s="14"/>
      <c r="V444" s="14"/>
      <c r="W444" s="14"/>
      <c r="X444" s="14"/>
      <c r="Y444" s="14"/>
      <c r="Z444" s="14"/>
      <c r="AA444" s="14"/>
      <c r="AB444" s="14"/>
    </row>
    <row r="445">
      <c r="C445" s="100"/>
      <c r="D445" s="100"/>
      <c r="G445" s="50"/>
      <c r="H445" s="100"/>
      <c r="I445" s="100"/>
      <c r="J445" s="100"/>
      <c r="Q445" s="14" t="str">
        <f>IFERROR(__xludf.DUMMYFUNCTION("IF($A445="""","""",LEN(REGEXREPLACE($I445,"",\s?"","""")))"),"")</f>
        <v/>
      </c>
      <c r="S445" s="14"/>
      <c r="T445" s="14"/>
      <c r="U445" s="14"/>
      <c r="V445" s="14"/>
      <c r="W445" s="14"/>
      <c r="X445" s="14"/>
      <c r="Y445" s="14"/>
      <c r="Z445" s="14"/>
      <c r="AA445" s="14"/>
      <c r="AB445" s="14"/>
    </row>
    <row r="446">
      <c r="C446" s="100"/>
      <c r="D446" s="100"/>
      <c r="G446" s="50"/>
      <c r="H446" s="100"/>
      <c r="I446" s="100"/>
      <c r="J446" s="100"/>
      <c r="Q446" s="14" t="str">
        <f>IFERROR(__xludf.DUMMYFUNCTION("IF($A446="""","""",LEN(REGEXREPLACE($I446,"",\s?"","""")))"),"")</f>
        <v/>
      </c>
      <c r="S446" s="14"/>
      <c r="T446" s="14"/>
      <c r="U446" s="14"/>
      <c r="V446" s="14"/>
      <c r="W446" s="14"/>
      <c r="X446" s="14"/>
      <c r="Y446" s="14"/>
      <c r="Z446" s="14"/>
      <c r="AA446" s="14"/>
      <c r="AB446" s="14"/>
    </row>
    <row r="447">
      <c r="C447" s="100"/>
      <c r="D447" s="100"/>
      <c r="G447" s="50"/>
      <c r="H447" s="100"/>
      <c r="I447" s="100"/>
      <c r="J447" s="100"/>
      <c r="Q447" s="14" t="str">
        <f>IFERROR(__xludf.DUMMYFUNCTION("IF($A447="""","""",LEN(REGEXREPLACE($I447,"",\s?"","""")))"),"")</f>
        <v/>
      </c>
      <c r="S447" s="14"/>
      <c r="T447" s="14"/>
      <c r="U447" s="14"/>
      <c r="V447" s="14"/>
      <c r="W447" s="14"/>
      <c r="X447" s="14"/>
      <c r="Y447" s="14"/>
      <c r="Z447" s="14"/>
      <c r="AA447" s="14"/>
      <c r="AB447" s="14"/>
    </row>
    <row r="448">
      <c r="C448" s="100"/>
      <c r="D448" s="100"/>
      <c r="G448" s="50"/>
      <c r="H448" s="100"/>
      <c r="I448" s="100"/>
      <c r="J448" s="100"/>
      <c r="Q448" s="14" t="str">
        <f>IFERROR(__xludf.DUMMYFUNCTION("IF($A448="""","""",LEN(REGEXREPLACE($I448,"",\s?"","""")))"),"")</f>
        <v/>
      </c>
      <c r="S448" s="14"/>
      <c r="T448" s="14"/>
      <c r="U448" s="14"/>
      <c r="V448" s="14"/>
      <c r="W448" s="14"/>
      <c r="X448" s="14"/>
      <c r="Y448" s="14"/>
      <c r="Z448" s="14"/>
      <c r="AA448" s="14"/>
      <c r="AB448" s="14"/>
    </row>
    <row r="449">
      <c r="C449" s="100"/>
      <c r="D449" s="100"/>
      <c r="G449" s="50"/>
      <c r="H449" s="100"/>
      <c r="I449" s="100"/>
      <c r="J449" s="100"/>
      <c r="Q449" s="14" t="str">
        <f>IFERROR(__xludf.DUMMYFUNCTION("IF($A449="""","""",LEN(REGEXREPLACE($I449,"",\s?"","""")))"),"")</f>
        <v/>
      </c>
      <c r="S449" s="14"/>
      <c r="T449" s="14"/>
      <c r="U449" s="14"/>
      <c r="V449" s="14"/>
      <c r="W449" s="14"/>
      <c r="X449" s="14"/>
      <c r="Y449" s="14"/>
      <c r="Z449" s="14"/>
      <c r="AA449" s="14"/>
      <c r="AB449" s="14"/>
    </row>
    <row r="450">
      <c r="C450" s="100"/>
      <c r="D450" s="100"/>
      <c r="G450" s="50"/>
      <c r="H450" s="100"/>
      <c r="I450" s="100"/>
      <c r="J450" s="100"/>
      <c r="Q450" s="14" t="str">
        <f>IFERROR(__xludf.DUMMYFUNCTION("IF($A450="""","""",LEN(REGEXREPLACE($I450,"",\s?"","""")))"),"")</f>
        <v/>
      </c>
      <c r="S450" s="14"/>
      <c r="T450" s="14"/>
      <c r="U450" s="14"/>
      <c r="V450" s="14"/>
      <c r="W450" s="14"/>
      <c r="X450" s="14"/>
      <c r="Y450" s="14"/>
      <c r="Z450" s="14"/>
      <c r="AA450" s="14"/>
      <c r="AB450" s="14"/>
    </row>
    <row r="451">
      <c r="C451" s="100"/>
      <c r="D451" s="100"/>
      <c r="G451" s="50"/>
      <c r="H451" s="100"/>
      <c r="I451" s="100"/>
      <c r="J451" s="100"/>
      <c r="Q451" s="14" t="str">
        <f>IFERROR(__xludf.DUMMYFUNCTION("IF($A451="""","""",LEN(REGEXREPLACE($I451,"",\s?"","""")))"),"")</f>
        <v/>
      </c>
      <c r="S451" s="14"/>
      <c r="T451" s="14"/>
      <c r="U451" s="14"/>
      <c r="V451" s="14"/>
      <c r="W451" s="14"/>
      <c r="X451" s="14"/>
      <c r="Y451" s="14"/>
      <c r="Z451" s="14"/>
      <c r="AA451" s="14"/>
      <c r="AB451" s="14"/>
    </row>
    <row r="452">
      <c r="C452" s="100"/>
      <c r="D452" s="100"/>
      <c r="G452" s="50"/>
      <c r="H452" s="100"/>
      <c r="I452" s="100"/>
      <c r="J452" s="100"/>
      <c r="Q452" s="14" t="str">
        <f>IFERROR(__xludf.DUMMYFUNCTION("IF($A452="""","""",LEN(REGEXREPLACE($I452,"",\s?"","""")))"),"")</f>
        <v/>
      </c>
      <c r="S452" s="14"/>
      <c r="T452" s="14"/>
      <c r="U452" s="14"/>
      <c r="V452" s="14"/>
      <c r="W452" s="14"/>
      <c r="X452" s="14"/>
      <c r="Y452" s="14"/>
      <c r="Z452" s="14"/>
      <c r="AA452" s="14"/>
      <c r="AB452" s="14"/>
    </row>
    <row r="453">
      <c r="C453" s="100"/>
      <c r="D453" s="100"/>
      <c r="G453" s="50"/>
      <c r="H453" s="100"/>
      <c r="I453" s="100"/>
      <c r="J453" s="100"/>
      <c r="Q453" s="14" t="str">
        <f>IFERROR(__xludf.DUMMYFUNCTION("IF($A453="""","""",LEN(REGEXREPLACE($I453,"",\s?"","""")))"),"")</f>
        <v/>
      </c>
      <c r="S453" s="14"/>
      <c r="T453" s="14"/>
      <c r="U453" s="14"/>
      <c r="V453" s="14"/>
      <c r="W453" s="14"/>
      <c r="X453" s="14"/>
      <c r="Y453" s="14"/>
      <c r="Z453" s="14"/>
      <c r="AA453" s="14"/>
      <c r="AB453" s="14"/>
    </row>
    <row r="454">
      <c r="C454" s="100"/>
      <c r="D454" s="100"/>
      <c r="G454" s="50"/>
      <c r="H454" s="100"/>
      <c r="I454" s="100"/>
      <c r="J454" s="100"/>
      <c r="Q454" s="14" t="str">
        <f>IFERROR(__xludf.DUMMYFUNCTION("IF($A454="""","""",LEN(REGEXREPLACE($I454,"",\s?"","""")))"),"")</f>
        <v/>
      </c>
      <c r="S454" s="14"/>
      <c r="T454" s="14"/>
      <c r="U454" s="14"/>
      <c r="V454" s="14"/>
      <c r="W454" s="14"/>
      <c r="X454" s="14"/>
      <c r="Y454" s="14"/>
      <c r="Z454" s="14"/>
      <c r="AA454" s="14"/>
      <c r="AB454" s="14"/>
    </row>
    <row r="455">
      <c r="C455" s="100"/>
      <c r="D455" s="100"/>
      <c r="G455" s="50"/>
      <c r="H455" s="100"/>
      <c r="I455" s="100"/>
      <c r="J455" s="100"/>
      <c r="Q455" s="14" t="str">
        <f>IFERROR(__xludf.DUMMYFUNCTION("IF($A455="""","""",LEN(REGEXREPLACE($I455,"",\s?"","""")))"),"")</f>
        <v/>
      </c>
      <c r="S455" s="14"/>
      <c r="T455" s="14"/>
      <c r="U455" s="14"/>
      <c r="V455" s="14"/>
      <c r="W455" s="14"/>
      <c r="X455" s="14"/>
      <c r="Y455" s="14"/>
      <c r="Z455" s="14"/>
      <c r="AA455" s="14"/>
      <c r="AB455" s="14"/>
    </row>
    <row r="456">
      <c r="C456" s="100"/>
      <c r="D456" s="100"/>
      <c r="G456" s="50"/>
      <c r="H456" s="100"/>
      <c r="I456" s="100"/>
      <c r="J456" s="100"/>
      <c r="Q456" s="14" t="str">
        <f>IFERROR(__xludf.DUMMYFUNCTION("IF($A456="""","""",LEN(REGEXREPLACE($I456,"",\s?"","""")))"),"")</f>
        <v/>
      </c>
      <c r="S456" s="14"/>
      <c r="T456" s="14"/>
      <c r="U456" s="14"/>
      <c r="V456" s="14"/>
      <c r="W456" s="14"/>
      <c r="X456" s="14"/>
      <c r="Y456" s="14"/>
      <c r="Z456" s="14"/>
      <c r="AA456" s="14"/>
      <c r="AB456" s="14"/>
    </row>
    <row r="457">
      <c r="C457" s="100"/>
      <c r="D457" s="100"/>
      <c r="G457" s="50"/>
      <c r="H457" s="100"/>
      <c r="I457" s="100"/>
      <c r="J457" s="100"/>
      <c r="Q457" s="14" t="str">
        <f>IFERROR(__xludf.DUMMYFUNCTION("IF($A457="""","""",LEN(REGEXREPLACE($I457,"",\s?"","""")))"),"")</f>
        <v/>
      </c>
      <c r="S457" s="14"/>
      <c r="T457" s="14"/>
      <c r="U457" s="14"/>
      <c r="V457" s="14"/>
      <c r="W457" s="14"/>
      <c r="X457" s="14"/>
      <c r="Y457" s="14"/>
      <c r="Z457" s="14"/>
      <c r="AA457" s="14"/>
      <c r="AB457" s="14"/>
    </row>
    <row r="458">
      <c r="C458" s="100"/>
      <c r="D458" s="100"/>
      <c r="G458" s="50"/>
      <c r="H458" s="100"/>
      <c r="I458" s="100"/>
      <c r="J458" s="100"/>
      <c r="Q458" s="14" t="str">
        <f>IFERROR(__xludf.DUMMYFUNCTION("IF($A458="""","""",LEN(REGEXREPLACE($I458,"",\s?"","""")))"),"")</f>
        <v/>
      </c>
      <c r="S458" s="14"/>
      <c r="T458" s="14"/>
      <c r="U458" s="14"/>
      <c r="V458" s="14"/>
      <c r="W458" s="14"/>
      <c r="X458" s="14"/>
      <c r="Y458" s="14"/>
      <c r="Z458" s="14"/>
      <c r="AA458" s="14"/>
      <c r="AB458" s="14"/>
    </row>
    <row r="459">
      <c r="C459" s="100"/>
      <c r="D459" s="100"/>
      <c r="G459" s="50"/>
      <c r="H459" s="100"/>
      <c r="I459" s="100"/>
      <c r="J459" s="100"/>
      <c r="Q459" s="14" t="str">
        <f>IFERROR(__xludf.DUMMYFUNCTION("IF($A459="""","""",LEN(REGEXREPLACE($I459,"",\s?"","""")))"),"")</f>
        <v/>
      </c>
      <c r="S459" s="14"/>
      <c r="T459" s="14"/>
      <c r="U459" s="14"/>
      <c r="V459" s="14"/>
      <c r="W459" s="14"/>
      <c r="X459" s="14"/>
      <c r="Y459" s="14"/>
      <c r="Z459" s="14"/>
      <c r="AA459" s="14"/>
      <c r="AB459" s="14"/>
    </row>
    <row r="460">
      <c r="C460" s="100"/>
      <c r="D460" s="100"/>
      <c r="G460" s="50"/>
      <c r="H460" s="100"/>
      <c r="I460" s="100"/>
      <c r="J460" s="100"/>
      <c r="Q460" s="14" t="str">
        <f>IFERROR(__xludf.DUMMYFUNCTION("IF($A460="""","""",LEN(REGEXREPLACE($I460,"",\s?"","""")))"),"")</f>
        <v/>
      </c>
      <c r="S460" s="14"/>
      <c r="T460" s="14"/>
      <c r="U460" s="14"/>
      <c r="V460" s="14"/>
      <c r="W460" s="14"/>
      <c r="X460" s="14"/>
      <c r="Y460" s="14"/>
      <c r="Z460" s="14"/>
      <c r="AA460" s="14"/>
      <c r="AB460" s="14"/>
    </row>
    <row r="461">
      <c r="C461" s="100"/>
      <c r="D461" s="100"/>
      <c r="G461" s="50"/>
      <c r="H461" s="100"/>
      <c r="I461" s="100"/>
      <c r="J461" s="100"/>
      <c r="Q461" s="14" t="str">
        <f>IFERROR(__xludf.DUMMYFUNCTION("IF($A461="""","""",LEN(REGEXREPLACE($I461,"",\s?"","""")))"),"")</f>
        <v/>
      </c>
      <c r="S461" s="14"/>
      <c r="T461" s="14"/>
      <c r="U461" s="14"/>
      <c r="V461" s="14"/>
      <c r="W461" s="14"/>
      <c r="X461" s="14"/>
      <c r="Y461" s="14"/>
      <c r="Z461" s="14"/>
      <c r="AA461" s="14"/>
      <c r="AB461" s="14"/>
    </row>
    <row r="462">
      <c r="C462" s="100"/>
      <c r="D462" s="100"/>
      <c r="G462" s="50"/>
      <c r="H462" s="100"/>
      <c r="I462" s="100"/>
      <c r="J462" s="100"/>
      <c r="Q462" s="14" t="str">
        <f>IFERROR(__xludf.DUMMYFUNCTION("IF($A462="""","""",LEN(REGEXREPLACE($I462,"",\s?"","""")))"),"")</f>
        <v/>
      </c>
      <c r="S462" s="14"/>
      <c r="T462" s="14"/>
      <c r="U462" s="14"/>
      <c r="V462" s="14"/>
      <c r="W462" s="14"/>
      <c r="X462" s="14"/>
      <c r="Y462" s="14"/>
      <c r="Z462" s="14"/>
      <c r="AA462" s="14"/>
      <c r="AB462" s="14"/>
    </row>
    <row r="463">
      <c r="C463" s="100"/>
      <c r="D463" s="100"/>
      <c r="G463" s="50"/>
      <c r="H463" s="100"/>
      <c r="I463" s="100"/>
      <c r="J463" s="100"/>
      <c r="Q463" s="14" t="str">
        <f>IFERROR(__xludf.DUMMYFUNCTION("IF($A463="""","""",LEN(REGEXREPLACE($I463,"",\s?"","""")))"),"")</f>
        <v/>
      </c>
      <c r="S463" s="14"/>
      <c r="T463" s="14"/>
      <c r="U463" s="14"/>
      <c r="V463" s="14"/>
      <c r="W463" s="14"/>
      <c r="X463" s="14"/>
      <c r="Y463" s="14"/>
      <c r="Z463" s="14"/>
      <c r="AA463" s="14"/>
      <c r="AB463" s="14"/>
    </row>
    <row r="464">
      <c r="C464" s="100"/>
      <c r="D464" s="100"/>
      <c r="G464" s="50"/>
      <c r="H464" s="100"/>
      <c r="I464" s="100"/>
      <c r="J464" s="100"/>
      <c r="Q464" s="14" t="str">
        <f>IFERROR(__xludf.DUMMYFUNCTION("IF($A464="""","""",LEN(REGEXREPLACE($I464,"",\s?"","""")))"),"")</f>
        <v/>
      </c>
      <c r="S464" s="14"/>
      <c r="T464" s="14"/>
      <c r="U464" s="14"/>
      <c r="V464" s="14"/>
      <c r="W464" s="14"/>
      <c r="X464" s="14"/>
      <c r="Y464" s="14"/>
      <c r="Z464" s="14"/>
      <c r="AA464" s="14"/>
      <c r="AB464" s="14"/>
    </row>
    <row r="465">
      <c r="C465" s="100"/>
      <c r="D465" s="100"/>
      <c r="G465" s="50"/>
      <c r="H465" s="100"/>
      <c r="I465" s="100"/>
      <c r="J465" s="100"/>
      <c r="Q465" s="14" t="str">
        <f>IFERROR(__xludf.DUMMYFUNCTION("IF($A465="""","""",LEN(REGEXREPLACE($I465,"",\s?"","""")))"),"")</f>
        <v/>
      </c>
      <c r="S465" s="14"/>
      <c r="T465" s="14"/>
      <c r="U465" s="14"/>
      <c r="V465" s="14"/>
      <c r="W465" s="14"/>
      <c r="X465" s="14"/>
      <c r="Y465" s="14"/>
      <c r="Z465" s="14"/>
      <c r="AA465" s="14"/>
      <c r="AB465" s="14"/>
    </row>
    <row r="466">
      <c r="C466" s="100"/>
      <c r="D466" s="100"/>
      <c r="G466" s="50"/>
      <c r="H466" s="100"/>
      <c r="I466" s="100"/>
      <c r="J466" s="100"/>
      <c r="Q466" s="14" t="str">
        <f>IFERROR(__xludf.DUMMYFUNCTION("IF($A466="""","""",LEN(REGEXREPLACE($I466,"",\s?"","""")))"),"")</f>
        <v/>
      </c>
      <c r="S466" s="14"/>
      <c r="T466" s="14"/>
      <c r="U466" s="14"/>
      <c r="V466" s="14"/>
      <c r="W466" s="14"/>
      <c r="X466" s="14"/>
      <c r="Y466" s="14"/>
      <c r="Z466" s="14"/>
      <c r="AA466" s="14"/>
      <c r="AB466" s="14"/>
    </row>
    <row r="467">
      <c r="C467" s="100"/>
      <c r="D467" s="100"/>
      <c r="G467" s="50"/>
      <c r="H467" s="100"/>
      <c r="I467" s="100"/>
      <c r="J467" s="100"/>
      <c r="Q467" s="14" t="str">
        <f>IFERROR(__xludf.DUMMYFUNCTION("IF($A467="""","""",LEN(REGEXREPLACE($I467,"",\s?"","""")))"),"")</f>
        <v/>
      </c>
      <c r="S467" s="14"/>
      <c r="T467" s="14"/>
      <c r="U467" s="14"/>
      <c r="V467" s="14"/>
      <c r="W467" s="14"/>
      <c r="X467" s="14"/>
      <c r="Y467" s="14"/>
      <c r="Z467" s="14"/>
      <c r="AA467" s="14"/>
      <c r="AB467" s="14"/>
    </row>
    <row r="468">
      <c r="C468" s="100"/>
      <c r="D468" s="100"/>
      <c r="G468" s="50"/>
      <c r="H468" s="100"/>
      <c r="I468" s="100"/>
      <c r="J468" s="100"/>
      <c r="Q468" s="14" t="str">
        <f>IFERROR(__xludf.DUMMYFUNCTION("IF($A468="""","""",LEN(REGEXREPLACE($I468,"",\s?"","""")))"),"")</f>
        <v/>
      </c>
      <c r="S468" s="14"/>
      <c r="T468" s="14"/>
      <c r="U468" s="14"/>
      <c r="V468" s="14"/>
      <c r="W468" s="14"/>
      <c r="X468" s="14"/>
      <c r="Y468" s="14"/>
      <c r="Z468" s="14"/>
      <c r="AA468" s="14"/>
      <c r="AB468" s="14"/>
    </row>
    <row r="469">
      <c r="C469" s="100"/>
      <c r="D469" s="100"/>
      <c r="G469" s="50"/>
      <c r="H469" s="100"/>
      <c r="I469" s="100"/>
      <c r="J469" s="100"/>
      <c r="Q469" s="14" t="str">
        <f>IFERROR(__xludf.DUMMYFUNCTION("IF($A469="""","""",LEN(REGEXREPLACE($I469,"",\s?"","""")))"),"")</f>
        <v/>
      </c>
      <c r="S469" s="14"/>
      <c r="T469" s="14"/>
      <c r="U469" s="14"/>
      <c r="V469" s="14"/>
      <c r="W469" s="14"/>
      <c r="X469" s="14"/>
      <c r="Y469" s="14"/>
      <c r="Z469" s="14"/>
      <c r="AA469" s="14"/>
      <c r="AB469" s="14"/>
    </row>
    <row r="470">
      <c r="C470" s="100"/>
      <c r="D470" s="100"/>
      <c r="G470" s="50"/>
      <c r="H470" s="100"/>
      <c r="I470" s="100"/>
      <c r="J470" s="100"/>
      <c r="Q470" s="14" t="str">
        <f>IFERROR(__xludf.DUMMYFUNCTION("IF($A470="""","""",LEN(REGEXREPLACE($I470,"",\s?"","""")))"),"")</f>
        <v/>
      </c>
      <c r="S470" s="14"/>
      <c r="T470" s="14"/>
      <c r="U470" s="14"/>
      <c r="V470" s="14"/>
      <c r="W470" s="14"/>
      <c r="X470" s="14"/>
      <c r="Y470" s="14"/>
      <c r="Z470" s="14"/>
      <c r="AA470" s="14"/>
      <c r="AB470" s="14"/>
    </row>
    <row r="471">
      <c r="C471" s="100"/>
      <c r="D471" s="100"/>
      <c r="G471" s="50"/>
      <c r="H471" s="100"/>
      <c r="I471" s="100"/>
      <c r="J471" s="100"/>
      <c r="Q471" s="14" t="str">
        <f>IFERROR(__xludf.DUMMYFUNCTION("IF($A471="""","""",LEN(REGEXREPLACE($I471,"",\s?"","""")))"),"")</f>
        <v/>
      </c>
      <c r="S471" s="14"/>
      <c r="T471" s="14"/>
      <c r="U471" s="14"/>
      <c r="V471" s="14"/>
      <c r="W471" s="14"/>
      <c r="X471" s="14"/>
      <c r="Y471" s="14"/>
      <c r="Z471" s="14"/>
      <c r="AA471" s="14"/>
      <c r="AB471" s="14"/>
    </row>
    <row r="472">
      <c r="C472" s="100"/>
      <c r="D472" s="100"/>
      <c r="G472" s="50"/>
      <c r="H472" s="100"/>
      <c r="I472" s="100"/>
      <c r="J472" s="100"/>
      <c r="Q472" s="14" t="str">
        <f>IFERROR(__xludf.DUMMYFUNCTION("IF($A472="""","""",LEN(REGEXREPLACE($I472,"",\s?"","""")))"),"")</f>
        <v/>
      </c>
      <c r="S472" s="14"/>
      <c r="T472" s="14"/>
      <c r="U472" s="14"/>
      <c r="V472" s="14"/>
      <c r="W472" s="14"/>
      <c r="X472" s="14"/>
      <c r="Y472" s="14"/>
      <c r="Z472" s="14"/>
      <c r="AA472" s="14"/>
      <c r="AB472" s="14"/>
    </row>
    <row r="473">
      <c r="C473" s="100"/>
      <c r="D473" s="100"/>
      <c r="G473" s="50"/>
      <c r="H473" s="100"/>
      <c r="I473" s="100"/>
      <c r="J473" s="100"/>
      <c r="Q473" s="14" t="str">
        <f>IFERROR(__xludf.DUMMYFUNCTION("IF($A473="""","""",LEN(REGEXREPLACE($I473,"",\s?"","""")))"),"")</f>
        <v/>
      </c>
      <c r="S473" s="14"/>
      <c r="T473" s="14"/>
      <c r="U473" s="14"/>
      <c r="V473" s="14"/>
      <c r="W473" s="14"/>
      <c r="X473" s="14"/>
      <c r="Y473" s="14"/>
      <c r="Z473" s="14"/>
      <c r="AA473" s="14"/>
      <c r="AB473" s="14"/>
    </row>
    <row r="474">
      <c r="C474" s="100"/>
      <c r="D474" s="100"/>
      <c r="G474" s="50"/>
      <c r="H474" s="100"/>
      <c r="I474" s="100"/>
      <c r="J474" s="100"/>
      <c r="Q474" s="14" t="str">
        <f>IFERROR(__xludf.DUMMYFUNCTION("IF($A474="""","""",LEN(REGEXREPLACE($I474,"",\s?"","""")))"),"")</f>
        <v/>
      </c>
      <c r="S474" s="14"/>
      <c r="T474" s="14"/>
      <c r="U474" s="14"/>
      <c r="V474" s="14"/>
      <c r="W474" s="14"/>
      <c r="X474" s="14"/>
      <c r="Y474" s="14"/>
      <c r="Z474" s="14"/>
      <c r="AA474" s="14"/>
      <c r="AB474" s="14"/>
    </row>
    <row r="475">
      <c r="C475" s="100"/>
      <c r="D475" s="100"/>
      <c r="G475" s="50"/>
      <c r="H475" s="100"/>
      <c r="I475" s="100"/>
      <c r="J475" s="100"/>
      <c r="Q475" s="14" t="str">
        <f>IFERROR(__xludf.DUMMYFUNCTION("IF($A475="""","""",LEN(REGEXREPLACE($I475,"",\s?"","""")))"),"")</f>
        <v/>
      </c>
      <c r="S475" s="14"/>
      <c r="T475" s="14"/>
      <c r="U475" s="14"/>
      <c r="V475" s="14"/>
      <c r="W475" s="14"/>
      <c r="X475" s="14"/>
      <c r="Y475" s="14"/>
      <c r="Z475" s="14"/>
      <c r="AA475" s="14"/>
      <c r="AB475" s="14"/>
    </row>
    <row r="476">
      <c r="C476" s="100"/>
      <c r="D476" s="100"/>
      <c r="G476" s="50"/>
      <c r="H476" s="100"/>
      <c r="I476" s="100"/>
      <c r="J476" s="100"/>
      <c r="Q476" s="14" t="str">
        <f>IFERROR(__xludf.DUMMYFUNCTION("IF($A476="""","""",LEN(REGEXREPLACE($I476,"",\s?"","""")))"),"")</f>
        <v/>
      </c>
      <c r="S476" s="14"/>
      <c r="T476" s="14"/>
      <c r="U476" s="14"/>
      <c r="V476" s="14"/>
      <c r="W476" s="14"/>
      <c r="X476" s="14"/>
      <c r="Y476" s="14"/>
      <c r="Z476" s="14"/>
      <c r="AA476" s="14"/>
      <c r="AB476" s="14"/>
    </row>
    <row r="477">
      <c r="C477" s="100"/>
      <c r="D477" s="100"/>
      <c r="G477" s="50"/>
      <c r="H477" s="100"/>
      <c r="I477" s="100"/>
      <c r="J477" s="100"/>
      <c r="Q477" s="14" t="str">
        <f>IFERROR(__xludf.DUMMYFUNCTION("IF($A477="""","""",LEN(REGEXREPLACE($I477,"",\s?"","""")))"),"")</f>
        <v/>
      </c>
      <c r="S477" s="14"/>
      <c r="T477" s="14"/>
      <c r="U477" s="14"/>
      <c r="V477" s="14"/>
      <c r="W477" s="14"/>
      <c r="X477" s="14"/>
      <c r="Y477" s="14"/>
      <c r="Z477" s="14"/>
      <c r="AA477" s="14"/>
      <c r="AB477" s="14"/>
    </row>
    <row r="478">
      <c r="C478" s="100"/>
      <c r="D478" s="100"/>
      <c r="G478" s="50"/>
      <c r="H478" s="100"/>
      <c r="I478" s="100"/>
      <c r="J478" s="100"/>
      <c r="Q478" s="14" t="str">
        <f>IFERROR(__xludf.DUMMYFUNCTION("IF($A478="""","""",LEN(REGEXREPLACE($I478,"",\s?"","""")))"),"")</f>
        <v/>
      </c>
      <c r="S478" s="14"/>
      <c r="T478" s="14"/>
      <c r="U478" s="14"/>
      <c r="V478" s="14"/>
      <c r="W478" s="14"/>
      <c r="X478" s="14"/>
      <c r="Y478" s="14"/>
      <c r="Z478" s="14"/>
      <c r="AA478" s="14"/>
      <c r="AB478" s="14"/>
    </row>
    <row r="479">
      <c r="C479" s="100"/>
      <c r="D479" s="100"/>
      <c r="G479" s="50"/>
      <c r="H479" s="100"/>
      <c r="I479" s="100"/>
      <c r="J479" s="100"/>
      <c r="Q479" s="14" t="str">
        <f>IFERROR(__xludf.DUMMYFUNCTION("IF($A479="""","""",LEN(REGEXREPLACE($I479,"",\s?"","""")))"),"")</f>
        <v/>
      </c>
      <c r="S479" s="14"/>
      <c r="T479" s="14"/>
      <c r="U479" s="14"/>
      <c r="V479" s="14"/>
      <c r="W479" s="14"/>
      <c r="X479" s="14"/>
      <c r="Y479" s="14"/>
      <c r="Z479" s="14"/>
      <c r="AA479" s="14"/>
      <c r="AB479" s="14"/>
    </row>
    <row r="480">
      <c r="C480" s="100"/>
      <c r="D480" s="100"/>
      <c r="G480" s="50"/>
      <c r="H480" s="100"/>
      <c r="I480" s="100"/>
      <c r="J480" s="100"/>
      <c r="Q480" s="14" t="str">
        <f>IFERROR(__xludf.DUMMYFUNCTION("IF($A480="""","""",LEN(REGEXREPLACE($I480,"",\s?"","""")))"),"")</f>
        <v/>
      </c>
      <c r="S480" s="14"/>
      <c r="T480" s="14"/>
      <c r="U480" s="14"/>
      <c r="V480" s="14"/>
      <c r="W480" s="14"/>
      <c r="X480" s="14"/>
      <c r="Y480" s="14"/>
      <c r="Z480" s="14"/>
      <c r="AA480" s="14"/>
      <c r="AB480" s="14"/>
    </row>
    <row r="481">
      <c r="C481" s="100"/>
      <c r="D481" s="100"/>
      <c r="G481" s="50"/>
      <c r="H481" s="100"/>
      <c r="I481" s="100"/>
      <c r="J481" s="100"/>
      <c r="Q481" s="14" t="str">
        <f>IFERROR(__xludf.DUMMYFUNCTION("IF($A481="""","""",LEN(REGEXREPLACE($I481,"",\s?"","""")))"),"")</f>
        <v/>
      </c>
      <c r="S481" s="14"/>
      <c r="T481" s="14"/>
      <c r="U481" s="14"/>
      <c r="V481" s="14"/>
      <c r="W481" s="14"/>
      <c r="X481" s="14"/>
      <c r="Y481" s="14"/>
      <c r="Z481" s="14"/>
      <c r="AA481" s="14"/>
      <c r="AB481" s="14"/>
    </row>
    <row r="482">
      <c r="C482" s="100"/>
      <c r="D482" s="100"/>
      <c r="G482" s="50"/>
      <c r="H482" s="100"/>
      <c r="I482" s="100"/>
      <c r="J482" s="100"/>
      <c r="Q482" s="14" t="str">
        <f>IFERROR(__xludf.DUMMYFUNCTION("IF($A482="""","""",LEN(REGEXREPLACE($I482,"",\s?"","""")))"),"")</f>
        <v/>
      </c>
      <c r="S482" s="14"/>
      <c r="T482" s="14"/>
      <c r="U482" s="14"/>
      <c r="V482" s="14"/>
      <c r="W482" s="14"/>
      <c r="X482" s="14"/>
      <c r="Y482" s="14"/>
      <c r="Z482" s="14"/>
      <c r="AA482" s="14"/>
      <c r="AB482" s="14"/>
    </row>
    <row r="483">
      <c r="C483" s="100"/>
      <c r="D483" s="100"/>
      <c r="G483" s="50"/>
      <c r="H483" s="100"/>
      <c r="I483" s="100"/>
      <c r="J483" s="100"/>
      <c r="Q483" s="14" t="str">
        <f>IFERROR(__xludf.DUMMYFUNCTION("IF($A483="""","""",LEN(REGEXREPLACE($I483,"",\s?"","""")))"),"")</f>
        <v/>
      </c>
      <c r="S483" s="14"/>
      <c r="T483" s="14"/>
      <c r="U483" s="14"/>
      <c r="V483" s="14"/>
      <c r="W483" s="14"/>
      <c r="X483" s="14"/>
      <c r="Y483" s="14"/>
      <c r="Z483" s="14"/>
      <c r="AA483" s="14"/>
      <c r="AB483" s="14"/>
    </row>
    <row r="484">
      <c r="C484" s="100"/>
      <c r="D484" s="100"/>
      <c r="G484" s="50"/>
      <c r="H484" s="100"/>
      <c r="I484" s="100"/>
      <c r="J484" s="100"/>
      <c r="Q484" s="14" t="str">
        <f>IFERROR(__xludf.DUMMYFUNCTION("IF($A484="""","""",LEN(REGEXREPLACE($I484,"",\s?"","""")))"),"")</f>
        <v/>
      </c>
      <c r="S484" s="14"/>
      <c r="T484" s="14"/>
      <c r="U484" s="14"/>
      <c r="V484" s="14"/>
      <c r="W484" s="14"/>
      <c r="X484" s="14"/>
      <c r="Y484" s="14"/>
      <c r="Z484" s="14"/>
      <c r="AA484" s="14"/>
      <c r="AB484" s="14"/>
    </row>
    <row r="485">
      <c r="C485" s="100"/>
      <c r="D485" s="100"/>
      <c r="G485" s="50"/>
      <c r="H485" s="100"/>
      <c r="I485" s="100"/>
      <c r="J485" s="100"/>
      <c r="Q485" s="14" t="str">
        <f>IFERROR(__xludf.DUMMYFUNCTION("IF($A485="""","""",LEN(REGEXREPLACE($I485,"",\s?"","""")))"),"")</f>
        <v/>
      </c>
      <c r="S485" s="14"/>
      <c r="T485" s="14"/>
      <c r="U485" s="14"/>
      <c r="V485" s="14"/>
      <c r="W485" s="14"/>
      <c r="X485" s="14"/>
      <c r="Y485" s="14"/>
      <c r="Z485" s="14"/>
      <c r="AA485" s="14"/>
      <c r="AB485" s="14"/>
    </row>
    <row r="486">
      <c r="C486" s="100"/>
      <c r="D486" s="100"/>
      <c r="G486" s="50"/>
      <c r="H486" s="100"/>
      <c r="I486" s="100"/>
      <c r="J486" s="100"/>
      <c r="Q486" s="14" t="str">
        <f>IFERROR(__xludf.DUMMYFUNCTION("IF($A486="""","""",LEN(REGEXREPLACE($I486,"",\s?"","""")))"),"")</f>
        <v/>
      </c>
      <c r="S486" s="14"/>
      <c r="T486" s="14"/>
      <c r="U486" s="14"/>
      <c r="V486" s="14"/>
      <c r="W486" s="14"/>
      <c r="X486" s="14"/>
      <c r="Y486" s="14"/>
      <c r="Z486" s="14"/>
      <c r="AA486" s="14"/>
      <c r="AB486" s="14"/>
    </row>
    <row r="487">
      <c r="C487" s="100"/>
      <c r="D487" s="100"/>
      <c r="G487" s="50"/>
      <c r="H487" s="100"/>
      <c r="I487" s="100"/>
      <c r="J487" s="100"/>
      <c r="Q487" s="14" t="str">
        <f>IFERROR(__xludf.DUMMYFUNCTION("IF($A487="""","""",LEN(REGEXREPLACE($I487,"",\s?"","""")))"),"")</f>
        <v/>
      </c>
      <c r="S487" s="14"/>
      <c r="T487" s="14"/>
      <c r="U487" s="14"/>
      <c r="V487" s="14"/>
      <c r="W487" s="14"/>
      <c r="X487" s="14"/>
      <c r="Y487" s="14"/>
      <c r="Z487" s="14"/>
      <c r="AA487" s="14"/>
      <c r="AB487" s="14"/>
    </row>
    <row r="488">
      <c r="C488" s="100"/>
      <c r="D488" s="100"/>
      <c r="G488" s="50"/>
      <c r="H488" s="100"/>
      <c r="I488" s="100"/>
      <c r="J488" s="100"/>
      <c r="Q488" s="14" t="str">
        <f>IFERROR(__xludf.DUMMYFUNCTION("IF($A488="""","""",LEN(REGEXREPLACE($I488,"",\s?"","""")))"),"")</f>
        <v/>
      </c>
      <c r="S488" s="14"/>
      <c r="T488" s="14"/>
      <c r="U488" s="14"/>
      <c r="V488" s="14"/>
      <c r="W488" s="14"/>
      <c r="X488" s="14"/>
      <c r="Y488" s="14"/>
      <c r="Z488" s="14"/>
      <c r="AA488" s="14"/>
      <c r="AB488" s="14"/>
    </row>
    <row r="489">
      <c r="C489" s="100"/>
      <c r="D489" s="100"/>
      <c r="G489" s="50"/>
      <c r="H489" s="100"/>
      <c r="I489" s="100"/>
      <c r="J489" s="100"/>
      <c r="Q489" s="14" t="str">
        <f>IFERROR(__xludf.DUMMYFUNCTION("IF($A489="""","""",LEN(REGEXREPLACE($I489,"",\s?"","""")))"),"")</f>
        <v/>
      </c>
      <c r="S489" s="14"/>
      <c r="T489" s="14"/>
      <c r="U489" s="14"/>
      <c r="V489" s="14"/>
      <c r="W489" s="14"/>
      <c r="X489" s="14"/>
      <c r="Y489" s="14"/>
      <c r="Z489" s="14"/>
      <c r="AA489" s="14"/>
      <c r="AB489" s="14"/>
    </row>
    <row r="490">
      <c r="C490" s="100"/>
      <c r="D490" s="100"/>
      <c r="G490" s="50"/>
      <c r="H490" s="100"/>
      <c r="I490" s="100"/>
      <c r="J490" s="100"/>
      <c r="Q490" s="14" t="str">
        <f>IFERROR(__xludf.DUMMYFUNCTION("IF($A490="""","""",LEN(REGEXREPLACE($I490,"",\s?"","""")))"),"")</f>
        <v/>
      </c>
      <c r="S490" s="14"/>
      <c r="T490" s="14"/>
      <c r="U490" s="14"/>
      <c r="V490" s="14"/>
      <c r="W490" s="14"/>
      <c r="X490" s="14"/>
      <c r="Y490" s="14"/>
      <c r="Z490" s="14"/>
      <c r="AA490" s="14"/>
      <c r="AB490" s="14"/>
    </row>
    <row r="491">
      <c r="C491" s="100"/>
      <c r="D491" s="100"/>
      <c r="G491" s="50"/>
      <c r="H491" s="100"/>
      <c r="I491" s="100"/>
      <c r="J491" s="100"/>
      <c r="S491" s="14"/>
      <c r="T491" s="14"/>
      <c r="U491" s="14"/>
      <c r="V491" s="14"/>
      <c r="W491" s="14"/>
      <c r="X491" s="14"/>
      <c r="Y491" s="14"/>
      <c r="Z491" s="14"/>
      <c r="AA491" s="14"/>
      <c r="AB491" s="14"/>
    </row>
    <row r="492">
      <c r="C492" s="100"/>
      <c r="D492" s="100"/>
      <c r="G492" s="50"/>
      <c r="H492" s="100"/>
      <c r="I492" s="100"/>
      <c r="J492" s="100"/>
      <c r="S492" s="14"/>
      <c r="T492" s="14"/>
      <c r="U492" s="14"/>
      <c r="V492" s="14"/>
      <c r="W492" s="14"/>
      <c r="X492" s="14"/>
      <c r="Y492" s="14"/>
      <c r="Z492" s="14"/>
      <c r="AA492" s="14"/>
      <c r="AB492" s="14"/>
    </row>
    <row r="493">
      <c r="C493" s="100"/>
      <c r="D493" s="100"/>
      <c r="G493" s="50"/>
      <c r="H493" s="100"/>
      <c r="I493" s="100"/>
      <c r="J493" s="100"/>
      <c r="S493" s="14"/>
      <c r="T493" s="14"/>
      <c r="U493" s="14"/>
      <c r="V493" s="14"/>
      <c r="W493" s="14"/>
      <c r="X493" s="14"/>
      <c r="Y493" s="14"/>
      <c r="Z493" s="14"/>
      <c r="AA493" s="14"/>
      <c r="AB493" s="14"/>
    </row>
    <row r="494">
      <c r="C494" s="100"/>
      <c r="D494" s="100"/>
      <c r="G494" s="50"/>
      <c r="H494" s="100"/>
      <c r="I494" s="100"/>
      <c r="J494" s="100"/>
      <c r="S494" s="14"/>
      <c r="T494" s="14"/>
      <c r="U494" s="14"/>
      <c r="V494" s="14"/>
      <c r="W494" s="14"/>
      <c r="X494" s="14"/>
      <c r="Y494" s="14"/>
      <c r="Z494" s="14"/>
      <c r="AA494" s="14"/>
      <c r="AB494" s="14"/>
    </row>
    <row r="495">
      <c r="C495" s="100"/>
      <c r="D495" s="100"/>
      <c r="G495" s="50"/>
      <c r="H495" s="100"/>
      <c r="I495" s="100"/>
      <c r="J495" s="100"/>
      <c r="S495" s="14"/>
      <c r="T495" s="14"/>
      <c r="U495" s="14"/>
      <c r="V495" s="14"/>
      <c r="W495" s="14"/>
      <c r="X495" s="14"/>
      <c r="Y495" s="14"/>
      <c r="Z495" s="14"/>
      <c r="AA495" s="14"/>
      <c r="AB495" s="14"/>
    </row>
    <row r="496">
      <c r="C496" s="100"/>
      <c r="D496" s="100"/>
      <c r="G496" s="50"/>
      <c r="H496" s="100"/>
      <c r="I496" s="100"/>
      <c r="J496" s="100"/>
      <c r="S496" s="14"/>
      <c r="T496" s="14"/>
      <c r="U496" s="14"/>
      <c r="V496" s="14"/>
      <c r="W496" s="14"/>
      <c r="X496" s="14"/>
      <c r="Y496" s="14"/>
      <c r="Z496" s="14"/>
      <c r="AA496" s="14"/>
      <c r="AB496" s="14"/>
    </row>
    <row r="497">
      <c r="C497" s="100"/>
      <c r="D497" s="100"/>
      <c r="G497" s="50"/>
      <c r="H497" s="100"/>
      <c r="I497" s="100"/>
      <c r="J497" s="100"/>
      <c r="S497" s="14"/>
      <c r="T497" s="14"/>
      <c r="U497" s="14"/>
      <c r="V497" s="14"/>
      <c r="W497" s="14"/>
      <c r="X497" s="14"/>
      <c r="Y497" s="14"/>
      <c r="Z497" s="14"/>
      <c r="AA497" s="14"/>
      <c r="AB497" s="14"/>
    </row>
    <row r="498">
      <c r="C498" s="100"/>
      <c r="D498" s="100"/>
      <c r="G498" s="50"/>
      <c r="H498" s="100"/>
      <c r="I498" s="100"/>
      <c r="J498" s="100"/>
      <c r="S498" s="14"/>
      <c r="T498" s="14"/>
      <c r="U498" s="14"/>
      <c r="V498" s="14"/>
      <c r="W498" s="14"/>
      <c r="X498" s="14"/>
      <c r="Y498" s="14"/>
      <c r="Z498" s="14"/>
      <c r="AA498" s="14"/>
      <c r="AB498" s="14"/>
    </row>
    <row r="499">
      <c r="C499" s="100"/>
      <c r="D499" s="100"/>
      <c r="G499" s="50"/>
      <c r="H499" s="100"/>
      <c r="I499" s="100"/>
      <c r="J499" s="100"/>
      <c r="S499" s="14"/>
      <c r="T499" s="14"/>
      <c r="U499" s="14"/>
      <c r="V499" s="14"/>
      <c r="W499" s="14"/>
      <c r="X499" s="14"/>
      <c r="Y499" s="14"/>
      <c r="Z499" s="14"/>
      <c r="AA499" s="14"/>
      <c r="AB499" s="14"/>
    </row>
    <row r="500">
      <c r="C500" s="100"/>
      <c r="D500" s="100"/>
      <c r="G500" s="50"/>
      <c r="H500" s="100"/>
      <c r="I500" s="100"/>
      <c r="J500" s="100"/>
      <c r="S500" s="14"/>
      <c r="T500" s="14"/>
      <c r="U500" s="14"/>
      <c r="V500" s="14"/>
      <c r="W500" s="14"/>
      <c r="X500" s="14"/>
      <c r="Y500" s="14"/>
      <c r="Z500" s="14"/>
      <c r="AA500" s="14"/>
      <c r="AB500" s="14"/>
    </row>
    <row r="501">
      <c r="C501" s="100"/>
      <c r="D501" s="100"/>
      <c r="G501" s="50"/>
      <c r="H501" s="100"/>
      <c r="I501" s="100"/>
      <c r="J501" s="100"/>
      <c r="S501" s="14"/>
      <c r="T501" s="14"/>
      <c r="U501" s="14"/>
      <c r="V501" s="14"/>
      <c r="W501" s="14"/>
      <c r="X501" s="14"/>
      <c r="Y501" s="14"/>
      <c r="Z501" s="14"/>
      <c r="AA501" s="14"/>
      <c r="AB501" s="14"/>
    </row>
    <row r="502">
      <c r="C502" s="100"/>
      <c r="D502" s="100"/>
      <c r="G502" s="50"/>
      <c r="H502" s="100"/>
      <c r="I502" s="100"/>
      <c r="J502" s="100"/>
      <c r="S502" s="14"/>
      <c r="T502" s="14"/>
      <c r="U502" s="14"/>
      <c r="V502" s="14"/>
      <c r="W502" s="14"/>
      <c r="X502" s="14"/>
      <c r="Y502" s="14"/>
      <c r="Z502" s="14"/>
      <c r="AA502" s="14"/>
      <c r="AB502" s="14"/>
    </row>
    <row r="503">
      <c r="C503" s="100"/>
      <c r="D503" s="100"/>
      <c r="G503" s="50"/>
      <c r="H503" s="100"/>
      <c r="I503" s="100"/>
      <c r="J503" s="100"/>
      <c r="S503" s="14"/>
      <c r="T503" s="14"/>
      <c r="U503" s="14"/>
      <c r="V503" s="14"/>
      <c r="W503" s="14"/>
      <c r="X503" s="14"/>
      <c r="Y503" s="14"/>
      <c r="Z503" s="14"/>
      <c r="AA503" s="14"/>
      <c r="AB503" s="14"/>
    </row>
    <row r="504">
      <c r="C504" s="100"/>
      <c r="D504" s="100"/>
      <c r="G504" s="50"/>
      <c r="H504" s="100"/>
      <c r="I504" s="100"/>
      <c r="J504" s="100"/>
      <c r="S504" s="14"/>
      <c r="T504" s="14"/>
      <c r="U504" s="14"/>
      <c r="V504" s="14"/>
      <c r="W504" s="14"/>
      <c r="X504" s="14"/>
      <c r="Y504" s="14"/>
      <c r="Z504" s="14"/>
      <c r="AA504" s="14"/>
      <c r="AB504" s="14"/>
    </row>
    <row r="505">
      <c r="C505" s="100"/>
      <c r="D505" s="100"/>
      <c r="G505" s="50"/>
      <c r="H505" s="100"/>
      <c r="I505" s="100"/>
      <c r="J505" s="100"/>
      <c r="S505" s="14"/>
      <c r="T505" s="14"/>
      <c r="U505" s="14"/>
      <c r="V505" s="14"/>
      <c r="W505" s="14"/>
      <c r="X505" s="14"/>
      <c r="Y505" s="14"/>
      <c r="Z505" s="14"/>
      <c r="AA505" s="14"/>
      <c r="AB505" s="14"/>
    </row>
    <row r="506">
      <c r="C506" s="100"/>
      <c r="D506" s="100"/>
      <c r="G506" s="50"/>
      <c r="H506" s="100"/>
      <c r="I506" s="100"/>
      <c r="J506" s="100"/>
      <c r="S506" s="14"/>
      <c r="T506" s="14"/>
      <c r="U506" s="14"/>
      <c r="V506" s="14"/>
      <c r="W506" s="14"/>
      <c r="X506" s="14"/>
      <c r="Y506" s="14"/>
      <c r="Z506" s="14"/>
      <c r="AA506" s="14"/>
      <c r="AB506" s="14"/>
    </row>
    <row r="507">
      <c r="C507" s="100"/>
      <c r="D507" s="100"/>
      <c r="G507" s="50"/>
      <c r="H507" s="100"/>
      <c r="I507" s="100"/>
      <c r="J507" s="100"/>
      <c r="S507" s="14"/>
      <c r="T507" s="14"/>
      <c r="U507" s="14"/>
      <c r="V507" s="14"/>
      <c r="W507" s="14"/>
      <c r="X507" s="14"/>
      <c r="Y507" s="14"/>
      <c r="Z507" s="14"/>
      <c r="AA507" s="14"/>
      <c r="AB507" s="14"/>
    </row>
    <row r="508">
      <c r="C508" s="100"/>
      <c r="D508" s="100"/>
      <c r="G508" s="50"/>
      <c r="H508" s="100"/>
      <c r="I508" s="100"/>
      <c r="J508" s="100"/>
      <c r="S508" s="14"/>
      <c r="T508" s="14"/>
      <c r="U508" s="14"/>
      <c r="V508" s="14"/>
      <c r="W508" s="14"/>
      <c r="X508" s="14"/>
      <c r="Y508" s="14"/>
      <c r="Z508" s="14"/>
      <c r="AA508" s="14"/>
      <c r="AB508" s="14"/>
    </row>
    <row r="509">
      <c r="C509" s="100"/>
      <c r="D509" s="100"/>
      <c r="G509" s="50"/>
      <c r="H509" s="100"/>
      <c r="I509" s="100"/>
      <c r="J509" s="100"/>
      <c r="S509" s="14"/>
      <c r="T509" s="14"/>
      <c r="U509" s="14"/>
      <c r="V509" s="14"/>
      <c r="W509" s="14"/>
      <c r="X509" s="14"/>
      <c r="Y509" s="14"/>
      <c r="Z509" s="14"/>
      <c r="AA509" s="14"/>
      <c r="AB509" s="14"/>
    </row>
    <row r="510">
      <c r="C510" s="100"/>
      <c r="D510" s="100"/>
      <c r="G510" s="50"/>
      <c r="H510" s="100"/>
      <c r="I510" s="100"/>
      <c r="J510" s="100"/>
      <c r="S510" s="14"/>
      <c r="T510" s="14"/>
      <c r="U510" s="14"/>
      <c r="V510" s="14"/>
      <c r="W510" s="14"/>
      <c r="X510" s="14"/>
      <c r="Y510" s="14"/>
      <c r="Z510" s="14"/>
      <c r="AA510" s="14"/>
      <c r="AB510" s="14"/>
    </row>
    <row r="511">
      <c r="C511" s="100"/>
      <c r="D511" s="100"/>
      <c r="G511" s="50"/>
      <c r="H511" s="100"/>
      <c r="I511" s="100"/>
      <c r="J511" s="100"/>
      <c r="S511" s="14"/>
      <c r="T511" s="14"/>
      <c r="U511" s="14"/>
      <c r="V511" s="14"/>
      <c r="W511" s="14"/>
      <c r="X511" s="14"/>
      <c r="Y511" s="14"/>
      <c r="Z511" s="14"/>
      <c r="AA511" s="14"/>
      <c r="AB511" s="14"/>
    </row>
    <row r="512">
      <c r="C512" s="100"/>
      <c r="D512" s="100"/>
      <c r="G512" s="50"/>
      <c r="H512" s="100"/>
      <c r="I512" s="100"/>
      <c r="J512" s="100"/>
      <c r="S512" s="14"/>
      <c r="T512" s="14"/>
      <c r="U512" s="14"/>
      <c r="V512" s="14"/>
      <c r="W512" s="14"/>
      <c r="X512" s="14"/>
      <c r="Y512" s="14"/>
      <c r="Z512" s="14"/>
      <c r="AA512" s="14"/>
      <c r="AB512" s="14"/>
    </row>
    <row r="513">
      <c r="C513" s="100"/>
      <c r="D513" s="100"/>
      <c r="G513" s="50"/>
      <c r="H513" s="100"/>
      <c r="I513" s="100"/>
      <c r="J513" s="100"/>
      <c r="S513" s="14"/>
      <c r="T513" s="14"/>
      <c r="U513" s="14"/>
      <c r="V513" s="14"/>
      <c r="W513" s="14"/>
      <c r="X513" s="14"/>
      <c r="Y513" s="14"/>
      <c r="Z513" s="14"/>
      <c r="AA513" s="14"/>
      <c r="AB513" s="14"/>
    </row>
    <row r="514">
      <c r="C514" s="100"/>
      <c r="D514" s="100"/>
      <c r="G514" s="50"/>
      <c r="H514" s="100"/>
      <c r="I514" s="100"/>
      <c r="J514" s="100"/>
      <c r="S514" s="14"/>
      <c r="T514" s="14"/>
      <c r="U514" s="14"/>
      <c r="V514" s="14"/>
      <c r="W514" s="14"/>
      <c r="X514" s="14"/>
      <c r="Y514" s="14"/>
      <c r="Z514" s="14"/>
      <c r="AA514" s="14"/>
      <c r="AB514" s="14"/>
    </row>
    <row r="515">
      <c r="C515" s="100"/>
      <c r="D515" s="100"/>
      <c r="G515" s="50"/>
      <c r="H515" s="100"/>
      <c r="I515" s="100"/>
      <c r="J515" s="100"/>
      <c r="S515" s="14"/>
      <c r="T515" s="14"/>
      <c r="U515" s="14"/>
      <c r="V515" s="14"/>
      <c r="W515" s="14"/>
      <c r="X515" s="14"/>
      <c r="Y515" s="14"/>
      <c r="Z515" s="14"/>
      <c r="AA515" s="14"/>
      <c r="AB515" s="14"/>
    </row>
    <row r="516">
      <c r="C516" s="100"/>
      <c r="D516" s="100"/>
      <c r="G516" s="50"/>
      <c r="H516" s="100"/>
      <c r="I516" s="100"/>
      <c r="J516" s="100"/>
      <c r="S516" s="14"/>
      <c r="T516" s="14"/>
      <c r="U516" s="14"/>
      <c r="V516" s="14"/>
      <c r="W516" s="14"/>
      <c r="X516" s="14"/>
      <c r="Y516" s="14"/>
      <c r="Z516" s="14"/>
      <c r="AA516" s="14"/>
      <c r="AB516" s="14"/>
    </row>
    <row r="517">
      <c r="C517" s="100"/>
      <c r="D517" s="100"/>
      <c r="G517" s="50"/>
      <c r="H517" s="100"/>
      <c r="I517" s="100"/>
      <c r="J517" s="100"/>
      <c r="S517" s="14"/>
      <c r="T517" s="14"/>
      <c r="U517" s="14"/>
      <c r="V517" s="14"/>
      <c r="W517" s="14"/>
      <c r="X517" s="14"/>
      <c r="Y517" s="14"/>
      <c r="Z517" s="14"/>
      <c r="AA517" s="14"/>
      <c r="AB517" s="14"/>
    </row>
    <row r="518">
      <c r="C518" s="100"/>
      <c r="D518" s="100"/>
      <c r="G518" s="50"/>
      <c r="H518" s="100"/>
      <c r="I518" s="100"/>
      <c r="J518" s="100"/>
      <c r="S518" s="14"/>
      <c r="T518" s="14"/>
      <c r="U518" s="14"/>
      <c r="V518" s="14"/>
      <c r="W518" s="14"/>
      <c r="X518" s="14"/>
      <c r="Y518" s="14"/>
      <c r="Z518" s="14"/>
      <c r="AA518" s="14"/>
      <c r="AB518" s="14"/>
    </row>
    <row r="519">
      <c r="C519" s="100"/>
      <c r="D519" s="100"/>
      <c r="G519" s="50"/>
      <c r="H519" s="100"/>
      <c r="I519" s="100"/>
      <c r="J519" s="100"/>
      <c r="S519" s="14"/>
      <c r="T519" s="14"/>
      <c r="U519" s="14"/>
      <c r="V519" s="14"/>
      <c r="W519" s="14"/>
      <c r="X519" s="14"/>
      <c r="Y519" s="14"/>
      <c r="Z519" s="14"/>
      <c r="AA519" s="14"/>
      <c r="AB519" s="14"/>
    </row>
    <row r="520">
      <c r="C520" s="100"/>
      <c r="D520" s="100"/>
      <c r="G520" s="50"/>
      <c r="H520" s="100"/>
      <c r="I520" s="100"/>
      <c r="J520" s="100"/>
      <c r="S520" s="14"/>
      <c r="T520" s="14"/>
      <c r="U520" s="14"/>
      <c r="V520" s="14"/>
      <c r="W520" s="14"/>
      <c r="X520" s="14"/>
      <c r="Y520" s="14"/>
      <c r="Z520" s="14"/>
      <c r="AA520" s="14"/>
      <c r="AB520" s="14"/>
    </row>
    <row r="521">
      <c r="C521" s="100"/>
      <c r="D521" s="100"/>
      <c r="G521" s="50"/>
      <c r="H521" s="100"/>
      <c r="I521" s="100"/>
      <c r="J521" s="100"/>
      <c r="S521" s="14"/>
      <c r="T521" s="14"/>
      <c r="U521" s="14"/>
      <c r="V521" s="14"/>
      <c r="W521" s="14"/>
      <c r="X521" s="14"/>
      <c r="Y521" s="14"/>
      <c r="Z521" s="14"/>
      <c r="AA521" s="14"/>
      <c r="AB521" s="14"/>
    </row>
    <row r="522">
      <c r="C522" s="100"/>
      <c r="D522" s="100"/>
      <c r="G522" s="50"/>
      <c r="H522" s="100"/>
      <c r="I522" s="100"/>
      <c r="J522" s="100"/>
      <c r="S522" s="14"/>
      <c r="T522" s="14"/>
      <c r="U522" s="14"/>
      <c r="V522" s="14"/>
      <c r="W522" s="14"/>
      <c r="X522" s="14"/>
      <c r="Y522" s="14"/>
      <c r="Z522" s="14"/>
      <c r="AA522" s="14"/>
      <c r="AB522" s="14"/>
    </row>
    <row r="523">
      <c r="C523" s="100"/>
      <c r="D523" s="100"/>
      <c r="G523" s="50"/>
      <c r="H523" s="100"/>
      <c r="I523" s="100"/>
      <c r="J523" s="100"/>
      <c r="S523" s="14"/>
      <c r="T523" s="14"/>
      <c r="U523" s="14"/>
      <c r="V523" s="14"/>
      <c r="W523" s="14"/>
      <c r="X523" s="14"/>
      <c r="Y523" s="14"/>
      <c r="Z523" s="14"/>
      <c r="AA523" s="14"/>
      <c r="AB523" s="14"/>
    </row>
    <row r="524">
      <c r="C524" s="100"/>
      <c r="D524" s="100"/>
      <c r="G524" s="50"/>
      <c r="H524" s="100"/>
      <c r="I524" s="100"/>
      <c r="J524" s="100"/>
      <c r="S524" s="14"/>
      <c r="T524" s="14"/>
      <c r="U524" s="14"/>
      <c r="V524" s="14"/>
      <c r="W524" s="14"/>
      <c r="X524" s="14"/>
      <c r="Y524" s="14"/>
      <c r="Z524" s="14"/>
      <c r="AA524" s="14"/>
      <c r="AB524" s="14"/>
    </row>
    <row r="525">
      <c r="C525" s="100"/>
      <c r="D525" s="100"/>
      <c r="G525" s="50"/>
      <c r="H525" s="100"/>
      <c r="I525" s="100"/>
      <c r="J525" s="100"/>
      <c r="S525" s="14"/>
      <c r="T525" s="14"/>
      <c r="U525" s="14"/>
      <c r="V525" s="14"/>
      <c r="W525" s="14"/>
      <c r="X525" s="14"/>
      <c r="Y525" s="14"/>
      <c r="Z525" s="14"/>
      <c r="AA525" s="14"/>
      <c r="AB525" s="14"/>
    </row>
    <row r="526">
      <c r="C526" s="100"/>
      <c r="D526" s="100"/>
      <c r="G526" s="50"/>
      <c r="H526" s="100"/>
      <c r="I526" s="100"/>
      <c r="J526" s="100"/>
      <c r="S526" s="14"/>
      <c r="T526" s="14"/>
      <c r="U526" s="14"/>
      <c r="V526" s="14"/>
      <c r="W526" s="14"/>
      <c r="X526" s="14"/>
      <c r="Y526" s="14"/>
      <c r="Z526" s="14"/>
      <c r="AA526" s="14"/>
      <c r="AB526" s="14"/>
    </row>
    <row r="527">
      <c r="C527" s="100"/>
      <c r="D527" s="100"/>
      <c r="G527" s="50"/>
      <c r="H527" s="100"/>
      <c r="I527" s="100"/>
      <c r="J527" s="100"/>
      <c r="S527" s="14"/>
      <c r="T527" s="14"/>
      <c r="U527" s="14"/>
      <c r="V527" s="14"/>
      <c r="W527" s="14"/>
      <c r="X527" s="14"/>
      <c r="Y527" s="14"/>
      <c r="Z527" s="14"/>
      <c r="AA527" s="14"/>
      <c r="AB527" s="14"/>
    </row>
    <row r="528">
      <c r="C528" s="100"/>
      <c r="D528" s="100"/>
      <c r="G528" s="50"/>
      <c r="H528" s="100"/>
      <c r="I528" s="100"/>
      <c r="J528" s="100"/>
      <c r="S528" s="14"/>
      <c r="T528" s="14"/>
      <c r="U528" s="14"/>
      <c r="V528" s="14"/>
      <c r="W528" s="14"/>
      <c r="X528" s="14"/>
      <c r="Y528" s="14"/>
      <c r="Z528" s="14"/>
      <c r="AA528" s="14"/>
      <c r="AB528" s="14"/>
    </row>
    <row r="529">
      <c r="C529" s="100"/>
      <c r="D529" s="100"/>
      <c r="G529" s="50"/>
      <c r="H529" s="100"/>
      <c r="I529" s="100"/>
      <c r="J529" s="100"/>
      <c r="S529" s="14"/>
      <c r="T529" s="14"/>
      <c r="U529" s="14"/>
      <c r="V529" s="14"/>
      <c r="W529" s="14"/>
      <c r="X529" s="14"/>
      <c r="Y529" s="14"/>
      <c r="Z529" s="14"/>
      <c r="AA529" s="14"/>
      <c r="AB529" s="14"/>
    </row>
    <row r="530">
      <c r="C530" s="100"/>
      <c r="D530" s="100"/>
      <c r="G530" s="50"/>
      <c r="H530" s="100"/>
      <c r="I530" s="100"/>
      <c r="J530" s="100"/>
      <c r="S530" s="14"/>
      <c r="T530" s="14"/>
      <c r="U530" s="14"/>
      <c r="V530" s="14"/>
      <c r="W530" s="14"/>
      <c r="X530" s="14"/>
      <c r="Y530" s="14"/>
      <c r="Z530" s="14"/>
      <c r="AA530" s="14"/>
      <c r="AB530" s="14"/>
    </row>
    <row r="531">
      <c r="C531" s="100"/>
      <c r="D531" s="100"/>
      <c r="G531" s="50"/>
      <c r="H531" s="100"/>
      <c r="I531" s="100"/>
      <c r="J531" s="100"/>
      <c r="S531" s="14"/>
      <c r="T531" s="14"/>
      <c r="U531" s="14"/>
      <c r="V531" s="14"/>
      <c r="W531" s="14"/>
      <c r="X531" s="14"/>
      <c r="Y531" s="14"/>
      <c r="Z531" s="14"/>
      <c r="AA531" s="14"/>
      <c r="AB531" s="14"/>
    </row>
    <row r="532">
      <c r="C532" s="100"/>
      <c r="D532" s="100"/>
      <c r="G532" s="50"/>
      <c r="H532" s="100"/>
      <c r="I532" s="100"/>
      <c r="J532" s="100"/>
      <c r="S532" s="14"/>
      <c r="T532" s="14"/>
      <c r="U532" s="14"/>
      <c r="V532" s="14"/>
      <c r="W532" s="14"/>
      <c r="X532" s="14"/>
      <c r="Y532" s="14"/>
      <c r="Z532" s="14"/>
      <c r="AA532" s="14"/>
      <c r="AB532" s="14"/>
    </row>
    <row r="533">
      <c r="C533" s="100"/>
      <c r="D533" s="100"/>
      <c r="G533" s="50"/>
      <c r="H533" s="100"/>
      <c r="I533" s="100"/>
      <c r="J533" s="100"/>
      <c r="S533" s="14"/>
      <c r="T533" s="14"/>
      <c r="U533" s="14"/>
      <c r="V533" s="14"/>
      <c r="W533" s="14"/>
      <c r="X533" s="14"/>
      <c r="Y533" s="14"/>
      <c r="Z533" s="14"/>
      <c r="AA533" s="14"/>
      <c r="AB533" s="14"/>
    </row>
    <row r="534">
      <c r="C534" s="100"/>
      <c r="D534" s="100"/>
      <c r="G534" s="50"/>
      <c r="H534" s="100"/>
      <c r="I534" s="100"/>
      <c r="J534" s="100"/>
      <c r="S534" s="14"/>
      <c r="T534" s="14"/>
      <c r="U534" s="14"/>
      <c r="V534" s="14"/>
      <c r="W534" s="14"/>
      <c r="X534" s="14"/>
      <c r="Y534" s="14"/>
      <c r="Z534" s="14"/>
      <c r="AA534" s="14"/>
      <c r="AB534" s="14"/>
    </row>
    <row r="535">
      <c r="C535" s="100"/>
      <c r="D535" s="100"/>
      <c r="G535" s="50"/>
      <c r="H535" s="100"/>
      <c r="I535" s="100"/>
      <c r="J535" s="100"/>
      <c r="S535" s="14"/>
      <c r="T535" s="14"/>
      <c r="U535" s="14"/>
      <c r="V535" s="14"/>
      <c r="W535" s="14"/>
      <c r="X535" s="14"/>
      <c r="Y535" s="14"/>
      <c r="Z535" s="14"/>
      <c r="AA535" s="14"/>
      <c r="AB535" s="14"/>
    </row>
    <row r="536">
      <c r="C536" s="100"/>
      <c r="D536" s="100"/>
      <c r="G536" s="50"/>
      <c r="H536" s="100"/>
      <c r="I536" s="100"/>
      <c r="J536" s="100"/>
      <c r="S536" s="14"/>
      <c r="T536" s="14"/>
      <c r="U536" s="14"/>
      <c r="V536" s="14"/>
      <c r="W536" s="14"/>
      <c r="X536" s="14"/>
      <c r="Y536" s="14"/>
      <c r="Z536" s="14"/>
      <c r="AA536" s="14"/>
      <c r="AB536" s="14"/>
    </row>
    <row r="537">
      <c r="C537" s="100"/>
      <c r="D537" s="100"/>
      <c r="G537" s="50"/>
      <c r="H537" s="100"/>
      <c r="I537" s="100"/>
      <c r="J537" s="100"/>
      <c r="S537" s="14"/>
      <c r="T537" s="14"/>
      <c r="U537" s="14"/>
      <c r="V537" s="14"/>
      <c r="W537" s="14"/>
      <c r="X537" s="14"/>
      <c r="Y537" s="14"/>
      <c r="Z537" s="14"/>
      <c r="AA537" s="14"/>
      <c r="AB537" s="14"/>
    </row>
    <row r="538">
      <c r="C538" s="100"/>
      <c r="D538" s="100"/>
      <c r="G538" s="50"/>
      <c r="H538" s="100"/>
      <c r="I538" s="100"/>
      <c r="J538" s="100"/>
      <c r="S538" s="14"/>
      <c r="T538" s="14"/>
      <c r="U538" s="14"/>
      <c r="V538" s="14"/>
      <c r="W538" s="14"/>
      <c r="X538" s="14"/>
      <c r="Y538" s="14"/>
      <c r="Z538" s="14"/>
      <c r="AA538" s="14"/>
      <c r="AB538" s="14"/>
    </row>
    <row r="539">
      <c r="C539" s="100"/>
      <c r="D539" s="100"/>
      <c r="G539" s="50"/>
      <c r="H539" s="100"/>
      <c r="I539" s="100"/>
      <c r="J539" s="100"/>
      <c r="S539" s="14"/>
      <c r="T539" s="14"/>
      <c r="U539" s="14"/>
      <c r="V539" s="14"/>
      <c r="W539" s="14"/>
      <c r="X539" s="14"/>
      <c r="Y539" s="14"/>
      <c r="Z539" s="14"/>
      <c r="AA539" s="14"/>
      <c r="AB539" s="14"/>
    </row>
    <row r="540">
      <c r="C540" s="100"/>
      <c r="D540" s="100"/>
      <c r="G540" s="50"/>
      <c r="H540" s="100"/>
      <c r="I540" s="100"/>
      <c r="J540" s="100"/>
      <c r="S540" s="14"/>
      <c r="T540" s="14"/>
      <c r="U540" s="14"/>
      <c r="V540" s="14"/>
      <c r="W540" s="14"/>
      <c r="X540" s="14"/>
      <c r="Y540" s="14"/>
      <c r="Z540" s="14"/>
      <c r="AA540" s="14"/>
      <c r="AB540" s="14"/>
    </row>
    <row r="541">
      <c r="C541" s="100"/>
      <c r="D541" s="100"/>
      <c r="G541" s="50"/>
      <c r="H541" s="100"/>
      <c r="I541" s="100"/>
      <c r="J541" s="100"/>
      <c r="S541" s="14"/>
      <c r="T541" s="14"/>
      <c r="U541" s="14"/>
      <c r="V541" s="14"/>
      <c r="W541" s="14"/>
      <c r="X541" s="14"/>
      <c r="Y541" s="14"/>
      <c r="Z541" s="14"/>
      <c r="AA541" s="14"/>
      <c r="AB541" s="14"/>
    </row>
    <row r="542">
      <c r="C542" s="100"/>
      <c r="D542" s="100"/>
      <c r="G542" s="50"/>
      <c r="H542" s="100"/>
      <c r="I542" s="100"/>
      <c r="J542" s="100"/>
      <c r="S542" s="14"/>
      <c r="T542" s="14"/>
      <c r="U542" s="14"/>
      <c r="V542" s="14"/>
      <c r="W542" s="14"/>
      <c r="X542" s="14"/>
      <c r="Y542" s="14"/>
      <c r="Z542" s="14"/>
      <c r="AA542" s="14"/>
      <c r="AB542" s="14"/>
    </row>
    <row r="543">
      <c r="C543" s="100"/>
      <c r="D543" s="100"/>
      <c r="G543" s="50"/>
      <c r="H543" s="100"/>
      <c r="I543" s="100"/>
      <c r="J543" s="100"/>
      <c r="S543" s="14"/>
      <c r="T543" s="14"/>
      <c r="U543" s="14"/>
      <c r="V543" s="14"/>
      <c r="W543" s="14"/>
      <c r="X543" s="14"/>
      <c r="Y543" s="14"/>
      <c r="Z543" s="14"/>
      <c r="AA543" s="14"/>
      <c r="AB543" s="14"/>
    </row>
    <row r="544">
      <c r="C544" s="100"/>
      <c r="D544" s="100"/>
      <c r="G544" s="50"/>
      <c r="H544" s="100"/>
      <c r="I544" s="100"/>
      <c r="J544" s="100"/>
      <c r="S544" s="14"/>
      <c r="T544" s="14"/>
      <c r="U544" s="14"/>
      <c r="V544" s="14"/>
      <c r="W544" s="14"/>
      <c r="X544" s="14"/>
      <c r="Y544" s="14"/>
      <c r="Z544" s="14"/>
      <c r="AA544" s="14"/>
      <c r="AB544" s="14"/>
    </row>
    <row r="545">
      <c r="C545" s="100"/>
      <c r="D545" s="100"/>
      <c r="G545" s="50"/>
      <c r="H545" s="100"/>
      <c r="I545" s="100"/>
      <c r="J545" s="100"/>
      <c r="S545" s="14"/>
      <c r="T545" s="14"/>
      <c r="U545" s="14"/>
      <c r="V545" s="14"/>
      <c r="W545" s="14"/>
      <c r="X545" s="14"/>
      <c r="Y545" s="14"/>
      <c r="Z545" s="14"/>
      <c r="AA545" s="14"/>
      <c r="AB545" s="14"/>
    </row>
    <row r="546">
      <c r="C546" s="100"/>
      <c r="D546" s="100"/>
      <c r="G546" s="50"/>
      <c r="H546" s="100"/>
      <c r="I546" s="100"/>
      <c r="J546" s="100"/>
      <c r="S546" s="14"/>
      <c r="T546" s="14"/>
      <c r="U546" s="14"/>
      <c r="V546" s="14"/>
      <c r="W546" s="14"/>
      <c r="X546" s="14"/>
      <c r="Y546" s="14"/>
      <c r="Z546" s="14"/>
      <c r="AA546" s="14"/>
      <c r="AB546" s="14"/>
    </row>
    <row r="547">
      <c r="C547" s="100"/>
      <c r="D547" s="100"/>
      <c r="G547" s="50"/>
      <c r="H547" s="100"/>
      <c r="I547" s="100"/>
      <c r="J547" s="100"/>
      <c r="S547" s="14"/>
      <c r="T547" s="14"/>
      <c r="U547" s="14"/>
      <c r="V547" s="14"/>
      <c r="W547" s="14"/>
      <c r="X547" s="14"/>
      <c r="Y547" s="14"/>
      <c r="Z547" s="14"/>
      <c r="AA547" s="14"/>
      <c r="AB547" s="14"/>
    </row>
    <row r="548">
      <c r="C548" s="100"/>
      <c r="D548" s="100"/>
      <c r="G548" s="50"/>
      <c r="H548" s="100"/>
      <c r="I548" s="100"/>
      <c r="J548" s="100"/>
      <c r="S548" s="14"/>
      <c r="T548" s="14"/>
      <c r="U548" s="14"/>
      <c r="V548" s="14"/>
      <c r="W548" s="14"/>
      <c r="X548" s="14"/>
      <c r="Y548" s="14"/>
      <c r="Z548" s="14"/>
      <c r="AA548" s="14"/>
      <c r="AB548" s="14"/>
    </row>
    <row r="549">
      <c r="C549" s="100"/>
      <c r="D549" s="100"/>
      <c r="G549" s="50"/>
      <c r="H549" s="100"/>
      <c r="I549" s="100"/>
      <c r="J549" s="100"/>
      <c r="S549" s="14"/>
      <c r="T549" s="14"/>
      <c r="U549" s="14"/>
      <c r="V549" s="14"/>
      <c r="W549" s="14"/>
      <c r="X549" s="14"/>
      <c r="Y549" s="14"/>
      <c r="Z549" s="14"/>
      <c r="AA549" s="14"/>
      <c r="AB549" s="14"/>
    </row>
    <row r="550">
      <c r="C550" s="100"/>
      <c r="D550" s="100"/>
      <c r="G550" s="50"/>
      <c r="H550" s="100"/>
      <c r="I550" s="100"/>
      <c r="J550" s="100"/>
      <c r="S550" s="14"/>
      <c r="T550" s="14"/>
      <c r="U550" s="14"/>
      <c r="V550" s="14"/>
      <c r="W550" s="14"/>
      <c r="X550" s="14"/>
      <c r="Y550" s="14"/>
      <c r="Z550" s="14"/>
      <c r="AA550" s="14"/>
      <c r="AB550" s="14"/>
    </row>
    <row r="551">
      <c r="C551" s="100"/>
      <c r="D551" s="100"/>
      <c r="G551" s="50"/>
      <c r="H551" s="100"/>
      <c r="I551" s="100"/>
      <c r="J551" s="100"/>
      <c r="S551" s="14"/>
      <c r="T551" s="14"/>
      <c r="U551" s="14"/>
      <c r="V551" s="14"/>
      <c r="W551" s="14"/>
      <c r="X551" s="14"/>
      <c r="Y551" s="14"/>
      <c r="Z551" s="14"/>
      <c r="AA551" s="14"/>
      <c r="AB551" s="14"/>
    </row>
    <row r="552">
      <c r="C552" s="100"/>
      <c r="D552" s="100"/>
      <c r="G552" s="50"/>
      <c r="H552" s="100"/>
      <c r="I552" s="100"/>
      <c r="J552" s="100"/>
      <c r="S552" s="14"/>
      <c r="T552" s="14"/>
      <c r="U552" s="14"/>
      <c r="V552" s="14"/>
      <c r="W552" s="14"/>
      <c r="X552" s="14"/>
      <c r="Y552" s="14"/>
      <c r="Z552" s="14"/>
      <c r="AA552" s="14"/>
      <c r="AB552" s="14"/>
    </row>
    <row r="553">
      <c r="C553" s="100"/>
      <c r="D553" s="100"/>
      <c r="G553" s="50"/>
      <c r="H553" s="100"/>
      <c r="I553" s="100"/>
      <c r="J553" s="100"/>
      <c r="S553" s="14"/>
      <c r="T553" s="14"/>
      <c r="U553" s="14"/>
      <c r="V553" s="14"/>
      <c r="W553" s="14"/>
      <c r="X553" s="14"/>
      <c r="Y553" s="14"/>
      <c r="Z553" s="14"/>
      <c r="AA553" s="14"/>
      <c r="AB553" s="14"/>
    </row>
    <row r="554">
      <c r="C554" s="100"/>
      <c r="D554" s="100"/>
      <c r="G554" s="50"/>
      <c r="H554" s="100"/>
      <c r="I554" s="100"/>
      <c r="J554" s="100"/>
      <c r="S554" s="14"/>
      <c r="T554" s="14"/>
      <c r="U554" s="14"/>
      <c r="V554" s="14"/>
      <c r="W554" s="14"/>
      <c r="X554" s="14"/>
      <c r="Y554" s="14"/>
      <c r="Z554" s="14"/>
      <c r="AA554" s="14"/>
      <c r="AB554" s="14"/>
    </row>
    <row r="555">
      <c r="C555" s="100"/>
      <c r="D555" s="100"/>
      <c r="G555" s="50"/>
      <c r="H555" s="100"/>
      <c r="I555" s="100"/>
      <c r="J555" s="100"/>
      <c r="S555" s="14"/>
      <c r="T555" s="14"/>
      <c r="U555" s="14"/>
      <c r="V555" s="14"/>
      <c r="W555" s="14"/>
      <c r="X555" s="14"/>
      <c r="Y555" s="14"/>
      <c r="Z555" s="14"/>
      <c r="AA555" s="14"/>
      <c r="AB555" s="14"/>
    </row>
    <row r="556">
      <c r="C556" s="100"/>
      <c r="D556" s="100"/>
      <c r="G556" s="50"/>
      <c r="H556" s="100"/>
      <c r="I556" s="100"/>
      <c r="J556" s="100"/>
      <c r="S556" s="14"/>
      <c r="T556" s="14"/>
      <c r="U556" s="14"/>
      <c r="V556" s="14"/>
      <c r="W556" s="14"/>
      <c r="X556" s="14"/>
      <c r="Y556" s="14"/>
      <c r="Z556" s="14"/>
      <c r="AA556" s="14"/>
      <c r="AB556" s="14"/>
    </row>
    <row r="557">
      <c r="C557" s="100"/>
      <c r="D557" s="100"/>
      <c r="G557" s="50"/>
      <c r="H557" s="100"/>
      <c r="I557" s="100"/>
      <c r="J557" s="100"/>
      <c r="S557" s="14"/>
      <c r="T557" s="14"/>
      <c r="U557" s="14"/>
      <c r="V557" s="14"/>
      <c r="W557" s="14"/>
      <c r="X557" s="14"/>
      <c r="Y557" s="14"/>
      <c r="Z557" s="14"/>
      <c r="AA557" s="14"/>
      <c r="AB557" s="14"/>
    </row>
    <row r="558">
      <c r="C558" s="100"/>
      <c r="D558" s="100"/>
      <c r="G558" s="50"/>
      <c r="H558" s="100"/>
      <c r="I558" s="100"/>
      <c r="J558" s="100"/>
      <c r="S558" s="14"/>
      <c r="T558" s="14"/>
      <c r="U558" s="14"/>
      <c r="V558" s="14"/>
      <c r="W558" s="14"/>
      <c r="X558" s="14"/>
      <c r="Y558" s="14"/>
      <c r="Z558" s="14"/>
      <c r="AA558" s="14"/>
      <c r="AB558" s="14"/>
    </row>
    <row r="559">
      <c r="C559" s="100"/>
      <c r="D559" s="100"/>
      <c r="G559" s="50"/>
      <c r="H559" s="100"/>
      <c r="I559" s="100"/>
      <c r="J559" s="100"/>
      <c r="S559" s="14"/>
      <c r="T559" s="14"/>
      <c r="U559" s="14"/>
      <c r="V559" s="14"/>
      <c r="W559" s="14"/>
      <c r="X559" s="14"/>
      <c r="Y559" s="14"/>
      <c r="Z559" s="14"/>
      <c r="AA559" s="14"/>
      <c r="AB559" s="14"/>
    </row>
    <row r="560">
      <c r="C560" s="100"/>
      <c r="D560" s="100"/>
      <c r="G560" s="50"/>
      <c r="H560" s="100"/>
      <c r="I560" s="100"/>
      <c r="J560" s="100"/>
      <c r="S560" s="14"/>
      <c r="T560" s="14"/>
      <c r="U560" s="14"/>
      <c r="V560" s="14"/>
      <c r="W560" s="14"/>
      <c r="X560" s="14"/>
      <c r="Y560" s="14"/>
      <c r="Z560" s="14"/>
      <c r="AA560" s="14"/>
      <c r="AB560" s="14"/>
    </row>
    <row r="561">
      <c r="C561" s="100"/>
      <c r="D561" s="100"/>
      <c r="G561" s="50"/>
      <c r="H561" s="100"/>
      <c r="I561" s="100"/>
      <c r="J561" s="100"/>
      <c r="S561" s="14"/>
      <c r="T561" s="14"/>
      <c r="U561" s="14"/>
      <c r="V561" s="14"/>
      <c r="W561" s="14"/>
      <c r="X561" s="14"/>
      <c r="Y561" s="14"/>
      <c r="Z561" s="14"/>
      <c r="AA561" s="14"/>
      <c r="AB561" s="14"/>
    </row>
    <row r="562">
      <c r="C562" s="100"/>
      <c r="D562" s="100"/>
      <c r="G562" s="50"/>
      <c r="H562" s="100"/>
      <c r="I562" s="100"/>
      <c r="J562" s="100"/>
      <c r="S562" s="14"/>
      <c r="T562" s="14"/>
      <c r="U562" s="14"/>
      <c r="V562" s="14"/>
      <c r="W562" s="14"/>
      <c r="X562" s="14"/>
      <c r="Y562" s="14"/>
      <c r="Z562" s="14"/>
      <c r="AA562" s="14"/>
      <c r="AB562" s="14"/>
    </row>
    <row r="563">
      <c r="C563" s="100"/>
      <c r="D563" s="100"/>
      <c r="G563" s="50"/>
      <c r="H563" s="100"/>
      <c r="I563" s="100"/>
      <c r="J563" s="100"/>
      <c r="S563" s="14"/>
      <c r="T563" s="14"/>
      <c r="U563" s="14"/>
      <c r="V563" s="14"/>
      <c r="W563" s="14"/>
      <c r="X563" s="14"/>
      <c r="Y563" s="14"/>
      <c r="Z563" s="14"/>
      <c r="AA563" s="14"/>
      <c r="AB563" s="14"/>
    </row>
    <row r="564">
      <c r="C564" s="100"/>
      <c r="D564" s="100"/>
      <c r="G564" s="50"/>
      <c r="H564" s="100"/>
      <c r="I564" s="100"/>
      <c r="J564" s="100"/>
      <c r="S564" s="14"/>
      <c r="T564" s="14"/>
      <c r="U564" s="14"/>
      <c r="V564" s="14"/>
      <c r="W564" s="14"/>
      <c r="X564" s="14"/>
      <c r="Y564" s="14"/>
      <c r="Z564" s="14"/>
      <c r="AA564" s="14"/>
      <c r="AB564" s="14"/>
    </row>
    <row r="565">
      <c r="C565" s="100"/>
      <c r="D565" s="100"/>
      <c r="G565" s="50"/>
      <c r="H565" s="100"/>
      <c r="I565" s="100"/>
      <c r="J565" s="100"/>
      <c r="S565" s="14"/>
      <c r="T565" s="14"/>
      <c r="U565" s="14"/>
      <c r="V565" s="14"/>
      <c r="W565" s="14"/>
      <c r="X565" s="14"/>
      <c r="Y565" s="14"/>
      <c r="Z565" s="14"/>
      <c r="AA565" s="14"/>
      <c r="AB565" s="14"/>
    </row>
    <row r="566">
      <c r="C566" s="100"/>
      <c r="D566" s="100"/>
      <c r="G566" s="50"/>
      <c r="H566" s="100"/>
      <c r="I566" s="100"/>
      <c r="J566" s="100"/>
      <c r="S566" s="14"/>
      <c r="T566" s="14"/>
      <c r="U566" s="14"/>
      <c r="V566" s="14"/>
      <c r="W566" s="14"/>
      <c r="X566" s="14"/>
      <c r="Y566" s="14"/>
      <c r="Z566" s="14"/>
      <c r="AA566" s="14"/>
      <c r="AB566" s="14"/>
    </row>
    <row r="567">
      <c r="C567" s="100"/>
      <c r="D567" s="100"/>
      <c r="G567" s="50"/>
      <c r="H567" s="100"/>
      <c r="I567" s="100"/>
      <c r="J567" s="100"/>
      <c r="S567" s="14"/>
      <c r="T567" s="14"/>
      <c r="U567" s="14"/>
      <c r="V567" s="14"/>
      <c r="W567" s="14"/>
      <c r="X567" s="14"/>
      <c r="Y567" s="14"/>
      <c r="Z567" s="14"/>
      <c r="AA567" s="14"/>
      <c r="AB567" s="14"/>
    </row>
    <row r="568">
      <c r="C568" s="100"/>
      <c r="D568" s="100"/>
      <c r="G568" s="50"/>
      <c r="H568" s="100"/>
      <c r="I568" s="100"/>
      <c r="J568" s="100"/>
      <c r="S568" s="14"/>
      <c r="T568" s="14"/>
      <c r="U568" s="14"/>
      <c r="V568" s="14"/>
      <c r="W568" s="14"/>
      <c r="X568" s="14"/>
      <c r="Y568" s="14"/>
      <c r="Z568" s="14"/>
      <c r="AA568" s="14"/>
      <c r="AB568" s="14"/>
    </row>
    <row r="569">
      <c r="C569" s="100"/>
      <c r="D569" s="100"/>
      <c r="G569" s="50"/>
      <c r="H569" s="100"/>
      <c r="I569" s="100"/>
      <c r="J569" s="100"/>
      <c r="S569" s="14"/>
      <c r="T569" s="14"/>
      <c r="U569" s="14"/>
      <c r="V569" s="14"/>
      <c r="W569" s="14"/>
      <c r="X569" s="14"/>
      <c r="Y569" s="14"/>
      <c r="Z569" s="14"/>
      <c r="AA569" s="14"/>
      <c r="AB569" s="14"/>
    </row>
    <row r="570">
      <c r="C570" s="100"/>
      <c r="D570" s="100"/>
      <c r="G570" s="50"/>
      <c r="H570" s="100"/>
      <c r="I570" s="100"/>
      <c r="J570" s="100"/>
      <c r="S570" s="14"/>
      <c r="T570" s="14"/>
      <c r="U570" s="14"/>
      <c r="V570" s="14"/>
      <c r="W570" s="14"/>
      <c r="X570" s="14"/>
      <c r="Y570" s="14"/>
      <c r="Z570" s="14"/>
      <c r="AA570" s="14"/>
      <c r="AB570" s="14"/>
    </row>
    <row r="571">
      <c r="C571" s="100"/>
      <c r="D571" s="100"/>
      <c r="G571" s="50"/>
      <c r="H571" s="100"/>
      <c r="I571" s="100"/>
      <c r="J571" s="100"/>
      <c r="S571" s="14"/>
      <c r="T571" s="14"/>
      <c r="U571" s="14"/>
      <c r="V571" s="14"/>
      <c r="W571" s="14"/>
      <c r="X571" s="14"/>
      <c r="Y571" s="14"/>
      <c r="Z571" s="14"/>
      <c r="AA571" s="14"/>
      <c r="AB571" s="14"/>
    </row>
    <row r="572">
      <c r="C572" s="100"/>
      <c r="D572" s="100"/>
      <c r="G572" s="50"/>
      <c r="H572" s="100"/>
      <c r="I572" s="100"/>
      <c r="J572" s="100"/>
      <c r="S572" s="14"/>
      <c r="T572" s="14"/>
      <c r="U572" s="14"/>
      <c r="V572" s="14"/>
      <c r="W572" s="14"/>
      <c r="X572" s="14"/>
      <c r="Y572" s="14"/>
      <c r="Z572" s="14"/>
      <c r="AA572" s="14"/>
      <c r="AB572" s="14"/>
    </row>
    <row r="573">
      <c r="C573" s="100"/>
      <c r="D573" s="100"/>
      <c r="G573" s="50"/>
      <c r="H573" s="100"/>
      <c r="I573" s="100"/>
      <c r="J573" s="100"/>
      <c r="S573" s="14"/>
      <c r="T573" s="14"/>
      <c r="U573" s="14"/>
      <c r="V573" s="14"/>
      <c r="W573" s="14"/>
      <c r="X573" s="14"/>
      <c r="Y573" s="14"/>
      <c r="Z573" s="14"/>
      <c r="AA573" s="14"/>
      <c r="AB573" s="14"/>
    </row>
    <row r="574">
      <c r="C574" s="100"/>
      <c r="D574" s="100"/>
      <c r="G574" s="50"/>
      <c r="H574" s="100"/>
      <c r="I574" s="100"/>
      <c r="J574" s="100"/>
      <c r="S574" s="14"/>
      <c r="T574" s="14"/>
      <c r="U574" s="14"/>
      <c r="V574" s="14"/>
      <c r="W574" s="14"/>
      <c r="X574" s="14"/>
      <c r="Y574" s="14"/>
      <c r="Z574" s="14"/>
      <c r="AA574" s="14"/>
      <c r="AB574" s="14"/>
    </row>
    <row r="575">
      <c r="C575" s="100"/>
      <c r="D575" s="100"/>
      <c r="G575" s="50"/>
      <c r="H575" s="100"/>
      <c r="I575" s="100"/>
      <c r="J575" s="100"/>
      <c r="S575" s="14"/>
      <c r="T575" s="14"/>
      <c r="U575" s="14"/>
      <c r="V575" s="14"/>
      <c r="W575" s="14"/>
      <c r="X575" s="14"/>
      <c r="Y575" s="14"/>
      <c r="Z575" s="14"/>
      <c r="AA575" s="14"/>
      <c r="AB575" s="14"/>
    </row>
    <row r="576">
      <c r="C576" s="100"/>
      <c r="D576" s="100"/>
      <c r="G576" s="50"/>
      <c r="H576" s="100"/>
      <c r="I576" s="100"/>
      <c r="J576" s="100"/>
      <c r="S576" s="14"/>
      <c r="T576" s="14"/>
      <c r="U576" s="14"/>
      <c r="V576" s="14"/>
      <c r="W576" s="14"/>
      <c r="X576" s="14"/>
      <c r="Y576" s="14"/>
      <c r="Z576" s="14"/>
      <c r="AA576" s="14"/>
      <c r="AB576" s="14"/>
    </row>
    <row r="577">
      <c r="C577" s="100"/>
      <c r="D577" s="100"/>
      <c r="G577" s="50"/>
      <c r="H577" s="100"/>
      <c r="I577" s="100"/>
      <c r="J577" s="100"/>
      <c r="S577" s="14"/>
      <c r="T577" s="14"/>
      <c r="U577" s="14"/>
      <c r="V577" s="14"/>
      <c r="W577" s="14"/>
      <c r="X577" s="14"/>
      <c r="Y577" s="14"/>
      <c r="Z577" s="14"/>
      <c r="AA577" s="14"/>
      <c r="AB577" s="14"/>
    </row>
    <row r="578">
      <c r="C578" s="100"/>
      <c r="D578" s="100"/>
      <c r="G578" s="50"/>
      <c r="H578" s="100"/>
      <c r="I578" s="100"/>
      <c r="J578" s="100"/>
      <c r="S578" s="14"/>
      <c r="T578" s="14"/>
      <c r="U578" s="14"/>
      <c r="V578" s="14"/>
      <c r="W578" s="14"/>
      <c r="X578" s="14"/>
      <c r="Y578" s="14"/>
      <c r="Z578" s="14"/>
      <c r="AA578" s="14"/>
      <c r="AB578" s="14"/>
    </row>
    <row r="579">
      <c r="C579" s="100"/>
      <c r="D579" s="100"/>
      <c r="G579" s="50"/>
      <c r="H579" s="100"/>
      <c r="I579" s="100"/>
      <c r="J579" s="100"/>
      <c r="S579" s="14"/>
      <c r="T579" s="14"/>
      <c r="U579" s="14"/>
      <c r="V579" s="14"/>
      <c r="W579" s="14"/>
      <c r="X579" s="14"/>
      <c r="Y579" s="14"/>
      <c r="Z579" s="14"/>
      <c r="AA579" s="14"/>
      <c r="AB579" s="14"/>
    </row>
    <row r="580">
      <c r="C580" s="100"/>
      <c r="D580" s="100"/>
      <c r="G580" s="50"/>
      <c r="H580" s="100"/>
      <c r="I580" s="100"/>
      <c r="J580" s="100"/>
      <c r="S580" s="14"/>
      <c r="T580" s="14"/>
      <c r="U580" s="14"/>
      <c r="V580" s="14"/>
      <c r="W580" s="14"/>
      <c r="X580" s="14"/>
      <c r="Y580" s="14"/>
      <c r="Z580" s="14"/>
      <c r="AA580" s="14"/>
      <c r="AB580" s="14"/>
    </row>
    <row r="581">
      <c r="C581" s="100"/>
      <c r="D581" s="100"/>
      <c r="G581" s="50"/>
      <c r="H581" s="100"/>
      <c r="I581" s="100"/>
      <c r="J581" s="100"/>
      <c r="S581" s="14"/>
      <c r="T581" s="14"/>
      <c r="U581" s="14"/>
      <c r="V581" s="14"/>
      <c r="W581" s="14"/>
      <c r="X581" s="14"/>
      <c r="Y581" s="14"/>
      <c r="Z581" s="14"/>
      <c r="AA581" s="14"/>
      <c r="AB581" s="14"/>
    </row>
    <row r="582">
      <c r="C582" s="100"/>
      <c r="D582" s="100"/>
      <c r="G582" s="50"/>
      <c r="H582" s="100"/>
      <c r="I582" s="100"/>
      <c r="J582" s="100"/>
      <c r="S582" s="14"/>
      <c r="T582" s="14"/>
      <c r="U582" s="14"/>
      <c r="V582" s="14"/>
      <c r="W582" s="14"/>
      <c r="X582" s="14"/>
      <c r="Y582" s="14"/>
      <c r="Z582" s="14"/>
      <c r="AA582" s="14"/>
      <c r="AB582" s="14"/>
    </row>
    <row r="583">
      <c r="C583" s="100"/>
      <c r="D583" s="100"/>
      <c r="G583" s="50"/>
      <c r="H583" s="100"/>
      <c r="I583" s="100"/>
      <c r="J583" s="100"/>
      <c r="S583" s="14"/>
      <c r="T583" s="14"/>
      <c r="U583" s="14"/>
      <c r="V583" s="14"/>
      <c r="W583" s="14"/>
      <c r="X583" s="14"/>
      <c r="Y583" s="14"/>
      <c r="Z583" s="14"/>
      <c r="AA583" s="14"/>
      <c r="AB583" s="14"/>
    </row>
    <row r="584">
      <c r="C584" s="100"/>
      <c r="D584" s="100"/>
      <c r="G584" s="50"/>
      <c r="H584" s="100"/>
      <c r="I584" s="100"/>
      <c r="J584" s="100"/>
      <c r="S584" s="14"/>
      <c r="T584" s="14"/>
      <c r="U584" s="14"/>
      <c r="V584" s="14"/>
      <c r="W584" s="14"/>
      <c r="X584" s="14"/>
      <c r="Y584" s="14"/>
      <c r="Z584" s="14"/>
      <c r="AA584" s="14"/>
      <c r="AB584" s="14"/>
    </row>
    <row r="585">
      <c r="C585" s="100"/>
      <c r="D585" s="100"/>
      <c r="G585" s="50"/>
      <c r="H585" s="100"/>
      <c r="I585" s="100"/>
      <c r="J585" s="100"/>
      <c r="S585" s="14"/>
      <c r="T585" s="14"/>
      <c r="U585" s="14"/>
      <c r="V585" s="14"/>
      <c r="W585" s="14"/>
      <c r="X585" s="14"/>
      <c r="Y585" s="14"/>
      <c r="Z585" s="14"/>
      <c r="AA585" s="14"/>
      <c r="AB585" s="14"/>
    </row>
    <row r="586">
      <c r="C586" s="100"/>
      <c r="D586" s="100"/>
      <c r="G586" s="50"/>
      <c r="H586" s="100"/>
      <c r="I586" s="100"/>
      <c r="J586" s="100"/>
      <c r="S586" s="14"/>
      <c r="T586" s="14"/>
      <c r="U586" s="14"/>
      <c r="V586" s="14"/>
      <c r="W586" s="14"/>
      <c r="X586" s="14"/>
      <c r="Y586" s="14"/>
      <c r="Z586" s="14"/>
      <c r="AA586" s="14"/>
      <c r="AB586" s="14"/>
    </row>
    <row r="587">
      <c r="C587" s="100"/>
      <c r="D587" s="100"/>
      <c r="G587" s="50"/>
      <c r="H587" s="100"/>
      <c r="I587" s="100"/>
      <c r="J587" s="100"/>
      <c r="S587" s="14"/>
      <c r="T587" s="14"/>
      <c r="U587" s="14"/>
      <c r="V587" s="14"/>
      <c r="W587" s="14"/>
      <c r="X587" s="14"/>
      <c r="Y587" s="14"/>
      <c r="Z587" s="14"/>
      <c r="AA587" s="14"/>
      <c r="AB587" s="14"/>
    </row>
    <row r="588">
      <c r="C588" s="100"/>
      <c r="D588" s="100"/>
      <c r="G588" s="50"/>
      <c r="H588" s="100"/>
      <c r="I588" s="100"/>
      <c r="J588" s="100"/>
      <c r="S588" s="14"/>
      <c r="T588" s="14"/>
      <c r="U588" s="14"/>
      <c r="V588" s="14"/>
      <c r="W588" s="14"/>
      <c r="X588" s="14"/>
      <c r="Y588" s="14"/>
      <c r="Z588" s="14"/>
      <c r="AA588" s="14"/>
      <c r="AB588" s="14"/>
    </row>
    <row r="589">
      <c r="C589" s="100"/>
      <c r="D589" s="100"/>
      <c r="G589" s="50"/>
      <c r="H589" s="100"/>
      <c r="I589" s="100"/>
      <c r="J589" s="100"/>
      <c r="S589" s="14"/>
      <c r="T589" s="14"/>
      <c r="U589" s="14"/>
      <c r="V589" s="14"/>
      <c r="W589" s="14"/>
      <c r="X589" s="14"/>
      <c r="Y589" s="14"/>
      <c r="Z589" s="14"/>
      <c r="AA589" s="14"/>
      <c r="AB589" s="14"/>
    </row>
    <row r="590">
      <c r="C590" s="100"/>
      <c r="D590" s="100"/>
      <c r="G590" s="50"/>
      <c r="H590" s="100"/>
      <c r="I590" s="100"/>
      <c r="J590" s="100"/>
      <c r="S590" s="14"/>
      <c r="T590" s="14"/>
      <c r="U590" s="14"/>
      <c r="V590" s="14"/>
      <c r="W590" s="14"/>
      <c r="X590" s="14"/>
      <c r="Y590" s="14"/>
      <c r="Z590" s="14"/>
      <c r="AA590" s="14"/>
      <c r="AB590" s="14"/>
    </row>
    <row r="591">
      <c r="C591" s="100"/>
      <c r="D591" s="100"/>
      <c r="G591" s="50"/>
      <c r="H591" s="100"/>
      <c r="I591" s="100"/>
      <c r="J591" s="100"/>
      <c r="S591" s="14"/>
      <c r="T591" s="14"/>
      <c r="U591" s="14"/>
      <c r="V591" s="14"/>
      <c r="W591" s="14"/>
      <c r="X591" s="14"/>
      <c r="Y591" s="14"/>
      <c r="Z591" s="14"/>
      <c r="AA591" s="14"/>
      <c r="AB591" s="14"/>
    </row>
    <row r="592">
      <c r="C592" s="100"/>
      <c r="D592" s="100"/>
      <c r="G592" s="50"/>
      <c r="H592" s="100"/>
      <c r="I592" s="100"/>
      <c r="J592" s="100"/>
      <c r="S592" s="14"/>
      <c r="T592" s="14"/>
      <c r="U592" s="14"/>
      <c r="V592" s="14"/>
      <c r="W592" s="14"/>
      <c r="X592" s="14"/>
      <c r="Y592" s="14"/>
      <c r="Z592" s="14"/>
      <c r="AA592" s="14"/>
      <c r="AB592" s="14"/>
    </row>
    <row r="593">
      <c r="C593" s="100"/>
      <c r="D593" s="100"/>
      <c r="G593" s="50"/>
      <c r="H593" s="100"/>
      <c r="I593" s="100"/>
      <c r="J593" s="100"/>
      <c r="S593" s="14"/>
      <c r="T593" s="14"/>
      <c r="U593" s="14"/>
      <c r="V593" s="14"/>
      <c r="W593" s="14"/>
      <c r="X593" s="14"/>
      <c r="Y593" s="14"/>
      <c r="Z593" s="14"/>
      <c r="AA593" s="14"/>
      <c r="AB593" s="14"/>
    </row>
    <row r="594">
      <c r="C594" s="100"/>
      <c r="D594" s="100"/>
      <c r="G594" s="50"/>
      <c r="H594" s="100"/>
      <c r="I594" s="100"/>
      <c r="J594" s="100"/>
      <c r="S594" s="14"/>
      <c r="T594" s="14"/>
      <c r="U594" s="14"/>
      <c r="V594" s="14"/>
      <c r="W594" s="14"/>
      <c r="X594" s="14"/>
      <c r="Y594" s="14"/>
      <c r="Z594" s="14"/>
      <c r="AA594" s="14"/>
      <c r="AB594" s="14"/>
    </row>
    <row r="595">
      <c r="C595" s="100"/>
      <c r="D595" s="100"/>
      <c r="G595" s="50"/>
      <c r="H595" s="100"/>
      <c r="I595" s="100"/>
      <c r="J595" s="100"/>
      <c r="S595" s="14"/>
      <c r="T595" s="14"/>
      <c r="U595" s="14"/>
      <c r="V595" s="14"/>
      <c r="W595" s="14"/>
      <c r="X595" s="14"/>
      <c r="Y595" s="14"/>
      <c r="Z595" s="14"/>
      <c r="AA595" s="14"/>
      <c r="AB595" s="14"/>
    </row>
    <row r="596">
      <c r="C596" s="100"/>
      <c r="D596" s="100"/>
      <c r="G596" s="50"/>
      <c r="H596" s="100"/>
      <c r="I596" s="100"/>
      <c r="J596" s="100"/>
      <c r="S596" s="14"/>
      <c r="T596" s="14"/>
      <c r="U596" s="14"/>
      <c r="V596" s="14"/>
      <c r="W596" s="14"/>
      <c r="X596" s="14"/>
      <c r="Y596" s="14"/>
      <c r="Z596" s="14"/>
      <c r="AA596" s="14"/>
      <c r="AB596" s="14"/>
    </row>
    <row r="597">
      <c r="C597" s="100"/>
      <c r="D597" s="100"/>
      <c r="G597" s="50"/>
      <c r="H597" s="100"/>
      <c r="I597" s="100"/>
      <c r="J597" s="100"/>
      <c r="S597" s="14"/>
      <c r="T597" s="14"/>
      <c r="U597" s="14"/>
      <c r="V597" s="14"/>
      <c r="W597" s="14"/>
      <c r="X597" s="14"/>
      <c r="Y597" s="14"/>
      <c r="Z597" s="14"/>
      <c r="AA597" s="14"/>
      <c r="AB597" s="14"/>
    </row>
    <row r="598">
      <c r="C598" s="100"/>
      <c r="D598" s="100"/>
      <c r="G598" s="50"/>
      <c r="H598" s="100"/>
      <c r="I598" s="100"/>
      <c r="J598" s="100"/>
      <c r="S598" s="14"/>
      <c r="T598" s="14"/>
      <c r="U598" s="14"/>
      <c r="V598" s="14"/>
      <c r="W598" s="14"/>
      <c r="X598" s="14"/>
      <c r="Y598" s="14"/>
      <c r="Z598" s="14"/>
      <c r="AA598" s="14"/>
      <c r="AB598" s="14"/>
    </row>
    <row r="599">
      <c r="C599" s="100"/>
      <c r="D599" s="100"/>
      <c r="G599" s="50"/>
      <c r="H599" s="100"/>
      <c r="I599" s="100"/>
      <c r="J599" s="100"/>
      <c r="S599" s="14"/>
      <c r="T599" s="14"/>
      <c r="U599" s="14"/>
      <c r="V599" s="14"/>
      <c r="W599" s="14"/>
      <c r="X599" s="14"/>
      <c r="Y599" s="14"/>
      <c r="Z599" s="14"/>
      <c r="AA599" s="14"/>
      <c r="AB599" s="14"/>
    </row>
    <row r="600">
      <c r="C600" s="100"/>
      <c r="D600" s="100"/>
      <c r="G600" s="50"/>
      <c r="H600" s="100"/>
      <c r="I600" s="100"/>
      <c r="J600" s="100"/>
      <c r="S600" s="14"/>
      <c r="T600" s="14"/>
      <c r="U600" s="14"/>
      <c r="V600" s="14"/>
      <c r="W600" s="14"/>
      <c r="X600" s="14"/>
      <c r="Y600" s="14"/>
      <c r="Z600" s="14"/>
      <c r="AA600" s="14"/>
      <c r="AB600" s="14"/>
    </row>
    <row r="601">
      <c r="C601" s="100"/>
      <c r="D601" s="100"/>
      <c r="G601" s="50"/>
      <c r="H601" s="100"/>
      <c r="I601" s="100"/>
      <c r="J601" s="100"/>
      <c r="S601" s="14"/>
      <c r="T601" s="14"/>
      <c r="U601" s="14"/>
      <c r="V601" s="14"/>
      <c r="W601" s="14"/>
      <c r="X601" s="14"/>
      <c r="Y601" s="14"/>
      <c r="Z601" s="14"/>
      <c r="AA601" s="14"/>
      <c r="AB601" s="14"/>
    </row>
    <row r="602">
      <c r="C602" s="100"/>
      <c r="D602" s="100"/>
      <c r="G602" s="50"/>
      <c r="H602" s="100"/>
      <c r="I602" s="100"/>
      <c r="J602" s="100"/>
      <c r="S602" s="14"/>
      <c r="T602" s="14"/>
      <c r="U602" s="14"/>
      <c r="V602" s="14"/>
      <c r="W602" s="14"/>
      <c r="X602" s="14"/>
      <c r="Y602" s="14"/>
      <c r="Z602" s="14"/>
      <c r="AA602" s="14"/>
      <c r="AB602" s="14"/>
    </row>
    <row r="603">
      <c r="C603" s="100"/>
      <c r="D603" s="100"/>
      <c r="G603" s="50"/>
      <c r="H603" s="100"/>
      <c r="I603" s="100"/>
      <c r="J603" s="100"/>
      <c r="S603" s="14"/>
      <c r="T603" s="14"/>
      <c r="U603" s="14"/>
      <c r="V603" s="14"/>
      <c r="W603" s="14"/>
      <c r="X603" s="14"/>
      <c r="Y603" s="14"/>
      <c r="Z603" s="14"/>
      <c r="AA603" s="14"/>
      <c r="AB603" s="14"/>
    </row>
    <row r="604">
      <c r="C604" s="100"/>
      <c r="D604" s="100"/>
      <c r="G604" s="50"/>
      <c r="H604" s="100"/>
      <c r="I604" s="100"/>
      <c r="J604" s="100"/>
      <c r="S604" s="14"/>
      <c r="T604" s="14"/>
      <c r="U604" s="14"/>
      <c r="V604" s="14"/>
      <c r="W604" s="14"/>
      <c r="X604" s="14"/>
      <c r="Y604" s="14"/>
      <c r="Z604" s="14"/>
      <c r="AA604" s="14"/>
      <c r="AB604" s="14"/>
    </row>
    <row r="605">
      <c r="C605" s="100"/>
      <c r="D605" s="100"/>
      <c r="G605" s="50"/>
      <c r="H605" s="100"/>
      <c r="I605" s="100"/>
      <c r="J605" s="100"/>
      <c r="S605" s="14"/>
      <c r="T605" s="14"/>
      <c r="U605" s="14"/>
      <c r="V605" s="14"/>
      <c r="W605" s="14"/>
      <c r="X605" s="14"/>
      <c r="Y605" s="14"/>
      <c r="Z605" s="14"/>
      <c r="AA605" s="14"/>
      <c r="AB605" s="14"/>
    </row>
    <row r="606">
      <c r="C606" s="100"/>
      <c r="D606" s="100"/>
      <c r="G606" s="50"/>
      <c r="H606" s="100"/>
      <c r="I606" s="100"/>
      <c r="J606" s="100"/>
      <c r="S606" s="14"/>
      <c r="T606" s="14"/>
      <c r="U606" s="14"/>
      <c r="V606" s="14"/>
      <c r="W606" s="14"/>
      <c r="X606" s="14"/>
      <c r="Y606" s="14"/>
      <c r="Z606" s="14"/>
      <c r="AA606" s="14"/>
      <c r="AB606" s="14"/>
    </row>
    <row r="607">
      <c r="C607" s="100"/>
      <c r="D607" s="100"/>
      <c r="G607" s="50"/>
      <c r="H607" s="100"/>
      <c r="I607" s="100"/>
      <c r="J607" s="100"/>
      <c r="S607" s="14"/>
      <c r="T607" s="14"/>
      <c r="U607" s="14"/>
      <c r="V607" s="14"/>
      <c r="W607" s="14"/>
      <c r="X607" s="14"/>
      <c r="Y607" s="14"/>
      <c r="Z607" s="14"/>
      <c r="AA607" s="14"/>
      <c r="AB607" s="14"/>
    </row>
    <row r="608">
      <c r="C608" s="100"/>
      <c r="D608" s="100"/>
      <c r="G608" s="50"/>
      <c r="H608" s="100"/>
      <c r="I608" s="100"/>
      <c r="J608" s="100"/>
      <c r="S608" s="14"/>
      <c r="T608" s="14"/>
      <c r="U608" s="14"/>
      <c r="V608" s="14"/>
      <c r="W608" s="14"/>
      <c r="X608" s="14"/>
      <c r="Y608" s="14"/>
      <c r="Z608" s="14"/>
      <c r="AA608" s="14"/>
      <c r="AB608" s="14"/>
    </row>
    <row r="609">
      <c r="C609" s="100"/>
      <c r="D609" s="100"/>
      <c r="G609" s="50"/>
      <c r="H609" s="100"/>
      <c r="I609" s="100"/>
      <c r="J609" s="100"/>
      <c r="S609" s="14"/>
      <c r="T609" s="14"/>
      <c r="U609" s="14"/>
      <c r="V609" s="14"/>
      <c r="W609" s="14"/>
      <c r="X609" s="14"/>
      <c r="Y609" s="14"/>
      <c r="Z609" s="14"/>
      <c r="AA609" s="14"/>
      <c r="AB609" s="14"/>
    </row>
    <row r="610">
      <c r="C610" s="100"/>
      <c r="D610" s="100"/>
      <c r="G610" s="50"/>
      <c r="H610" s="100"/>
      <c r="I610" s="100"/>
      <c r="J610" s="100"/>
      <c r="S610" s="14"/>
      <c r="T610" s="14"/>
      <c r="U610" s="14"/>
      <c r="V610" s="14"/>
      <c r="W610" s="14"/>
      <c r="X610" s="14"/>
      <c r="Y610" s="14"/>
      <c r="Z610" s="14"/>
      <c r="AA610" s="14"/>
      <c r="AB610" s="14"/>
    </row>
    <row r="611">
      <c r="C611" s="100"/>
      <c r="D611" s="100"/>
      <c r="G611" s="50"/>
      <c r="H611" s="100"/>
      <c r="I611" s="100"/>
      <c r="J611" s="100"/>
      <c r="S611" s="14"/>
      <c r="T611" s="14"/>
      <c r="U611" s="14"/>
      <c r="V611" s="14"/>
      <c r="W611" s="14"/>
      <c r="X611" s="14"/>
      <c r="Y611" s="14"/>
      <c r="Z611" s="14"/>
      <c r="AA611" s="14"/>
      <c r="AB611" s="14"/>
    </row>
    <row r="612">
      <c r="C612" s="100"/>
      <c r="D612" s="100"/>
      <c r="G612" s="50"/>
      <c r="H612" s="100"/>
      <c r="I612" s="100"/>
      <c r="J612" s="100"/>
      <c r="S612" s="14"/>
      <c r="T612" s="14"/>
      <c r="U612" s="14"/>
      <c r="V612" s="14"/>
      <c r="W612" s="14"/>
      <c r="X612" s="14"/>
      <c r="Y612" s="14"/>
      <c r="Z612" s="14"/>
      <c r="AA612" s="14"/>
      <c r="AB612" s="14"/>
    </row>
    <row r="613">
      <c r="C613" s="100"/>
      <c r="D613" s="100"/>
      <c r="G613" s="50"/>
      <c r="H613" s="100"/>
      <c r="I613" s="100"/>
      <c r="J613" s="100"/>
      <c r="S613" s="14"/>
      <c r="T613" s="14"/>
      <c r="U613" s="14"/>
      <c r="V613" s="14"/>
      <c r="W613" s="14"/>
      <c r="X613" s="14"/>
      <c r="Y613" s="14"/>
      <c r="Z613" s="14"/>
      <c r="AA613" s="14"/>
      <c r="AB613" s="14"/>
    </row>
    <row r="614">
      <c r="C614" s="100"/>
      <c r="D614" s="100"/>
      <c r="G614" s="50"/>
      <c r="H614" s="100"/>
      <c r="I614" s="100"/>
      <c r="J614" s="100"/>
      <c r="S614" s="14"/>
      <c r="T614" s="14"/>
      <c r="U614" s="14"/>
      <c r="V614" s="14"/>
      <c r="W614" s="14"/>
      <c r="X614" s="14"/>
      <c r="Y614" s="14"/>
      <c r="Z614" s="14"/>
      <c r="AA614" s="14"/>
      <c r="AB614" s="14"/>
    </row>
    <row r="615">
      <c r="C615" s="100"/>
      <c r="D615" s="100"/>
      <c r="G615" s="50"/>
      <c r="H615" s="100"/>
      <c r="I615" s="100"/>
      <c r="J615" s="100"/>
      <c r="S615" s="14"/>
      <c r="T615" s="14"/>
      <c r="U615" s="14"/>
      <c r="V615" s="14"/>
      <c r="W615" s="14"/>
      <c r="X615" s="14"/>
      <c r="Y615" s="14"/>
      <c r="Z615" s="14"/>
      <c r="AA615" s="14"/>
      <c r="AB615" s="14"/>
    </row>
    <row r="616">
      <c r="C616" s="100"/>
      <c r="D616" s="100"/>
      <c r="G616" s="50"/>
      <c r="H616" s="100"/>
      <c r="I616" s="100"/>
      <c r="J616" s="100"/>
      <c r="S616" s="14"/>
      <c r="T616" s="14"/>
      <c r="U616" s="14"/>
      <c r="V616" s="14"/>
      <c r="W616" s="14"/>
      <c r="X616" s="14"/>
      <c r="Y616" s="14"/>
      <c r="Z616" s="14"/>
      <c r="AA616" s="14"/>
      <c r="AB616" s="14"/>
    </row>
    <row r="617">
      <c r="C617" s="100"/>
      <c r="D617" s="100"/>
      <c r="G617" s="50"/>
      <c r="H617" s="100"/>
      <c r="I617" s="100"/>
      <c r="J617" s="100"/>
      <c r="S617" s="14"/>
      <c r="T617" s="14"/>
      <c r="U617" s="14"/>
      <c r="V617" s="14"/>
      <c r="W617" s="14"/>
      <c r="X617" s="14"/>
      <c r="Y617" s="14"/>
      <c r="Z617" s="14"/>
      <c r="AA617" s="14"/>
      <c r="AB617" s="14"/>
    </row>
    <row r="618">
      <c r="C618" s="100"/>
      <c r="D618" s="100"/>
      <c r="G618" s="50"/>
      <c r="H618" s="100"/>
      <c r="I618" s="100"/>
      <c r="J618" s="100"/>
      <c r="S618" s="14"/>
      <c r="T618" s="14"/>
      <c r="U618" s="14"/>
      <c r="V618" s="14"/>
      <c r="W618" s="14"/>
      <c r="X618" s="14"/>
      <c r="Y618" s="14"/>
      <c r="Z618" s="14"/>
      <c r="AA618" s="14"/>
      <c r="AB618" s="14"/>
    </row>
    <row r="619">
      <c r="C619" s="100"/>
      <c r="D619" s="100"/>
      <c r="G619" s="50"/>
      <c r="H619" s="100"/>
      <c r="I619" s="100"/>
      <c r="J619" s="100"/>
      <c r="S619" s="14"/>
      <c r="T619" s="14"/>
      <c r="U619" s="14"/>
      <c r="V619" s="14"/>
      <c r="W619" s="14"/>
      <c r="X619" s="14"/>
      <c r="Y619" s="14"/>
      <c r="Z619" s="14"/>
      <c r="AA619" s="14"/>
      <c r="AB619" s="14"/>
    </row>
    <row r="620">
      <c r="C620" s="100"/>
      <c r="D620" s="100"/>
      <c r="G620" s="50"/>
      <c r="H620" s="100"/>
      <c r="I620" s="100"/>
      <c r="J620" s="100"/>
      <c r="S620" s="14"/>
      <c r="T620" s="14"/>
      <c r="U620" s="14"/>
      <c r="V620" s="14"/>
      <c r="W620" s="14"/>
      <c r="X620" s="14"/>
      <c r="Y620" s="14"/>
      <c r="Z620" s="14"/>
      <c r="AA620" s="14"/>
      <c r="AB620" s="14"/>
    </row>
    <row r="621">
      <c r="C621" s="100"/>
      <c r="D621" s="100"/>
      <c r="G621" s="50"/>
      <c r="H621" s="100"/>
      <c r="I621" s="100"/>
      <c r="J621" s="100"/>
      <c r="S621" s="14"/>
      <c r="T621" s="14"/>
      <c r="U621" s="14"/>
      <c r="V621" s="14"/>
      <c r="W621" s="14"/>
      <c r="X621" s="14"/>
      <c r="Y621" s="14"/>
      <c r="Z621" s="14"/>
      <c r="AA621" s="14"/>
      <c r="AB621" s="14"/>
    </row>
    <row r="622">
      <c r="C622" s="100"/>
      <c r="D622" s="100"/>
      <c r="G622" s="50"/>
      <c r="H622" s="100"/>
      <c r="I622" s="100"/>
      <c r="J622" s="100"/>
      <c r="S622" s="14"/>
      <c r="T622" s="14"/>
      <c r="U622" s="14"/>
      <c r="V622" s="14"/>
      <c r="W622" s="14"/>
      <c r="X622" s="14"/>
      <c r="Y622" s="14"/>
      <c r="Z622" s="14"/>
      <c r="AA622" s="14"/>
      <c r="AB622" s="14"/>
    </row>
    <row r="623">
      <c r="C623" s="100"/>
      <c r="D623" s="100"/>
      <c r="G623" s="50"/>
      <c r="H623" s="100"/>
      <c r="I623" s="100"/>
      <c r="J623" s="100"/>
      <c r="S623" s="14"/>
      <c r="T623" s="14"/>
      <c r="U623" s="14"/>
      <c r="V623" s="14"/>
      <c r="W623" s="14"/>
      <c r="X623" s="14"/>
      <c r="Y623" s="14"/>
      <c r="Z623" s="14"/>
      <c r="AA623" s="14"/>
      <c r="AB623" s="14"/>
    </row>
    <row r="624">
      <c r="C624" s="100"/>
      <c r="D624" s="100"/>
      <c r="G624" s="50"/>
      <c r="H624" s="100"/>
      <c r="I624" s="100"/>
      <c r="J624" s="100"/>
      <c r="S624" s="14"/>
      <c r="T624" s="14"/>
      <c r="U624" s="14"/>
      <c r="V624" s="14"/>
      <c r="W624" s="14"/>
      <c r="X624" s="14"/>
      <c r="Y624" s="14"/>
      <c r="Z624" s="14"/>
      <c r="AA624" s="14"/>
      <c r="AB624" s="14"/>
    </row>
    <row r="625">
      <c r="C625" s="100"/>
      <c r="D625" s="100"/>
      <c r="G625" s="50"/>
      <c r="H625" s="100"/>
      <c r="I625" s="100"/>
      <c r="J625" s="100"/>
      <c r="S625" s="14"/>
      <c r="T625" s="14"/>
      <c r="U625" s="14"/>
      <c r="V625" s="14"/>
      <c r="W625" s="14"/>
      <c r="X625" s="14"/>
      <c r="Y625" s="14"/>
      <c r="Z625" s="14"/>
      <c r="AA625" s="14"/>
      <c r="AB625" s="14"/>
    </row>
    <row r="626">
      <c r="C626" s="100"/>
      <c r="D626" s="100"/>
      <c r="G626" s="50"/>
      <c r="H626" s="100"/>
      <c r="I626" s="100"/>
      <c r="J626" s="100"/>
      <c r="S626" s="14"/>
      <c r="T626" s="14"/>
      <c r="U626" s="14"/>
      <c r="V626" s="14"/>
      <c r="W626" s="14"/>
      <c r="X626" s="14"/>
      <c r="Y626" s="14"/>
      <c r="Z626" s="14"/>
      <c r="AA626" s="14"/>
      <c r="AB626" s="14"/>
    </row>
    <row r="627">
      <c r="C627" s="100"/>
      <c r="D627" s="100"/>
      <c r="G627" s="50"/>
      <c r="H627" s="100"/>
      <c r="I627" s="100"/>
      <c r="J627" s="100"/>
      <c r="S627" s="14"/>
      <c r="T627" s="14"/>
      <c r="U627" s="14"/>
      <c r="V627" s="14"/>
      <c r="W627" s="14"/>
      <c r="X627" s="14"/>
      <c r="Y627" s="14"/>
      <c r="Z627" s="14"/>
      <c r="AA627" s="14"/>
      <c r="AB627" s="14"/>
    </row>
    <row r="628">
      <c r="C628" s="100"/>
      <c r="D628" s="100"/>
      <c r="G628" s="50"/>
      <c r="H628" s="100"/>
      <c r="I628" s="100"/>
      <c r="J628" s="100"/>
      <c r="S628" s="14"/>
      <c r="T628" s="14"/>
      <c r="U628" s="14"/>
      <c r="V628" s="14"/>
      <c r="W628" s="14"/>
      <c r="X628" s="14"/>
      <c r="Y628" s="14"/>
      <c r="Z628" s="14"/>
      <c r="AA628" s="14"/>
      <c r="AB628" s="14"/>
    </row>
    <row r="629">
      <c r="C629" s="100"/>
      <c r="D629" s="100"/>
      <c r="G629" s="50"/>
      <c r="H629" s="100"/>
      <c r="I629" s="100"/>
      <c r="J629" s="100"/>
      <c r="S629" s="14"/>
      <c r="T629" s="14"/>
      <c r="U629" s="14"/>
      <c r="V629" s="14"/>
      <c r="W629" s="14"/>
      <c r="X629" s="14"/>
      <c r="Y629" s="14"/>
      <c r="Z629" s="14"/>
      <c r="AA629" s="14"/>
      <c r="AB629" s="14"/>
    </row>
    <row r="630">
      <c r="C630" s="100"/>
      <c r="D630" s="100"/>
      <c r="G630" s="50"/>
      <c r="H630" s="100"/>
      <c r="I630" s="100"/>
      <c r="J630" s="100"/>
      <c r="S630" s="14"/>
      <c r="T630" s="14"/>
      <c r="U630" s="14"/>
      <c r="V630" s="14"/>
      <c r="W630" s="14"/>
      <c r="X630" s="14"/>
      <c r="Y630" s="14"/>
      <c r="Z630" s="14"/>
      <c r="AA630" s="14"/>
      <c r="AB630" s="14"/>
    </row>
    <row r="631">
      <c r="C631" s="100"/>
      <c r="D631" s="100"/>
      <c r="G631" s="50"/>
      <c r="H631" s="100"/>
      <c r="I631" s="100"/>
      <c r="J631" s="100"/>
      <c r="S631" s="14"/>
      <c r="T631" s="14"/>
      <c r="U631" s="14"/>
      <c r="V631" s="14"/>
      <c r="W631" s="14"/>
      <c r="X631" s="14"/>
      <c r="Y631" s="14"/>
      <c r="Z631" s="14"/>
      <c r="AA631" s="14"/>
      <c r="AB631" s="14"/>
    </row>
    <row r="632">
      <c r="C632" s="100"/>
      <c r="D632" s="100"/>
      <c r="G632" s="50"/>
      <c r="H632" s="100"/>
      <c r="I632" s="100"/>
      <c r="J632" s="100"/>
      <c r="S632" s="14"/>
      <c r="T632" s="14"/>
      <c r="U632" s="14"/>
      <c r="V632" s="14"/>
      <c r="W632" s="14"/>
      <c r="X632" s="14"/>
      <c r="Y632" s="14"/>
      <c r="Z632" s="14"/>
      <c r="AA632" s="14"/>
      <c r="AB632" s="14"/>
    </row>
    <row r="633">
      <c r="C633" s="100"/>
      <c r="D633" s="100"/>
      <c r="G633" s="50"/>
      <c r="H633" s="100"/>
      <c r="I633" s="100"/>
      <c r="J633" s="100"/>
      <c r="S633" s="14"/>
      <c r="T633" s="14"/>
      <c r="U633" s="14"/>
      <c r="V633" s="14"/>
      <c r="W633" s="14"/>
      <c r="X633" s="14"/>
      <c r="Y633" s="14"/>
      <c r="Z633" s="14"/>
      <c r="AA633" s="14"/>
      <c r="AB633" s="14"/>
    </row>
    <row r="634">
      <c r="C634" s="100"/>
      <c r="D634" s="100"/>
      <c r="G634" s="50"/>
      <c r="H634" s="100"/>
      <c r="I634" s="100"/>
      <c r="J634" s="100"/>
      <c r="S634" s="14"/>
      <c r="T634" s="14"/>
      <c r="U634" s="14"/>
      <c r="V634" s="14"/>
      <c r="W634" s="14"/>
      <c r="X634" s="14"/>
      <c r="Y634" s="14"/>
      <c r="Z634" s="14"/>
      <c r="AA634" s="14"/>
      <c r="AB634" s="14"/>
    </row>
    <row r="635">
      <c r="C635" s="100"/>
      <c r="D635" s="100"/>
      <c r="G635" s="50"/>
      <c r="H635" s="100"/>
      <c r="I635" s="100"/>
      <c r="J635" s="100"/>
      <c r="S635" s="14"/>
      <c r="T635" s="14"/>
      <c r="U635" s="14"/>
      <c r="V635" s="14"/>
      <c r="W635" s="14"/>
      <c r="X635" s="14"/>
      <c r="Y635" s="14"/>
      <c r="Z635" s="14"/>
      <c r="AA635" s="14"/>
      <c r="AB635" s="14"/>
    </row>
    <row r="636">
      <c r="C636" s="100"/>
      <c r="D636" s="100"/>
      <c r="G636" s="50"/>
      <c r="H636" s="100"/>
      <c r="I636" s="100"/>
      <c r="J636" s="100"/>
      <c r="S636" s="14"/>
      <c r="T636" s="14"/>
      <c r="U636" s="14"/>
      <c r="V636" s="14"/>
      <c r="W636" s="14"/>
      <c r="X636" s="14"/>
      <c r="Y636" s="14"/>
      <c r="Z636" s="14"/>
      <c r="AA636" s="14"/>
      <c r="AB636" s="14"/>
    </row>
    <row r="637">
      <c r="C637" s="100"/>
      <c r="D637" s="100"/>
      <c r="G637" s="50"/>
      <c r="H637" s="100"/>
      <c r="I637" s="100"/>
      <c r="J637" s="100"/>
      <c r="S637" s="14"/>
      <c r="T637" s="14"/>
      <c r="U637" s="14"/>
      <c r="V637" s="14"/>
      <c r="W637" s="14"/>
      <c r="X637" s="14"/>
      <c r="Y637" s="14"/>
      <c r="Z637" s="14"/>
      <c r="AA637" s="14"/>
      <c r="AB637" s="14"/>
    </row>
    <row r="638">
      <c r="C638" s="100"/>
      <c r="D638" s="100"/>
      <c r="G638" s="50"/>
      <c r="H638" s="100"/>
      <c r="I638" s="100"/>
      <c r="J638" s="100"/>
      <c r="S638" s="14"/>
      <c r="T638" s="14"/>
      <c r="U638" s="14"/>
      <c r="V638" s="14"/>
      <c r="W638" s="14"/>
      <c r="X638" s="14"/>
      <c r="Y638" s="14"/>
      <c r="Z638" s="14"/>
      <c r="AA638" s="14"/>
      <c r="AB638" s="14"/>
    </row>
    <row r="639">
      <c r="C639" s="100"/>
      <c r="D639" s="100"/>
      <c r="G639" s="50"/>
      <c r="H639" s="100"/>
      <c r="I639" s="100"/>
      <c r="J639" s="100"/>
      <c r="S639" s="14"/>
      <c r="T639" s="14"/>
      <c r="U639" s="14"/>
      <c r="V639" s="14"/>
      <c r="W639" s="14"/>
      <c r="X639" s="14"/>
      <c r="Y639" s="14"/>
      <c r="Z639" s="14"/>
      <c r="AA639" s="14"/>
      <c r="AB639" s="14"/>
    </row>
    <row r="640">
      <c r="C640" s="100"/>
      <c r="D640" s="100"/>
      <c r="G640" s="50"/>
      <c r="H640" s="100"/>
      <c r="I640" s="100"/>
      <c r="J640" s="100"/>
      <c r="S640" s="14"/>
      <c r="T640" s="14"/>
      <c r="U640" s="14"/>
      <c r="V640" s="14"/>
      <c r="W640" s="14"/>
      <c r="X640" s="14"/>
      <c r="Y640" s="14"/>
      <c r="Z640" s="14"/>
      <c r="AA640" s="14"/>
      <c r="AB640" s="14"/>
    </row>
    <row r="641">
      <c r="C641" s="100"/>
      <c r="D641" s="100"/>
      <c r="G641" s="50"/>
      <c r="H641" s="100"/>
      <c r="I641" s="100"/>
      <c r="J641" s="100"/>
      <c r="S641" s="14"/>
      <c r="T641" s="14"/>
      <c r="U641" s="14"/>
      <c r="V641" s="14"/>
      <c r="W641" s="14"/>
      <c r="X641" s="14"/>
      <c r="Y641" s="14"/>
      <c r="Z641" s="14"/>
      <c r="AA641" s="14"/>
      <c r="AB641" s="14"/>
    </row>
    <row r="642">
      <c r="C642" s="100"/>
      <c r="D642" s="100"/>
      <c r="G642" s="50"/>
      <c r="H642" s="100"/>
      <c r="I642" s="100"/>
      <c r="J642" s="100"/>
      <c r="S642" s="14"/>
      <c r="T642" s="14"/>
      <c r="U642" s="14"/>
      <c r="V642" s="14"/>
      <c r="W642" s="14"/>
      <c r="X642" s="14"/>
      <c r="Y642" s="14"/>
      <c r="Z642" s="14"/>
      <c r="AA642" s="14"/>
      <c r="AB642" s="14"/>
    </row>
    <row r="643">
      <c r="C643" s="100"/>
      <c r="D643" s="100"/>
      <c r="G643" s="50"/>
      <c r="H643" s="100"/>
      <c r="I643" s="100"/>
      <c r="J643" s="100"/>
      <c r="S643" s="14"/>
      <c r="T643" s="14"/>
      <c r="U643" s="14"/>
      <c r="V643" s="14"/>
      <c r="W643" s="14"/>
      <c r="X643" s="14"/>
      <c r="Y643" s="14"/>
      <c r="Z643" s="14"/>
      <c r="AA643" s="14"/>
      <c r="AB643" s="14"/>
    </row>
    <row r="644">
      <c r="C644" s="100"/>
      <c r="D644" s="100"/>
      <c r="G644" s="50"/>
      <c r="H644" s="100"/>
      <c r="I644" s="100"/>
      <c r="J644" s="100"/>
      <c r="S644" s="14"/>
      <c r="T644" s="14"/>
      <c r="U644" s="14"/>
      <c r="V644" s="14"/>
      <c r="W644" s="14"/>
      <c r="X644" s="14"/>
      <c r="Y644" s="14"/>
      <c r="Z644" s="14"/>
      <c r="AA644" s="14"/>
      <c r="AB644" s="14"/>
    </row>
    <row r="645">
      <c r="C645" s="100"/>
      <c r="D645" s="100"/>
      <c r="G645" s="50"/>
      <c r="H645" s="100"/>
      <c r="I645" s="100"/>
      <c r="J645" s="100"/>
      <c r="S645" s="14"/>
      <c r="T645" s="14"/>
      <c r="U645" s="14"/>
      <c r="V645" s="14"/>
      <c r="W645" s="14"/>
      <c r="X645" s="14"/>
      <c r="Y645" s="14"/>
      <c r="Z645" s="14"/>
      <c r="AA645" s="14"/>
      <c r="AB645" s="14"/>
    </row>
    <row r="646">
      <c r="C646" s="100"/>
      <c r="D646" s="100"/>
      <c r="G646" s="50"/>
      <c r="H646" s="100"/>
      <c r="I646" s="100"/>
      <c r="J646" s="100"/>
      <c r="S646" s="14"/>
      <c r="T646" s="14"/>
      <c r="U646" s="14"/>
      <c r="V646" s="14"/>
      <c r="W646" s="14"/>
      <c r="X646" s="14"/>
      <c r="Y646" s="14"/>
      <c r="Z646" s="14"/>
      <c r="AA646" s="14"/>
      <c r="AB646" s="14"/>
    </row>
    <row r="647">
      <c r="C647" s="100"/>
      <c r="D647" s="100"/>
      <c r="G647" s="50"/>
      <c r="H647" s="100"/>
      <c r="I647" s="100"/>
      <c r="J647" s="100"/>
      <c r="S647" s="14"/>
      <c r="T647" s="14"/>
      <c r="U647" s="14"/>
      <c r="V647" s="14"/>
      <c r="W647" s="14"/>
      <c r="X647" s="14"/>
      <c r="Y647" s="14"/>
      <c r="Z647" s="14"/>
      <c r="AA647" s="14"/>
      <c r="AB647" s="14"/>
    </row>
    <row r="648">
      <c r="C648" s="100"/>
      <c r="D648" s="100"/>
      <c r="G648" s="50"/>
      <c r="H648" s="100"/>
      <c r="I648" s="100"/>
      <c r="J648" s="100"/>
      <c r="S648" s="14"/>
      <c r="T648" s="14"/>
      <c r="U648" s="14"/>
      <c r="V648" s="14"/>
      <c r="W648" s="14"/>
      <c r="X648" s="14"/>
      <c r="Y648" s="14"/>
      <c r="Z648" s="14"/>
      <c r="AA648" s="14"/>
      <c r="AB648" s="14"/>
    </row>
    <row r="649">
      <c r="C649" s="100"/>
      <c r="D649" s="100"/>
      <c r="G649" s="50"/>
      <c r="H649" s="100"/>
      <c r="I649" s="100"/>
      <c r="J649" s="100"/>
      <c r="S649" s="14"/>
      <c r="T649" s="14"/>
      <c r="U649" s="14"/>
      <c r="V649" s="14"/>
      <c r="W649" s="14"/>
      <c r="X649" s="14"/>
      <c r="Y649" s="14"/>
      <c r="Z649" s="14"/>
      <c r="AA649" s="14"/>
      <c r="AB649" s="14"/>
    </row>
    <row r="650">
      <c r="C650" s="100"/>
      <c r="D650" s="100"/>
      <c r="G650" s="50"/>
      <c r="H650" s="100"/>
      <c r="I650" s="100"/>
      <c r="J650" s="100"/>
      <c r="S650" s="14"/>
      <c r="T650" s="14"/>
      <c r="U650" s="14"/>
      <c r="V650" s="14"/>
      <c r="W650" s="14"/>
      <c r="X650" s="14"/>
      <c r="Y650" s="14"/>
      <c r="Z650" s="14"/>
      <c r="AA650" s="14"/>
      <c r="AB650" s="14"/>
    </row>
    <row r="651">
      <c r="C651" s="100"/>
      <c r="D651" s="100"/>
      <c r="G651" s="50"/>
      <c r="H651" s="100"/>
      <c r="I651" s="100"/>
      <c r="J651" s="100"/>
      <c r="S651" s="14"/>
      <c r="T651" s="14"/>
      <c r="U651" s="14"/>
      <c r="V651" s="14"/>
      <c r="W651" s="14"/>
      <c r="X651" s="14"/>
      <c r="Y651" s="14"/>
      <c r="Z651" s="14"/>
      <c r="AA651" s="14"/>
      <c r="AB651" s="14"/>
    </row>
    <row r="652">
      <c r="C652" s="100"/>
      <c r="D652" s="100"/>
      <c r="G652" s="50"/>
      <c r="H652" s="100"/>
      <c r="I652" s="100"/>
      <c r="J652" s="100"/>
      <c r="S652" s="14"/>
      <c r="T652" s="14"/>
      <c r="U652" s="14"/>
      <c r="V652" s="14"/>
      <c r="W652" s="14"/>
      <c r="X652" s="14"/>
      <c r="Y652" s="14"/>
      <c r="Z652" s="14"/>
      <c r="AA652" s="14"/>
      <c r="AB652" s="14"/>
    </row>
    <row r="653">
      <c r="C653" s="100"/>
      <c r="D653" s="100"/>
      <c r="G653" s="50"/>
      <c r="H653" s="100"/>
      <c r="I653" s="100"/>
      <c r="J653" s="100"/>
      <c r="S653" s="14"/>
      <c r="T653" s="14"/>
      <c r="U653" s="14"/>
      <c r="V653" s="14"/>
      <c r="W653" s="14"/>
      <c r="X653" s="14"/>
      <c r="Y653" s="14"/>
      <c r="Z653" s="14"/>
      <c r="AA653" s="14"/>
      <c r="AB653" s="14"/>
    </row>
    <row r="654">
      <c r="C654" s="100"/>
      <c r="D654" s="100"/>
      <c r="G654" s="50"/>
      <c r="H654" s="100"/>
      <c r="I654" s="100"/>
      <c r="J654" s="100"/>
      <c r="S654" s="14"/>
      <c r="T654" s="14"/>
      <c r="U654" s="14"/>
      <c r="V654" s="14"/>
      <c r="W654" s="14"/>
      <c r="X654" s="14"/>
      <c r="Y654" s="14"/>
      <c r="Z654" s="14"/>
      <c r="AA654" s="14"/>
      <c r="AB654" s="14"/>
    </row>
    <row r="655">
      <c r="C655" s="100"/>
      <c r="D655" s="100"/>
      <c r="G655" s="50"/>
      <c r="H655" s="100"/>
      <c r="I655" s="100"/>
      <c r="J655" s="100"/>
      <c r="S655" s="14"/>
      <c r="T655" s="14"/>
      <c r="U655" s="14"/>
      <c r="V655" s="14"/>
      <c r="W655" s="14"/>
      <c r="X655" s="14"/>
      <c r="Y655" s="14"/>
      <c r="Z655" s="14"/>
      <c r="AA655" s="14"/>
      <c r="AB655" s="14"/>
    </row>
    <row r="656">
      <c r="C656" s="100"/>
      <c r="D656" s="100"/>
      <c r="G656" s="50"/>
      <c r="H656" s="100"/>
      <c r="I656" s="100"/>
      <c r="J656" s="100"/>
      <c r="S656" s="14"/>
      <c r="T656" s="14"/>
      <c r="U656" s="14"/>
      <c r="V656" s="14"/>
      <c r="W656" s="14"/>
      <c r="X656" s="14"/>
      <c r="Y656" s="14"/>
      <c r="Z656" s="14"/>
      <c r="AA656" s="14"/>
      <c r="AB656" s="14"/>
    </row>
    <row r="657">
      <c r="C657" s="100"/>
      <c r="D657" s="100"/>
      <c r="G657" s="50"/>
      <c r="H657" s="100"/>
      <c r="I657" s="100"/>
      <c r="J657" s="100"/>
      <c r="S657" s="14"/>
      <c r="T657" s="14"/>
      <c r="U657" s="14"/>
      <c r="V657" s="14"/>
      <c r="W657" s="14"/>
      <c r="X657" s="14"/>
      <c r="Y657" s="14"/>
      <c r="Z657" s="14"/>
      <c r="AA657" s="14"/>
      <c r="AB657" s="14"/>
    </row>
    <row r="658">
      <c r="C658" s="100"/>
      <c r="D658" s="100"/>
      <c r="G658" s="50"/>
      <c r="H658" s="100"/>
      <c r="I658" s="100"/>
      <c r="J658" s="100"/>
      <c r="S658" s="14"/>
      <c r="T658" s="14"/>
      <c r="U658" s="14"/>
      <c r="V658" s="14"/>
      <c r="W658" s="14"/>
      <c r="X658" s="14"/>
      <c r="Y658" s="14"/>
      <c r="Z658" s="14"/>
      <c r="AA658" s="14"/>
      <c r="AB658" s="14"/>
    </row>
    <row r="659">
      <c r="C659" s="100"/>
      <c r="D659" s="100"/>
      <c r="G659" s="50"/>
      <c r="H659" s="100"/>
      <c r="I659" s="100"/>
      <c r="J659" s="100"/>
      <c r="S659" s="14"/>
      <c r="T659" s="14"/>
      <c r="U659" s="14"/>
      <c r="V659" s="14"/>
      <c r="W659" s="14"/>
      <c r="X659" s="14"/>
      <c r="Y659" s="14"/>
      <c r="Z659" s="14"/>
      <c r="AA659" s="14"/>
      <c r="AB659" s="14"/>
    </row>
    <row r="660">
      <c r="C660" s="100"/>
      <c r="D660" s="100"/>
      <c r="G660" s="50"/>
      <c r="H660" s="100"/>
      <c r="I660" s="100"/>
      <c r="J660" s="100"/>
      <c r="S660" s="14"/>
      <c r="T660" s="14"/>
      <c r="U660" s="14"/>
      <c r="V660" s="14"/>
      <c r="W660" s="14"/>
      <c r="X660" s="14"/>
      <c r="Y660" s="14"/>
      <c r="Z660" s="14"/>
      <c r="AA660" s="14"/>
      <c r="AB660" s="14"/>
    </row>
    <row r="661">
      <c r="C661" s="100"/>
      <c r="D661" s="100"/>
      <c r="G661" s="50"/>
      <c r="H661" s="100"/>
      <c r="I661" s="100"/>
      <c r="J661" s="100"/>
      <c r="S661" s="14"/>
      <c r="T661" s="14"/>
      <c r="U661" s="14"/>
      <c r="V661" s="14"/>
      <c r="W661" s="14"/>
      <c r="X661" s="14"/>
      <c r="Y661" s="14"/>
      <c r="Z661" s="14"/>
      <c r="AA661" s="14"/>
      <c r="AB661" s="14"/>
    </row>
    <row r="662">
      <c r="C662" s="100"/>
      <c r="D662" s="100"/>
      <c r="G662" s="50"/>
      <c r="H662" s="100"/>
      <c r="I662" s="100"/>
      <c r="J662" s="100"/>
      <c r="S662" s="14"/>
      <c r="T662" s="14"/>
      <c r="U662" s="14"/>
      <c r="V662" s="14"/>
      <c r="W662" s="14"/>
      <c r="X662" s="14"/>
      <c r="Y662" s="14"/>
      <c r="Z662" s="14"/>
      <c r="AA662" s="14"/>
      <c r="AB662" s="14"/>
    </row>
    <row r="663">
      <c r="C663" s="100"/>
      <c r="D663" s="100"/>
      <c r="G663" s="50"/>
      <c r="H663" s="100"/>
      <c r="I663" s="100"/>
      <c r="J663" s="100"/>
      <c r="S663" s="14"/>
      <c r="T663" s="14"/>
      <c r="U663" s="14"/>
      <c r="V663" s="14"/>
      <c r="W663" s="14"/>
      <c r="X663" s="14"/>
      <c r="Y663" s="14"/>
      <c r="Z663" s="14"/>
      <c r="AA663" s="14"/>
      <c r="AB663" s="14"/>
    </row>
    <row r="664">
      <c r="C664" s="100"/>
      <c r="D664" s="100"/>
      <c r="G664" s="50"/>
      <c r="H664" s="100"/>
      <c r="I664" s="100"/>
      <c r="J664" s="100"/>
      <c r="S664" s="14"/>
      <c r="T664" s="14"/>
      <c r="U664" s="14"/>
      <c r="V664" s="14"/>
      <c r="W664" s="14"/>
      <c r="X664" s="14"/>
      <c r="Y664" s="14"/>
      <c r="Z664" s="14"/>
      <c r="AA664" s="14"/>
      <c r="AB664" s="14"/>
    </row>
    <row r="665">
      <c r="C665" s="100"/>
      <c r="D665" s="100"/>
      <c r="G665" s="50"/>
      <c r="H665" s="100"/>
      <c r="I665" s="100"/>
      <c r="J665" s="100"/>
      <c r="S665" s="14"/>
      <c r="T665" s="14"/>
      <c r="U665" s="14"/>
      <c r="V665" s="14"/>
      <c r="W665" s="14"/>
      <c r="X665" s="14"/>
      <c r="Y665" s="14"/>
      <c r="Z665" s="14"/>
      <c r="AA665" s="14"/>
      <c r="AB665" s="14"/>
    </row>
    <row r="666">
      <c r="C666" s="100"/>
      <c r="D666" s="100"/>
      <c r="G666" s="50"/>
      <c r="H666" s="100"/>
      <c r="I666" s="100"/>
      <c r="J666" s="100"/>
      <c r="S666" s="14"/>
      <c r="T666" s="14"/>
      <c r="U666" s="14"/>
      <c r="V666" s="14"/>
      <c r="W666" s="14"/>
      <c r="X666" s="14"/>
      <c r="Y666" s="14"/>
      <c r="Z666" s="14"/>
      <c r="AA666" s="14"/>
      <c r="AB666" s="14"/>
    </row>
    <row r="667">
      <c r="C667" s="100"/>
      <c r="D667" s="100"/>
      <c r="G667" s="50"/>
      <c r="H667" s="100"/>
      <c r="I667" s="100"/>
      <c r="J667" s="100"/>
      <c r="S667" s="14"/>
      <c r="T667" s="14"/>
      <c r="U667" s="14"/>
      <c r="V667" s="14"/>
      <c r="W667" s="14"/>
      <c r="X667" s="14"/>
      <c r="Y667" s="14"/>
      <c r="Z667" s="14"/>
      <c r="AA667" s="14"/>
      <c r="AB667" s="14"/>
    </row>
    <row r="668">
      <c r="C668" s="100"/>
      <c r="D668" s="100"/>
      <c r="G668" s="50"/>
      <c r="H668" s="100"/>
      <c r="I668" s="100"/>
      <c r="J668" s="100"/>
      <c r="S668" s="14"/>
      <c r="T668" s="14"/>
      <c r="U668" s="14"/>
      <c r="V668" s="14"/>
      <c r="W668" s="14"/>
      <c r="X668" s="14"/>
      <c r="Y668" s="14"/>
      <c r="Z668" s="14"/>
      <c r="AA668" s="14"/>
      <c r="AB668" s="14"/>
    </row>
    <row r="669">
      <c r="C669" s="100"/>
      <c r="D669" s="100"/>
      <c r="G669" s="50"/>
      <c r="H669" s="100"/>
      <c r="I669" s="100"/>
      <c r="J669" s="100"/>
      <c r="S669" s="14"/>
      <c r="T669" s="14"/>
      <c r="U669" s="14"/>
      <c r="V669" s="14"/>
      <c r="W669" s="14"/>
      <c r="X669" s="14"/>
      <c r="Y669" s="14"/>
      <c r="Z669" s="14"/>
      <c r="AA669" s="14"/>
      <c r="AB669" s="14"/>
    </row>
    <row r="670">
      <c r="C670" s="100"/>
      <c r="D670" s="100"/>
      <c r="G670" s="50"/>
      <c r="H670" s="100"/>
      <c r="I670" s="100"/>
      <c r="J670" s="100"/>
      <c r="S670" s="14"/>
      <c r="T670" s="14"/>
      <c r="U670" s="14"/>
      <c r="V670" s="14"/>
      <c r="W670" s="14"/>
      <c r="X670" s="14"/>
      <c r="Y670" s="14"/>
      <c r="Z670" s="14"/>
      <c r="AA670" s="14"/>
      <c r="AB670" s="14"/>
    </row>
    <row r="671">
      <c r="C671" s="100"/>
      <c r="D671" s="100"/>
      <c r="G671" s="50"/>
      <c r="H671" s="100"/>
      <c r="I671" s="100"/>
      <c r="J671" s="100"/>
      <c r="S671" s="14"/>
      <c r="T671" s="14"/>
      <c r="U671" s="14"/>
      <c r="V671" s="14"/>
      <c r="W671" s="14"/>
      <c r="X671" s="14"/>
      <c r="Y671" s="14"/>
      <c r="Z671" s="14"/>
      <c r="AA671" s="14"/>
      <c r="AB671" s="14"/>
    </row>
    <row r="672">
      <c r="C672" s="100"/>
      <c r="D672" s="100"/>
      <c r="G672" s="50"/>
      <c r="H672" s="100"/>
      <c r="I672" s="100"/>
      <c r="J672" s="100"/>
      <c r="S672" s="14"/>
      <c r="T672" s="14"/>
      <c r="U672" s="14"/>
      <c r="V672" s="14"/>
      <c r="W672" s="14"/>
      <c r="X672" s="14"/>
      <c r="Y672" s="14"/>
      <c r="Z672" s="14"/>
      <c r="AA672" s="14"/>
      <c r="AB672" s="14"/>
    </row>
    <row r="673">
      <c r="C673" s="100"/>
      <c r="D673" s="100"/>
      <c r="G673" s="50"/>
      <c r="H673" s="100"/>
      <c r="I673" s="100"/>
      <c r="J673" s="100"/>
      <c r="S673" s="14"/>
      <c r="T673" s="14"/>
      <c r="U673" s="14"/>
      <c r="V673" s="14"/>
      <c r="W673" s="14"/>
      <c r="X673" s="14"/>
      <c r="Y673" s="14"/>
      <c r="Z673" s="14"/>
      <c r="AA673" s="14"/>
      <c r="AB673" s="14"/>
    </row>
    <row r="674">
      <c r="C674" s="100"/>
      <c r="D674" s="100"/>
      <c r="G674" s="50"/>
      <c r="H674" s="100"/>
      <c r="I674" s="100"/>
      <c r="J674" s="100"/>
      <c r="S674" s="14"/>
      <c r="T674" s="14"/>
      <c r="U674" s="14"/>
      <c r="V674" s="14"/>
      <c r="W674" s="14"/>
      <c r="X674" s="14"/>
      <c r="Y674" s="14"/>
      <c r="Z674" s="14"/>
      <c r="AA674" s="14"/>
      <c r="AB674" s="14"/>
    </row>
    <row r="675">
      <c r="C675" s="100"/>
      <c r="D675" s="100"/>
      <c r="G675" s="50"/>
      <c r="H675" s="100"/>
      <c r="I675" s="100"/>
      <c r="J675" s="100"/>
      <c r="S675" s="14"/>
      <c r="T675" s="14"/>
      <c r="U675" s="14"/>
      <c r="V675" s="14"/>
      <c r="W675" s="14"/>
      <c r="X675" s="14"/>
      <c r="Y675" s="14"/>
      <c r="Z675" s="14"/>
      <c r="AA675" s="14"/>
      <c r="AB675" s="14"/>
    </row>
    <row r="676">
      <c r="C676" s="100"/>
      <c r="D676" s="100"/>
      <c r="G676" s="50"/>
      <c r="H676" s="100"/>
      <c r="I676" s="100"/>
      <c r="J676" s="100"/>
      <c r="S676" s="14"/>
      <c r="T676" s="14"/>
      <c r="U676" s="14"/>
      <c r="V676" s="14"/>
      <c r="W676" s="14"/>
      <c r="X676" s="14"/>
      <c r="Y676" s="14"/>
      <c r="Z676" s="14"/>
      <c r="AA676" s="14"/>
      <c r="AB676" s="14"/>
    </row>
    <row r="677">
      <c r="C677" s="100"/>
      <c r="D677" s="100"/>
      <c r="G677" s="50"/>
      <c r="H677" s="100"/>
      <c r="I677" s="100"/>
      <c r="J677" s="100"/>
      <c r="S677" s="14"/>
      <c r="T677" s="14"/>
      <c r="U677" s="14"/>
      <c r="V677" s="14"/>
      <c r="W677" s="14"/>
      <c r="X677" s="14"/>
      <c r="Y677" s="14"/>
      <c r="Z677" s="14"/>
      <c r="AA677" s="14"/>
      <c r="AB677" s="14"/>
    </row>
    <row r="678">
      <c r="C678" s="100"/>
      <c r="D678" s="100"/>
      <c r="G678" s="50"/>
      <c r="H678" s="100"/>
      <c r="I678" s="100"/>
      <c r="J678" s="100"/>
      <c r="S678" s="14"/>
      <c r="T678" s="14"/>
      <c r="U678" s="14"/>
      <c r="V678" s="14"/>
      <c r="W678" s="14"/>
      <c r="X678" s="14"/>
      <c r="Y678" s="14"/>
      <c r="Z678" s="14"/>
      <c r="AA678" s="14"/>
      <c r="AB678" s="14"/>
    </row>
    <row r="679">
      <c r="C679" s="100"/>
      <c r="D679" s="100"/>
      <c r="G679" s="50"/>
      <c r="H679" s="100"/>
      <c r="I679" s="100"/>
      <c r="J679" s="100"/>
      <c r="S679" s="14"/>
      <c r="T679" s="14"/>
      <c r="U679" s="14"/>
      <c r="V679" s="14"/>
      <c r="W679" s="14"/>
      <c r="X679" s="14"/>
      <c r="Y679" s="14"/>
      <c r="Z679" s="14"/>
      <c r="AA679" s="14"/>
      <c r="AB679" s="14"/>
    </row>
    <row r="680">
      <c r="C680" s="100"/>
      <c r="D680" s="100"/>
      <c r="G680" s="50"/>
      <c r="H680" s="100"/>
      <c r="I680" s="100"/>
      <c r="J680" s="100"/>
      <c r="S680" s="14"/>
      <c r="T680" s="14"/>
      <c r="U680" s="14"/>
      <c r="V680" s="14"/>
      <c r="W680" s="14"/>
      <c r="X680" s="14"/>
      <c r="Y680" s="14"/>
      <c r="Z680" s="14"/>
      <c r="AA680" s="14"/>
      <c r="AB680" s="14"/>
    </row>
    <row r="681">
      <c r="C681" s="100"/>
      <c r="D681" s="100"/>
      <c r="G681" s="50"/>
      <c r="H681" s="100"/>
      <c r="I681" s="100"/>
      <c r="J681" s="100"/>
      <c r="S681" s="14"/>
      <c r="T681" s="14"/>
      <c r="U681" s="14"/>
      <c r="V681" s="14"/>
      <c r="W681" s="14"/>
      <c r="X681" s="14"/>
      <c r="Y681" s="14"/>
      <c r="Z681" s="14"/>
      <c r="AA681" s="14"/>
      <c r="AB681" s="14"/>
    </row>
    <row r="682">
      <c r="C682" s="100"/>
      <c r="D682" s="100"/>
      <c r="G682" s="50"/>
      <c r="H682" s="100"/>
      <c r="I682" s="100"/>
      <c r="J682" s="100"/>
      <c r="S682" s="14"/>
      <c r="T682" s="14"/>
      <c r="U682" s="14"/>
      <c r="V682" s="14"/>
      <c r="W682" s="14"/>
      <c r="X682" s="14"/>
      <c r="Y682" s="14"/>
      <c r="Z682" s="14"/>
      <c r="AA682" s="14"/>
      <c r="AB682" s="14"/>
    </row>
    <row r="683">
      <c r="C683" s="100"/>
      <c r="D683" s="100"/>
      <c r="G683" s="50"/>
      <c r="H683" s="100"/>
      <c r="I683" s="100"/>
      <c r="J683" s="100"/>
      <c r="S683" s="14"/>
      <c r="T683" s="14"/>
      <c r="U683" s="14"/>
      <c r="V683" s="14"/>
      <c r="W683" s="14"/>
      <c r="X683" s="14"/>
      <c r="Y683" s="14"/>
      <c r="Z683" s="14"/>
      <c r="AA683" s="14"/>
      <c r="AB683" s="14"/>
    </row>
    <row r="684">
      <c r="C684" s="100"/>
      <c r="D684" s="100"/>
      <c r="G684" s="50"/>
      <c r="H684" s="100"/>
      <c r="I684" s="100"/>
      <c r="J684" s="100"/>
      <c r="S684" s="14"/>
      <c r="T684" s="14"/>
      <c r="U684" s="14"/>
      <c r="V684" s="14"/>
      <c r="W684" s="14"/>
      <c r="X684" s="14"/>
      <c r="Y684" s="14"/>
      <c r="Z684" s="14"/>
      <c r="AA684" s="14"/>
      <c r="AB684" s="14"/>
    </row>
    <row r="685">
      <c r="C685" s="100"/>
      <c r="D685" s="100"/>
      <c r="G685" s="50"/>
      <c r="H685" s="100"/>
      <c r="I685" s="100"/>
      <c r="J685" s="100"/>
      <c r="S685" s="14"/>
      <c r="T685" s="14"/>
      <c r="U685" s="14"/>
      <c r="V685" s="14"/>
      <c r="W685" s="14"/>
      <c r="X685" s="14"/>
      <c r="Y685" s="14"/>
      <c r="Z685" s="14"/>
      <c r="AA685" s="14"/>
      <c r="AB685" s="14"/>
    </row>
    <row r="686">
      <c r="C686" s="100"/>
      <c r="D686" s="100"/>
      <c r="G686" s="50"/>
      <c r="H686" s="100"/>
      <c r="I686" s="100"/>
      <c r="J686" s="100"/>
      <c r="S686" s="14"/>
      <c r="T686" s="14"/>
      <c r="U686" s="14"/>
      <c r="V686" s="14"/>
      <c r="W686" s="14"/>
      <c r="X686" s="14"/>
      <c r="Y686" s="14"/>
      <c r="Z686" s="14"/>
      <c r="AA686" s="14"/>
      <c r="AB686" s="14"/>
    </row>
    <row r="687">
      <c r="C687" s="100"/>
      <c r="D687" s="100"/>
      <c r="G687" s="50"/>
      <c r="H687" s="100"/>
      <c r="I687" s="100"/>
      <c r="J687" s="100"/>
      <c r="S687" s="14"/>
      <c r="T687" s="14"/>
      <c r="U687" s="14"/>
      <c r="V687" s="14"/>
      <c r="W687" s="14"/>
      <c r="X687" s="14"/>
      <c r="Y687" s="14"/>
      <c r="Z687" s="14"/>
      <c r="AA687" s="14"/>
      <c r="AB687" s="14"/>
    </row>
    <row r="688">
      <c r="C688" s="100"/>
      <c r="D688" s="100"/>
      <c r="G688" s="50"/>
      <c r="H688" s="100"/>
      <c r="I688" s="100"/>
      <c r="J688" s="100"/>
      <c r="S688" s="14"/>
      <c r="T688" s="14"/>
      <c r="U688" s="14"/>
      <c r="V688" s="14"/>
      <c r="W688" s="14"/>
      <c r="X688" s="14"/>
      <c r="Y688" s="14"/>
      <c r="Z688" s="14"/>
      <c r="AA688" s="14"/>
      <c r="AB688" s="14"/>
    </row>
    <row r="689">
      <c r="C689" s="100"/>
      <c r="D689" s="100"/>
      <c r="G689" s="50"/>
      <c r="H689" s="100"/>
      <c r="I689" s="100"/>
      <c r="J689" s="100"/>
      <c r="S689" s="14"/>
      <c r="T689" s="14"/>
      <c r="U689" s="14"/>
      <c r="V689" s="14"/>
      <c r="W689" s="14"/>
      <c r="X689" s="14"/>
      <c r="Y689" s="14"/>
      <c r="Z689" s="14"/>
      <c r="AA689" s="14"/>
      <c r="AB689" s="14"/>
    </row>
    <row r="690">
      <c r="C690" s="100"/>
      <c r="D690" s="100"/>
      <c r="G690" s="50"/>
      <c r="H690" s="100"/>
      <c r="I690" s="100"/>
      <c r="J690" s="100"/>
      <c r="S690" s="14"/>
      <c r="T690" s="14"/>
      <c r="U690" s="14"/>
      <c r="V690" s="14"/>
      <c r="W690" s="14"/>
      <c r="X690" s="14"/>
      <c r="Y690" s="14"/>
      <c r="Z690" s="14"/>
      <c r="AA690" s="14"/>
      <c r="AB690" s="14"/>
    </row>
    <row r="691">
      <c r="C691" s="100"/>
      <c r="D691" s="100"/>
      <c r="G691" s="50"/>
      <c r="H691" s="100"/>
      <c r="I691" s="100"/>
      <c r="J691" s="100"/>
      <c r="S691" s="14"/>
      <c r="T691" s="14"/>
      <c r="U691" s="14"/>
      <c r="V691" s="14"/>
      <c r="W691" s="14"/>
      <c r="X691" s="14"/>
      <c r="Y691" s="14"/>
      <c r="Z691" s="14"/>
      <c r="AA691" s="14"/>
      <c r="AB691" s="14"/>
    </row>
    <row r="692">
      <c r="C692" s="100"/>
      <c r="D692" s="100"/>
      <c r="G692" s="50"/>
      <c r="H692" s="100"/>
      <c r="I692" s="100"/>
      <c r="J692" s="100"/>
      <c r="S692" s="14"/>
      <c r="T692" s="14"/>
      <c r="U692" s="14"/>
      <c r="V692" s="14"/>
      <c r="W692" s="14"/>
      <c r="X692" s="14"/>
      <c r="Y692" s="14"/>
      <c r="Z692" s="14"/>
      <c r="AA692" s="14"/>
      <c r="AB692" s="14"/>
    </row>
    <row r="693">
      <c r="C693" s="100"/>
      <c r="D693" s="100"/>
      <c r="G693" s="50"/>
      <c r="H693" s="100"/>
      <c r="I693" s="100"/>
      <c r="J693" s="100"/>
      <c r="S693" s="14"/>
      <c r="T693" s="14"/>
      <c r="U693" s="14"/>
      <c r="V693" s="14"/>
      <c r="W693" s="14"/>
      <c r="X693" s="14"/>
      <c r="Y693" s="14"/>
      <c r="Z693" s="14"/>
      <c r="AA693" s="14"/>
      <c r="AB693" s="14"/>
    </row>
    <row r="694">
      <c r="C694" s="100"/>
      <c r="D694" s="100"/>
      <c r="G694" s="50"/>
      <c r="H694" s="100"/>
      <c r="I694" s="100"/>
      <c r="J694" s="100"/>
      <c r="S694" s="14"/>
      <c r="T694" s="14"/>
      <c r="U694" s="14"/>
      <c r="V694" s="14"/>
      <c r="W694" s="14"/>
      <c r="X694" s="14"/>
      <c r="Y694" s="14"/>
      <c r="Z694" s="14"/>
      <c r="AA694" s="14"/>
      <c r="AB694" s="14"/>
    </row>
    <row r="695">
      <c r="C695" s="100"/>
      <c r="D695" s="100"/>
      <c r="G695" s="50"/>
      <c r="H695" s="100"/>
      <c r="I695" s="100"/>
      <c r="J695" s="100"/>
      <c r="S695" s="14"/>
      <c r="T695" s="14"/>
      <c r="U695" s="14"/>
      <c r="V695" s="14"/>
      <c r="W695" s="14"/>
      <c r="X695" s="14"/>
      <c r="Y695" s="14"/>
      <c r="Z695" s="14"/>
      <c r="AA695" s="14"/>
      <c r="AB695" s="14"/>
    </row>
    <row r="696">
      <c r="C696" s="100"/>
      <c r="D696" s="100"/>
      <c r="G696" s="50"/>
      <c r="H696" s="100"/>
      <c r="I696" s="100"/>
      <c r="J696" s="100"/>
      <c r="S696" s="14"/>
      <c r="T696" s="14"/>
      <c r="U696" s="14"/>
      <c r="V696" s="14"/>
      <c r="W696" s="14"/>
      <c r="X696" s="14"/>
      <c r="Y696" s="14"/>
      <c r="Z696" s="14"/>
      <c r="AA696" s="14"/>
      <c r="AB696" s="14"/>
    </row>
    <row r="697">
      <c r="C697" s="100"/>
      <c r="D697" s="100"/>
      <c r="G697" s="50"/>
      <c r="H697" s="100"/>
      <c r="I697" s="100"/>
      <c r="J697" s="100"/>
      <c r="S697" s="14"/>
      <c r="T697" s="14"/>
      <c r="U697" s="14"/>
      <c r="V697" s="14"/>
      <c r="W697" s="14"/>
      <c r="X697" s="14"/>
      <c r="Y697" s="14"/>
      <c r="Z697" s="14"/>
      <c r="AA697" s="14"/>
      <c r="AB697" s="14"/>
    </row>
    <row r="698">
      <c r="C698" s="100"/>
      <c r="D698" s="100"/>
      <c r="G698" s="50"/>
      <c r="H698" s="100"/>
      <c r="I698" s="100"/>
      <c r="J698" s="100"/>
      <c r="S698" s="14"/>
      <c r="T698" s="14"/>
      <c r="U698" s="14"/>
      <c r="V698" s="14"/>
      <c r="W698" s="14"/>
      <c r="X698" s="14"/>
      <c r="Y698" s="14"/>
      <c r="Z698" s="14"/>
      <c r="AA698" s="14"/>
      <c r="AB698" s="14"/>
    </row>
    <row r="699">
      <c r="C699" s="100"/>
      <c r="D699" s="100"/>
      <c r="G699" s="50"/>
      <c r="H699" s="100"/>
      <c r="I699" s="100"/>
      <c r="J699" s="100"/>
      <c r="S699" s="14"/>
      <c r="T699" s="14"/>
      <c r="U699" s="14"/>
      <c r="V699" s="14"/>
      <c r="W699" s="14"/>
      <c r="X699" s="14"/>
      <c r="Y699" s="14"/>
      <c r="Z699" s="14"/>
      <c r="AA699" s="14"/>
      <c r="AB699" s="14"/>
    </row>
    <row r="700">
      <c r="C700" s="100"/>
      <c r="D700" s="100"/>
      <c r="G700" s="50"/>
      <c r="H700" s="100"/>
      <c r="I700" s="100"/>
      <c r="J700" s="100"/>
      <c r="S700" s="14"/>
      <c r="T700" s="14"/>
      <c r="U700" s="14"/>
      <c r="V700" s="14"/>
      <c r="W700" s="14"/>
      <c r="X700" s="14"/>
      <c r="Y700" s="14"/>
      <c r="Z700" s="14"/>
      <c r="AA700" s="14"/>
      <c r="AB700" s="14"/>
    </row>
    <row r="701">
      <c r="C701" s="100"/>
      <c r="D701" s="100"/>
      <c r="G701" s="50"/>
      <c r="H701" s="100"/>
      <c r="I701" s="100"/>
      <c r="J701" s="100"/>
      <c r="S701" s="14"/>
      <c r="T701" s="14"/>
      <c r="U701" s="14"/>
      <c r="V701" s="14"/>
      <c r="W701" s="14"/>
      <c r="X701" s="14"/>
      <c r="Y701" s="14"/>
      <c r="Z701" s="14"/>
      <c r="AA701" s="14"/>
      <c r="AB701" s="14"/>
    </row>
    <row r="702">
      <c r="C702" s="100"/>
      <c r="D702" s="100"/>
      <c r="G702" s="50"/>
      <c r="H702" s="100"/>
      <c r="I702" s="100"/>
      <c r="J702" s="100"/>
      <c r="S702" s="14"/>
      <c r="T702" s="14"/>
      <c r="U702" s="14"/>
      <c r="V702" s="14"/>
      <c r="W702" s="14"/>
      <c r="X702" s="14"/>
      <c r="Y702" s="14"/>
      <c r="Z702" s="14"/>
      <c r="AA702" s="14"/>
      <c r="AB702" s="14"/>
    </row>
    <row r="703">
      <c r="C703" s="100"/>
      <c r="D703" s="100"/>
      <c r="G703" s="50"/>
      <c r="H703" s="100"/>
      <c r="I703" s="100"/>
      <c r="J703" s="100"/>
      <c r="S703" s="14"/>
      <c r="T703" s="14"/>
      <c r="U703" s="14"/>
      <c r="V703" s="14"/>
      <c r="W703" s="14"/>
      <c r="X703" s="14"/>
      <c r="Y703" s="14"/>
      <c r="Z703" s="14"/>
      <c r="AA703" s="14"/>
      <c r="AB703" s="14"/>
    </row>
    <row r="704">
      <c r="C704" s="100"/>
      <c r="D704" s="100"/>
      <c r="G704" s="50"/>
      <c r="H704" s="100"/>
      <c r="I704" s="100"/>
      <c r="J704" s="100"/>
      <c r="S704" s="14"/>
      <c r="T704" s="14"/>
      <c r="U704" s="14"/>
      <c r="V704" s="14"/>
      <c r="W704" s="14"/>
      <c r="X704" s="14"/>
      <c r="Y704" s="14"/>
      <c r="Z704" s="14"/>
      <c r="AA704" s="14"/>
      <c r="AB704" s="14"/>
    </row>
    <row r="705">
      <c r="C705" s="100"/>
      <c r="D705" s="100"/>
      <c r="G705" s="50"/>
      <c r="H705" s="100"/>
      <c r="I705" s="100"/>
      <c r="J705" s="100"/>
      <c r="S705" s="14"/>
      <c r="T705" s="14"/>
      <c r="U705" s="14"/>
      <c r="V705" s="14"/>
      <c r="W705" s="14"/>
      <c r="X705" s="14"/>
      <c r="Y705" s="14"/>
      <c r="Z705" s="14"/>
      <c r="AA705" s="14"/>
      <c r="AB705" s="14"/>
    </row>
    <row r="706">
      <c r="C706" s="100"/>
      <c r="D706" s="100"/>
      <c r="G706" s="50"/>
      <c r="H706" s="100"/>
      <c r="I706" s="100"/>
      <c r="J706" s="100"/>
      <c r="S706" s="14"/>
      <c r="T706" s="14"/>
      <c r="U706" s="14"/>
      <c r="V706" s="14"/>
      <c r="W706" s="14"/>
      <c r="X706" s="14"/>
      <c r="Y706" s="14"/>
      <c r="Z706" s="14"/>
      <c r="AA706" s="14"/>
      <c r="AB706" s="14"/>
    </row>
    <row r="707">
      <c r="C707" s="100"/>
      <c r="D707" s="100"/>
      <c r="G707" s="50"/>
      <c r="H707" s="100"/>
      <c r="I707" s="100"/>
      <c r="J707" s="100"/>
      <c r="S707" s="14"/>
      <c r="T707" s="14"/>
      <c r="U707" s="14"/>
      <c r="V707" s="14"/>
      <c r="W707" s="14"/>
      <c r="X707" s="14"/>
      <c r="Y707" s="14"/>
      <c r="Z707" s="14"/>
      <c r="AA707" s="14"/>
      <c r="AB707" s="14"/>
    </row>
    <row r="708">
      <c r="C708" s="100"/>
      <c r="D708" s="100"/>
      <c r="G708" s="50"/>
      <c r="H708" s="100"/>
      <c r="I708" s="100"/>
      <c r="J708" s="100"/>
      <c r="S708" s="14"/>
      <c r="T708" s="14"/>
      <c r="U708" s="14"/>
      <c r="V708" s="14"/>
      <c r="W708" s="14"/>
      <c r="X708" s="14"/>
      <c r="Y708" s="14"/>
      <c r="Z708" s="14"/>
      <c r="AA708" s="14"/>
      <c r="AB708" s="14"/>
    </row>
    <row r="709">
      <c r="C709" s="100"/>
      <c r="D709" s="100"/>
      <c r="G709" s="50"/>
      <c r="H709" s="100"/>
      <c r="I709" s="100"/>
      <c r="J709" s="100"/>
      <c r="S709" s="14"/>
      <c r="T709" s="14"/>
      <c r="U709" s="14"/>
      <c r="V709" s="14"/>
      <c r="W709" s="14"/>
      <c r="X709" s="14"/>
      <c r="Y709" s="14"/>
      <c r="Z709" s="14"/>
      <c r="AA709" s="14"/>
      <c r="AB709" s="14"/>
    </row>
    <row r="710">
      <c r="C710" s="100"/>
      <c r="D710" s="100"/>
      <c r="G710" s="50"/>
      <c r="H710" s="100"/>
      <c r="I710" s="100"/>
      <c r="J710" s="100"/>
      <c r="S710" s="14"/>
      <c r="T710" s="14"/>
      <c r="U710" s="14"/>
      <c r="V710" s="14"/>
      <c r="W710" s="14"/>
      <c r="X710" s="14"/>
      <c r="Y710" s="14"/>
      <c r="Z710" s="14"/>
      <c r="AA710" s="14"/>
      <c r="AB710" s="14"/>
    </row>
    <row r="711">
      <c r="C711" s="100"/>
      <c r="D711" s="100"/>
      <c r="G711" s="50"/>
      <c r="H711" s="100"/>
      <c r="I711" s="100"/>
      <c r="J711" s="100"/>
      <c r="S711" s="14"/>
      <c r="T711" s="14"/>
      <c r="U711" s="14"/>
      <c r="V711" s="14"/>
      <c r="W711" s="14"/>
      <c r="X711" s="14"/>
      <c r="Y711" s="14"/>
      <c r="Z711" s="14"/>
      <c r="AA711" s="14"/>
      <c r="AB711" s="14"/>
    </row>
    <row r="712">
      <c r="C712" s="100"/>
      <c r="D712" s="100"/>
      <c r="G712" s="50"/>
      <c r="H712" s="100"/>
      <c r="I712" s="100"/>
      <c r="J712" s="100"/>
      <c r="S712" s="14"/>
      <c r="T712" s="14"/>
      <c r="U712" s="14"/>
      <c r="V712" s="14"/>
      <c r="W712" s="14"/>
      <c r="X712" s="14"/>
      <c r="Y712" s="14"/>
      <c r="Z712" s="14"/>
      <c r="AA712" s="14"/>
      <c r="AB712" s="14"/>
    </row>
    <row r="713">
      <c r="C713" s="100"/>
      <c r="D713" s="100"/>
      <c r="G713" s="50"/>
      <c r="H713" s="100"/>
      <c r="I713" s="100"/>
      <c r="J713" s="100"/>
      <c r="S713" s="14"/>
      <c r="T713" s="14"/>
      <c r="U713" s="14"/>
      <c r="V713" s="14"/>
      <c r="W713" s="14"/>
      <c r="X713" s="14"/>
      <c r="Y713" s="14"/>
      <c r="Z713" s="14"/>
      <c r="AA713" s="14"/>
      <c r="AB713" s="14"/>
    </row>
    <row r="714">
      <c r="C714" s="100"/>
      <c r="D714" s="100"/>
      <c r="G714" s="50"/>
      <c r="H714" s="100"/>
      <c r="I714" s="100"/>
      <c r="J714" s="100"/>
      <c r="S714" s="14"/>
      <c r="T714" s="14"/>
      <c r="U714" s="14"/>
      <c r="V714" s="14"/>
      <c r="W714" s="14"/>
      <c r="X714" s="14"/>
      <c r="Y714" s="14"/>
      <c r="Z714" s="14"/>
      <c r="AA714" s="14"/>
      <c r="AB714" s="14"/>
    </row>
    <row r="715">
      <c r="C715" s="100"/>
      <c r="D715" s="100"/>
      <c r="G715" s="50"/>
      <c r="H715" s="100"/>
      <c r="I715" s="100"/>
      <c r="J715" s="100"/>
      <c r="S715" s="14"/>
      <c r="T715" s="14"/>
      <c r="U715" s="14"/>
      <c r="V715" s="14"/>
      <c r="W715" s="14"/>
      <c r="X715" s="14"/>
      <c r="Y715" s="14"/>
      <c r="Z715" s="14"/>
      <c r="AA715" s="14"/>
      <c r="AB715" s="14"/>
    </row>
    <row r="716">
      <c r="C716" s="100"/>
      <c r="D716" s="100"/>
      <c r="G716" s="50"/>
      <c r="H716" s="100"/>
      <c r="I716" s="100"/>
      <c r="J716" s="100"/>
      <c r="S716" s="14"/>
      <c r="T716" s="14"/>
      <c r="U716" s="14"/>
      <c r="V716" s="14"/>
      <c r="W716" s="14"/>
      <c r="X716" s="14"/>
      <c r="Y716" s="14"/>
      <c r="Z716" s="14"/>
      <c r="AA716" s="14"/>
      <c r="AB716" s="14"/>
    </row>
    <row r="717">
      <c r="C717" s="100"/>
      <c r="D717" s="100"/>
      <c r="G717" s="50"/>
      <c r="H717" s="100"/>
      <c r="I717" s="100"/>
      <c r="J717" s="100"/>
      <c r="S717" s="14"/>
      <c r="T717" s="14"/>
      <c r="U717" s="14"/>
      <c r="V717" s="14"/>
      <c r="W717" s="14"/>
      <c r="X717" s="14"/>
      <c r="Y717" s="14"/>
      <c r="Z717" s="14"/>
      <c r="AA717" s="14"/>
      <c r="AB717" s="14"/>
    </row>
    <row r="718">
      <c r="C718" s="100"/>
      <c r="D718" s="100"/>
      <c r="G718" s="50"/>
      <c r="H718" s="100"/>
      <c r="I718" s="100"/>
      <c r="J718" s="100"/>
      <c r="S718" s="14"/>
      <c r="T718" s="14"/>
      <c r="U718" s="14"/>
      <c r="V718" s="14"/>
      <c r="W718" s="14"/>
      <c r="X718" s="14"/>
      <c r="Y718" s="14"/>
      <c r="Z718" s="14"/>
      <c r="AA718" s="14"/>
      <c r="AB718" s="14"/>
    </row>
    <row r="719">
      <c r="C719" s="100"/>
      <c r="D719" s="100"/>
      <c r="G719" s="50"/>
      <c r="H719" s="100"/>
      <c r="I719" s="100"/>
      <c r="J719" s="100"/>
      <c r="S719" s="14"/>
      <c r="T719" s="14"/>
      <c r="U719" s="14"/>
      <c r="V719" s="14"/>
      <c r="W719" s="14"/>
      <c r="X719" s="14"/>
      <c r="Y719" s="14"/>
      <c r="Z719" s="14"/>
      <c r="AA719" s="14"/>
      <c r="AB719" s="14"/>
    </row>
    <row r="720">
      <c r="C720" s="100"/>
      <c r="D720" s="100"/>
      <c r="G720" s="50"/>
      <c r="H720" s="100"/>
      <c r="I720" s="100"/>
      <c r="J720" s="100"/>
      <c r="S720" s="14"/>
      <c r="T720" s="14"/>
      <c r="U720" s="14"/>
      <c r="V720" s="14"/>
      <c r="W720" s="14"/>
      <c r="X720" s="14"/>
      <c r="Y720" s="14"/>
      <c r="Z720" s="14"/>
      <c r="AA720" s="14"/>
      <c r="AB720" s="14"/>
    </row>
    <row r="721">
      <c r="C721" s="100"/>
      <c r="D721" s="100"/>
      <c r="G721" s="50"/>
      <c r="H721" s="100"/>
      <c r="I721" s="100"/>
      <c r="J721" s="100"/>
      <c r="S721" s="14"/>
      <c r="T721" s="14"/>
      <c r="U721" s="14"/>
      <c r="V721" s="14"/>
      <c r="W721" s="14"/>
      <c r="X721" s="14"/>
      <c r="Y721" s="14"/>
      <c r="Z721" s="14"/>
      <c r="AA721" s="14"/>
      <c r="AB721" s="14"/>
    </row>
    <row r="722">
      <c r="C722" s="100"/>
      <c r="D722" s="100"/>
      <c r="G722" s="50"/>
      <c r="H722" s="100"/>
      <c r="I722" s="100"/>
      <c r="J722" s="100"/>
      <c r="S722" s="14"/>
      <c r="T722" s="14"/>
      <c r="U722" s="14"/>
      <c r="V722" s="14"/>
      <c r="W722" s="14"/>
      <c r="X722" s="14"/>
      <c r="Y722" s="14"/>
      <c r="Z722" s="14"/>
      <c r="AA722" s="14"/>
      <c r="AB722" s="14"/>
    </row>
    <row r="723">
      <c r="C723" s="100"/>
      <c r="D723" s="100"/>
      <c r="G723" s="50"/>
      <c r="H723" s="100"/>
      <c r="I723" s="100"/>
      <c r="J723" s="100"/>
      <c r="S723" s="14"/>
      <c r="T723" s="14"/>
      <c r="U723" s="14"/>
      <c r="V723" s="14"/>
      <c r="W723" s="14"/>
      <c r="X723" s="14"/>
      <c r="Y723" s="14"/>
      <c r="Z723" s="14"/>
      <c r="AA723" s="14"/>
      <c r="AB723" s="14"/>
    </row>
    <row r="724">
      <c r="C724" s="100"/>
      <c r="D724" s="100"/>
      <c r="G724" s="50"/>
      <c r="H724" s="100"/>
      <c r="I724" s="100"/>
      <c r="J724" s="100"/>
      <c r="S724" s="14"/>
      <c r="T724" s="14"/>
      <c r="U724" s="14"/>
      <c r="V724" s="14"/>
      <c r="W724" s="14"/>
      <c r="X724" s="14"/>
      <c r="Y724" s="14"/>
      <c r="Z724" s="14"/>
      <c r="AA724" s="14"/>
      <c r="AB724" s="14"/>
    </row>
    <row r="725">
      <c r="C725" s="100"/>
      <c r="D725" s="100"/>
      <c r="G725" s="50"/>
      <c r="H725" s="100"/>
      <c r="I725" s="100"/>
      <c r="J725" s="100"/>
      <c r="S725" s="14"/>
      <c r="T725" s="14"/>
      <c r="U725" s="14"/>
      <c r="V725" s="14"/>
      <c r="W725" s="14"/>
      <c r="X725" s="14"/>
      <c r="Y725" s="14"/>
      <c r="Z725" s="14"/>
      <c r="AA725" s="14"/>
      <c r="AB725" s="14"/>
    </row>
    <row r="726">
      <c r="C726" s="100"/>
      <c r="D726" s="100"/>
      <c r="G726" s="50"/>
      <c r="H726" s="100"/>
      <c r="I726" s="100"/>
      <c r="J726" s="100"/>
      <c r="S726" s="14"/>
      <c r="T726" s="14"/>
      <c r="U726" s="14"/>
      <c r="V726" s="14"/>
      <c r="W726" s="14"/>
      <c r="X726" s="14"/>
      <c r="Y726" s="14"/>
      <c r="Z726" s="14"/>
      <c r="AA726" s="14"/>
      <c r="AB726" s="14"/>
    </row>
    <row r="727">
      <c r="C727" s="100"/>
      <c r="D727" s="100"/>
      <c r="G727" s="50"/>
      <c r="H727" s="100"/>
      <c r="I727" s="100"/>
      <c r="J727" s="100"/>
      <c r="S727" s="14"/>
      <c r="T727" s="14"/>
      <c r="U727" s="14"/>
      <c r="V727" s="14"/>
      <c r="W727" s="14"/>
      <c r="X727" s="14"/>
      <c r="Y727" s="14"/>
      <c r="Z727" s="14"/>
      <c r="AA727" s="14"/>
      <c r="AB727" s="14"/>
    </row>
    <row r="728">
      <c r="C728" s="100"/>
      <c r="D728" s="100"/>
      <c r="G728" s="50"/>
      <c r="H728" s="100"/>
      <c r="I728" s="100"/>
      <c r="J728" s="100"/>
      <c r="S728" s="14"/>
      <c r="T728" s="14"/>
      <c r="U728" s="14"/>
      <c r="V728" s="14"/>
      <c r="W728" s="14"/>
      <c r="X728" s="14"/>
      <c r="Y728" s="14"/>
      <c r="Z728" s="14"/>
      <c r="AA728" s="14"/>
      <c r="AB728" s="14"/>
    </row>
    <row r="729">
      <c r="C729" s="100"/>
      <c r="D729" s="100"/>
      <c r="G729" s="50"/>
      <c r="H729" s="100"/>
      <c r="I729" s="100"/>
      <c r="J729" s="100"/>
      <c r="S729" s="14"/>
      <c r="T729" s="14"/>
      <c r="U729" s="14"/>
      <c r="V729" s="14"/>
      <c r="W729" s="14"/>
      <c r="X729" s="14"/>
      <c r="Y729" s="14"/>
      <c r="Z729" s="14"/>
      <c r="AA729" s="14"/>
      <c r="AB729" s="14"/>
    </row>
    <row r="730">
      <c r="C730" s="100"/>
      <c r="D730" s="100"/>
      <c r="G730" s="50"/>
      <c r="H730" s="100"/>
      <c r="I730" s="100"/>
      <c r="J730" s="100"/>
      <c r="S730" s="14"/>
      <c r="T730" s="14"/>
      <c r="U730" s="14"/>
      <c r="V730" s="14"/>
      <c r="W730" s="14"/>
      <c r="X730" s="14"/>
      <c r="Y730" s="14"/>
      <c r="Z730" s="14"/>
      <c r="AA730" s="14"/>
      <c r="AB730" s="14"/>
    </row>
    <row r="731">
      <c r="C731" s="100"/>
      <c r="D731" s="100"/>
      <c r="G731" s="50"/>
      <c r="H731" s="100"/>
      <c r="I731" s="100"/>
      <c r="J731" s="100"/>
      <c r="S731" s="14"/>
      <c r="T731" s="14"/>
      <c r="U731" s="14"/>
      <c r="V731" s="14"/>
      <c r="W731" s="14"/>
      <c r="X731" s="14"/>
      <c r="Y731" s="14"/>
      <c r="Z731" s="14"/>
      <c r="AA731" s="14"/>
      <c r="AB731" s="14"/>
    </row>
    <row r="732">
      <c r="C732" s="100"/>
      <c r="D732" s="100"/>
      <c r="G732" s="50"/>
      <c r="H732" s="100"/>
      <c r="I732" s="100"/>
      <c r="J732" s="100"/>
      <c r="S732" s="14"/>
      <c r="T732" s="14"/>
      <c r="U732" s="14"/>
      <c r="V732" s="14"/>
      <c r="W732" s="14"/>
      <c r="X732" s="14"/>
      <c r="Y732" s="14"/>
      <c r="Z732" s="14"/>
      <c r="AA732" s="14"/>
      <c r="AB732" s="14"/>
    </row>
    <row r="733">
      <c r="C733" s="100"/>
      <c r="D733" s="100"/>
      <c r="G733" s="50"/>
      <c r="H733" s="100"/>
      <c r="I733" s="100"/>
      <c r="J733" s="100"/>
      <c r="S733" s="14"/>
      <c r="T733" s="14"/>
      <c r="U733" s="14"/>
      <c r="V733" s="14"/>
      <c r="W733" s="14"/>
      <c r="X733" s="14"/>
      <c r="Y733" s="14"/>
      <c r="Z733" s="14"/>
      <c r="AA733" s="14"/>
      <c r="AB733" s="14"/>
    </row>
    <row r="734">
      <c r="C734" s="100"/>
      <c r="D734" s="100"/>
      <c r="G734" s="50"/>
      <c r="H734" s="100"/>
      <c r="I734" s="100"/>
      <c r="J734" s="100"/>
      <c r="S734" s="14"/>
      <c r="T734" s="14"/>
      <c r="U734" s="14"/>
      <c r="V734" s="14"/>
      <c r="W734" s="14"/>
      <c r="X734" s="14"/>
      <c r="Y734" s="14"/>
      <c r="Z734" s="14"/>
      <c r="AA734" s="14"/>
      <c r="AB734" s="14"/>
    </row>
    <row r="735">
      <c r="C735" s="100"/>
      <c r="D735" s="100"/>
      <c r="G735" s="50"/>
      <c r="H735" s="100"/>
      <c r="I735" s="100"/>
      <c r="J735" s="100"/>
      <c r="S735" s="14"/>
      <c r="T735" s="14"/>
      <c r="U735" s="14"/>
      <c r="V735" s="14"/>
      <c r="W735" s="14"/>
      <c r="X735" s="14"/>
      <c r="Y735" s="14"/>
      <c r="Z735" s="14"/>
      <c r="AA735" s="14"/>
      <c r="AB735" s="14"/>
    </row>
    <row r="736">
      <c r="C736" s="100"/>
      <c r="D736" s="100"/>
      <c r="G736" s="50"/>
      <c r="H736" s="100"/>
      <c r="I736" s="100"/>
      <c r="J736" s="100"/>
      <c r="S736" s="14"/>
      <c r="T736" s="14"/>
      <c r="U736" s="14"/>
      <c r="V736" s="14"/>
      <c r="W736" s="14"/>
      <c r="X736" s="14"/>
      <c r="Y736" s="14"/>
      <c r="Z736" s="14"/>
      <c r="AA736" s="14"/>
      <c r="AB736" s="14"/>
    </row>
    <row r="737">
      <c r="C737" s="100"/>
      <c r="D737" s="100"/>
      <c r="G737" s="50"/>
      <c r="H737" s="100"/>
      <c r="I737" s="100"/>
      <c r="J737" s="100"/>
      <c r="S737" s="14"/>
      <c r="T737" s="14"/>
      <c r="U737" s="14"/>
      <c r="V737" s="14"/>
      <c r="W737" s="14"/>
      <c r="X737" s="14"/>
      <c r="Y737" s="14"/>
      <c r="Z737" s="14"/>
      <c r="AA737" s="14"/>
      <c r="AB737" s="14"/>
    </row>
    <row r="738">
      <c r="C738" s="100"/>
      <c r="D738" s="100"/>
      <c r="G738" s="50"/>
      <c r="H738" s="100"/>
      <c r="I738" s="100"/>
      <c r="J738" s="100"/>
      <c r="S738" s="14"/>
      <c r="T738" s="14"/>
      <c r="U738" s="14"/>
      <c r="V738" s="14"/>
      <c r="W738" s="14"/>
      <c r="X738" s="14"/>
      <c r="Y738" s="14"/>
      <c r="Z738" s="14"/>
      <c r="AA738" s="14"/>
      <c r="AB738" s="14"/>
    </row>
    <row r="739">
      <c r="C739" s="100"/>
      <c r="D739" s="100"/>
      <c r="G739" s="50"/>
      <c r="H739" s="100"/>
      <c r="I739" s="100"/>
      <c r="J739" s="100"/>
      <c r="S739" s="14"/>
      <c r="T739" s="14"/>
      <c r="U739" s="14"/>
      <c r="V739" s="14"/>
      <c r="W739" s="14"/>
      <c r="X739" s="14"/>
      <c r="Y739" s="14"/>
      <c r="Z739" s="14"/>
      <c r="AA739" s="14"/>
      <c r="AB739" s="14"/>
    </row>
    <row r="740">
      <c r="C740" s="100"/>
      <c r="D740" s="100"/>
      <c r="G740" s="50"/>
      <c r="H740" s="100"/>
      <c r="I740" s="100"/>
      <c r="J740" s="100"/>
      <c r="S740" s="14"/>
      <c r="T740" s="14"/>
      <c r="U740" s="14"/>
      <c r="V740" s="14"/>
      <c r="W740" s="14"/>
      <c r="X740" s="14"/>
      <c r="Y740" s="14"/>
      <c r="Z740" s="14"/>
      <c r="AA740" s="14"/>
      <c r="AB740" s="14"/>
    </row>
    <row r="741">
      <c r="C741" s="100"/>
      <c r="D741" s="100"/>
      <c r="G741" s="50"/>
      <c r="H741" s="100"/>
      <c r="I741" s="100"/>
      <c r="J741" s="100"/>
      <c r="S741" s="14"/>
      <c r="T741" s="14"/>
      <c r="U741" s="14"/>
      <c r="V741" s="14"/>
      <c r="W741" s="14"/>
      <c r="X741" s="14"/>
      <c r="Y741" s="14"/>
      <c r="Z741" s="14"/>
      <c r="AA741" s="14"/>
      <c r="AB741" s="14"/>
    </row>
    <row r="742">
      <c r="C742" s="100"/>
      <c r="D742" s="100"/>
      <c r="G742" s="50"/>
      <c r="H742" s="100"/>
      <c r="I742" s="100"/>
      <c r="J742" s="100"/>
      <c r="S742" s="14"/>
      <c r="T742" s="14"/>
      <c r="U742" s="14"/>
      <c r="V742" s="14"/>
      <c r="W742" s="14"/>
      <c r="X742" s="14"/>
      <c r="Y742" s="14"/>
      <c r="Z742" s="14"/>
      <c r="AA742" s="14"/>
      <c r="AB742" s="14"/>
    </row>
    <row r="743">
      <c r="C743" s="100"/>
      <c r="D743" s="100"/>
      <c r="G743" s="50"/>
      <c r="H743" s="100"/>
      <c r="I743" s="100"/>
      <c r="J743" s="100"/>
      <c r="S743" s="14"/>
      <c r="T743" s="14"/>
      <c r="U743" s="14"/>
      <c r="V743" s="14"/>
      <c r="W743" s="14"/>
      <c r="X743" s="14"/>
      <c r="Y743" s="14"/>
      <c r="Z743" s="14"/>
      <c r="AA743" s="14"/>
      <c r="AB743" s="14"/>
    </row>
    <row r="744">
      <c r="C744" s="100"/>
      <c r="D744" s="100"/>
      <c r="G744" s="50"/>
      <c r="H744" s="100"/>
      <c r="I744" s="100"/>
      <c r="J744" s="100"/>
      <c r="S744" s="14"/>
      <c r="T744" s="14"/>
      <c r="U744" s="14"/>
      <c r="V744" s="14"/>
      <c r="W744" s="14"/>
      <c r="X744" s="14"/>
      <c r="Y744" s="14"/>
      <c r="Z744" s="14"/>
      <c r="AA744" s="14"/>
      <c r="AB744" s="14"/>
    </row>
    <row r="745">
      <c r="C745" s="100"/>
      <c r="D745" s="100"/>
      <c r="G745" s="50"/>
      <c r="H745" s="100"/>
      <c r="I745" s="100"/>
      <c r="J745" s="100"/>
      <c r="S745" s="14"/>
      <c r="T745" s="14"/>
      <c r="U745" s="14"/>
      <c r="V745" s="14"/>
      <c r="W745" s="14"/>
      <c r="X745" s="14"/>
      <c r="Y745" s="14"/>
      <c r="Z745" s="14"/>
      <c r="AA745" s="14"/>
      <c r="AB745" s="14"/>
    </row>
    <row r="746">
      <c r="C746" s="100"/>
      <c r="D746" s="100"/>
      <c r="G746" s="50"/>
      <c r="H746" s="100"/>
      <c r="I746" s="100"/>
      <c r="J746" s="100"/>
      <c r="S746" s="14"/>
      <c r="T746" s="14"/>
      <c r="U746" s="14"/>
      <c r="V746" s="14"/>
      <c r="W746" s="14"/>
      <c r="X746" s="14"/>
      <c r="Y746" s="14"/>
      <c r="Z746" s="14"/>
      <c r="AA746" s="14"/>
      <c r="AB746" s="14"/>
    </row>
    <row r="747">
      <c r="C747" s="100"/>
      <c r="D747" s="100"/>
      <c r="G747" s="50"/>
      <c r="H747" s="100"/>
      <c r="I747" s="100"/>
      <c r="J747" s="100"/>
      <c r="S747" s="14"/>
      <c r="T747" s="14"/>
      <c r="U747" s="14"/>
      <c r="V747" s="14"/>
      <c r="W747" s="14"/>
      <c r="X747" s="14"/>
      <c r="Y747" s="14"/>
      <c r="Z747" s="14"/>
      <c r="AA747" s="14"/>
      <c r="AB747" s="14"/>
    </row>
    <row r="748">
      <c r="C748" s="100"/>
      <c r="D748" s="100"/>
      <c r="G748" s="50"/>
      <c r="H748" s="100"/>
      <c r="I748" s="100"/>
      <c r="J748" s="100"/>
      <c r="S748" s="14"/>
      <c r="T748" s="14"/>
      <c r="U748" s="14"/>
      <c r="V748" s="14"/>
      <c r="W748" s="14"/>
      <c r="X748" s="14"/>
      <c r="Y748" s="14"/>
      <c r="Z748" s="14"/>
      <c r="AA748" s="14"/>
      <c r="AB748" s="14"/>
    </row>
    <row r="749">
      <c r="C749" s="100"/>
      <c r="D749" s="100"/>
      <c r="G749" s="50"/>
      <c r="H749" s="100"/>
      <c r="I749" s="100"/>
      <c r="J749" s="100"/>
      <c r="S749" s="14"/>
      <c r="T749" s="14"/>
      <c r="U749" s="14"/>
      <c r="V749" s="14"/>
      <c r="W749" s="14"/>
      <c r="X749" s="14"/>
      <c r="Y749" s="14"/>
      <c r="Z749" s="14"/>
      <c r="AA749" s="14"/>
      <c r="AB749" s="14"/>
    </row>
    <row r="750">
      <c r="C750" s="100"/>
      <c r="D750" s="100"/>
      <c r="G750" s="50"/>
      <c r="H750" s="100"/>
      <c r="I750" s="100"/>
      <c r="J750" s="100"/>
      <c r="S750" s="14"/>
      <c r="T750" s="14"/>
      <c r="U750" s="14"/>
      <c r="V750" s="14"/>
      <c r="W750" s="14"/>
      <c r="X750" s="14"/>
      <c r="Y750" s="14"/>
      <c r="Z750" s="14"/>
      <c r="AA750" s="14"/>
      <c r="AB750" s="14"/>
    </row>
    <row r="751">
      <c r="C751" s="100"/>
      <c r="D751" s="100"/>
      <c r="G751" s="50"/>
      <c r="H751" s="100"/>
      <c r="I751" s="100"/>
      <c r="J751" s="100"/>
      <c r="S751" s="14"/>
      <c r="T751" s="14"/>
      <c r="U751" s="14"/>
      <c r="V751" s="14"/>
      <c r="W751" s="14"/>
      <c r="X751" s="14"/>
      <c r="Y751" s="14"/>
      <c r="Z751" s="14"/>
      <c r="AA751" s="14"/>
      <c r="AB751" s="14"/>
    </row>
    <row r="752">
      <c r="C752" s="100"/>
      <c r="D752" s="100"/>
      <c r="G752" s="50"/>
      <c r="H752" s="100"/>
      <c r="I752" s="100"/>
      <c r="J752" s="100"/>
      <c r="S752" s="14"/>
      <c r="T752" s="14"/>
      <c r="U752" s="14"/>
      <c r="V752" s="14"/>
      <c r="W752" s="14"/>
      <c r="X752" s="14"/>
      <c r="Y752" s="14"/>
      <c r="Z752" s="14"/>
      <c r="AA752" s="14"/>
      <c r="AB752" s="14"/>
    </row>
    <row r="753">
      <c r="C753" s="100"/>
      <c r="D753" s="100"/>
      <c r="G753" s="50"/>
      <c r="H753" s="100"/>
      <c r="I753" s="100"/>
      <c r="J753" s="100"/>
      <c r="S753" s="14"/>
      <c r="T753" s="14"/>
      <c r="U753" s="14"/>
      <c r="V753" s="14"/>
      <c r="W753" s="14"/>
      <c r="X753" s="14"/>
      <c r="Y753" s="14"/>
      <c r="Z753" s="14"/>
      <c r="AA753" s="14"/>
      <c r="AB753" s="14"/>
    </row>
    <row r="754">
      <c r="C754" s="100"/>
      <c r="D754" s="100"/>
      <c r="G754" s="50"/>
      <c r="H754" s="100"/>
      <c r="I754" s="100"/>
      <c r="J754" s="100"/>
      <c r="S754" s="14"/>
      <c r="T754" s="14"/>
      <c r="U754" s="14"/>
      <c r="V754" s="14"/>
      <c r="W754" s="14"/>
      <c r="X754" s="14"/>
      <c r="Y754" s="14"/>
      <c r="Z754" s="14"/>
      <c r="AA754" s="14"/>
      <c r="AB754" s="14"/>
    </row>
    <row r="755">
      <c r="C755" s="100"/>
      <c r="D755" s="100"/>
      <c r="G755" s="50"/>
      <c r="H755" s="100"/>
      <c r="I755" s="100"/>
      <c r="J755" s="100"/>
      <c r="S755" s="14"/>
      <c r="T755" s="14"/>
      <c r="U755" s="14"/>
      <c r="V755" s="14"/>
      <c r="W755" s="14"/>
      <c r="X755" s="14"/>
      <c r="Y755" s="14"/>
      <c r="Z755" s="14"/>
      <c r="AA755" s="14"/>
      <c r="AB755" s="14"/>
    </row>
    <row r="756">
      <c r="C756" s="100"/>
      <c r="D756" s="100"/>
      <c r="G756" s="50"/>
      <c r="H756" s="100"/>
      <c r="I756" s="100"/>
      <c r="J756" s="100"/>
      <c r="S756" s="14"/>
      <c r="T756" s="14"/>
      <c r="U756" s="14"/>
      <c r="V756" s="14"/>
      <c r="W756" s="14"/>
      <c r="X756" s="14"/>
      <c r="Y756" s="14"/>
      <c r="Z756" s="14"/>
      <c r="AA756" s="14"/>
      <c r="AB756" s="14"/>
    </row>
    <row r="757">
      <c r="C757" s="100"/>
      <c r="D757" s="100"/>
      <c r="G757" s="50"/>
      <c r="H757" s="100"/>
      <c r="I757" s="100"/>
      <c r="J757" s="100"/>
      <c r="S757" s="14"/>
      <c r="T757" s="14"/>
      <c r="U757" s="14"/>
      <c r="V757" s="14"/>
      <c r="W757" s="14"/>
      <c r="X757" s="14"/>
      <c r="Y757" s="14"/>
      <c r="Z757" s="14"/>
      <c r="AA757" s="14"/>
      <c r="AB757" s="14"/>
    </row>
    <row r="758">
      <c r="C758" s="100"/>
      <c r="D758" s="100"/>
      <c r="G758" s="50"/>
      <c r="H758" s="100"/>
      <c r="I758" s="100"/>
      <c r="J758" s="100"/>
      <c r="S758" s="14"/>
      <c r="T758" s="14"/>
      <c r="U758" s="14"/>
      <c r="V758" s="14"/>
      <c r="W758" s="14"/>
      <c r="X758" s="14"/>
      <c r="Y758" s="14"/>
      <c r="Z758" s="14"/>
      <c r="AA758" s="14"/>
      <c r="AB758" s="14"/>
    </row>
    <row r="759">
      <c r="C759" s="100"/>
      <c r="D759" s="100"/>
      <c r="G759" s="50"/>
      <c r="H759" s="100"/>
      <c r="I759" s="100"/>
      <c r="J759" s="100"/>
      <c r="S759" s="14"/>
      <c r="T759" s="14"/>
      <c r="U759" s="14"/>
      <c r="V759" s="14"/>
      <c r="W759" s="14"/>
      <c r="X759" s="14"/>
      <c r="Y759" s="14"/>
      <c r="Z759" s="14"/>
      <c r="AA759" s="14"/>
      <c r="AB759" s="14"/>
    </row>
    <row r="760">
      <c r="C760" s="100"/>
      <c r="D760" s="100"/>
      <c r="G760" s="50"/>
      <c r="H760" s="100"/>
      <c r="I760" s="100"/>
      <c r="J760" s="100"/>
      <c r="S760" s="14"/>
      <c r="T760" s="14"/>
      <c r="U760" s="14"/>
      <c r="V760" s="14"/>
      <c r="W760" s="14"/>
      <c r="X760" s="14"/>
      <c r="Y760" s="14"/>
      <c r="Z760" s="14"/>
      <c r="AA760" s="14"/>
      <c r="AB760" s="14"/>
    </row>
    <row r="761">
      <c r="C761" s="100"/>
      <c r="D761" s="100"/>
      <c r="G761" s="50"/>
      <c r="H761" s="100"/>
      <c r="I761" s="100"/>
      <c r="J761" s="100"/>
      <c r="S761" s="14"/>
      <c r="T761" s="14"/>
      <c r="U761" s="14"/>
      <c r="V761" s="14"/>
      <c r="W761" s="14"/>
      <c r="X761" s="14"/>
      <c r="Y761" s="14"/>
      <c r="Z761" s="14"/>
      <c r="AA761" s="14"/>
      <c r="AB761" s="14"/>
    </row>
    <row r="762">
      <c r="C762" s="100"/>
      <c r="D762" s="100"/>
      <c r="G762" s="50"/>
      <c r="H762" s="100"/>
      <c r="I762" s="100"/>
      <c r="J762" s="100"/>
      <c r="S762" s="14"/>
      <c r="T762" s="14"/>
      <c r="U762" s="14"/>
      <c r="V762" s="14"/>
      <c r="W762" s="14"/>
      <c r="X762" s="14"/>
      <c r="Y762" s="14"/>
      <c r="Z762" s="14"/>
      <c r="AA762" s="14"/>
      <c r="AB762" s="14"/>
    </row>
    <row r="763">
      <c r="C763" s="100"/>
      <c r="D763" s="100"/>
      <c r="G763" s="50"/>
      <c r="H763" s="100"/>
      <c r="I763" s="100"/>
      <c r="J763" s="100"/>
      <c r="S763" s="14"/>
      <c r="T763" s="14"/>
      <c r="U763" s="14"/>
      <c r="V763" s="14"/>
      <c r="W763" s="14"/>
      <c r="X763" s="14"/>
      <c r="Y763" s="14"/>
      <c r="Z763" s="14"/>
      <c r="AA763" s="14"/>
      <c r="AB763" s="14"/>
    </row>
    <row r="764">
      <c r="C764" s="100"/>
      <c r="D764" s="100"/>
      <c r="G764" s="50"/>
      <c r="H764" s="100"/>
      <c r="I764" s="100"/>
      <c r="J764" s="100"/>
      <c r="S764" s="14"/>
      <c r="T764" s="14"/>
      <c r="U764" s="14"/>
      <c r="V764" s="14"/>
      <c r="W764" s="14"/>
      <c r="X764" s="14"/>
      <c r="Y764" s="14"/>
      <c r="Z764" s="14"/>
      <c r="AA764" s="14"/>
      <c r="AB764" s="14"/>
    </row>
    <row r="765">
      <c r="C765" s="100"/>
      <c r="D765" s="100"/>
      <c r="G765" s="50"/>
      <c r="H765" s="100"/>
      <c r="I765" s="100"/>
      <c r="J765" s="100"/>
      <c r="S765" s="14"/>
      <c r="T765" s="14"/>
      <c r="U765" s="14"/>
      <c r="V765" s="14"/>
      <c r="W765" s="14"/>
      <c r="X765" s="14"/>
      <c r="Y765" s="14"/>
      <c r="Z765" s="14"/>
      <c r="AA765" s="14"/>
      <c r="AB765" s="14"/>
    </row>
    <row r="766">
      <c r="C766" s="100"/>
      <c r="D766" s="100"/>
      <c r="G766" s="50"/>
      <c r="H766" s="100"/>
      <c r="I766" s="100"/>
      <c r="J766" s="100"/>
      <c r="S766" s="14"/>
      <c r="T766" s="14"/>
      <c r="U766" s="14"/>
      <c r="V766" s="14"/>
      <c r="W766" s="14"/>
      <c r="X766" s="14"/>
      <c r="Y766" s="14"/>
      <c r="Z766" s="14"/>
      <c r="AA766" s="14"/>
      <c r="AB766" s="14"/>
    </row>
    <row r="767">
      <c r="C767" s="100"/>
      <c r="D767" s="100"/>
      <c r="G767" s="50"/>
      <c r="H767" s="100"/>
      <c r="I767" s="100"/>
      <c r="J767" s="100"/>
      <c r="S767" s="14"/>
      <c r="T767" s="14"/>
      <c r="U767" s="14"/>
      <c r="V767" s="14"/>
      <c r="W767" s="14"/>
      <c r="X767" s="14"/>
      <c r="Y767" s="14"/>
      <c r="Z767" s="14"/>
      <c r="AA767" s="14"/>
      <c r="AB767" s="14"/>
    </row>
    <row r="768">
      <c r="C768" s="100"/>
      <c r="D768" s="100"/>
      <c r="G768" s="50"/>
      <c r="H768" s="100"/>
      <c r="I768" s="100"/>
      <c r="J768" s="100"/>
      <c r="S768" s="14"/>
      <c r="T768" s="14"/>
      <c r="U768" s="14"/>
      <c r="V768" s="14"/>
      <c r="W768" s="14"/>
      <c r="X768" s="14"/>
      <c r="Y768" s="14"/>
      <c r="Z768" s="14"/>
      <c r="AA768" s="14"/>
      <c r="AB768" s="14"/>
    </row>
    <row r="769">
      <c r="C769" s="100"/>
      <c r="D769" s="100"/>
      <c r="G769" s="50"/>
      <c r="H769" s="100"/>
      <c r="I769" s="100"/>
      <c r="J769" s="100"/>
      <c r="S769" s="14"/>
      <c r="T769" s="14"/>
      <c r="U769" s="14"/>
      <c r="V769" s="14"/>
      <c r="W769" s="14"/>
      <c r="X769" s="14"/>
      <c r="Y769" s="14"/>
      <c r="Z769" s="14"/>
      <c r="AA769" s="14"/>
      <c r="AB769" s="14"/>
    </row>
    <row r="770">
      <c r="C770" s="100"/>
      <c r="D770" s="100"/>
      <c r="G770" s="50"/>
      <c r="H770" s="100"/>
      <c r="I770" s="100"/>
      <c r="J770" s="100"/>
      <c r="S770" s="14"/>
      <c r="T770" s="14"/>
      <c r="U770" s="14"/>
      <c r="V770" s="14"/>
      <c r="W770" s="14"/>
      <c r="X770" s="14"/>
      <c r="Y770" s="14"/>
      <c r="Z770" s="14"/>
      <c r="AA770" s="14"/>
      <c r="AB770" s="14"/>
    </row>
    <row r="771">
      <c r="C771" s="100"/>
      <c r="D771" s="100"/>
      <c r="G771" s="50"/>
      <c r="H771" s="100"/>
      <c r="I771" s="100"/>
      <c r="J771" s="100"/>
      <c r="S771" s="14"/>
      <c r="T771" s="14"/>
      <c r="U771" s="14"/>
      <c r="V771" s="14"/>
      <c r="W771" s="14"/>
      <c r="X771" s="14"/>
      <c r="Y771" s="14"/>
      <c r="Z771" s="14"/>
      <c r="AA771" s="14"/>
      <c r="AB771" s="14"/>
    </row>
    <row r="772">
      <c r="C772" s="100"/>
      <c r="D772" s="100"/>
      <c r="G772" s="50"/>
      <c r="H772" s="100"/>
      <c r="I772" s="100"/>
      <c r="J772" s="100"/>
      <c r="S772" s="14"/>
      <c r="T772" s="14"/>
      <c r="U772" s="14"/>
      <c r="V772" s="14"/>
      <c r="W772" s="14"/>
      <c r="X772" s="14"/>
      <c r="Y772" s="14"/>
      <c r="Z772" s="14"/>
      <c r="AA772" s="14"/>
      <c r="AB772" s="14"/>
    </row>
    <row r="773">
      <c r="C773" s="100"/>
      <c r="D773" s="100"/>
      <c r="G773" s="50"/>
      <c r="H773" s="100"/>
      <c r="I773" s="100"/>
      <c r="J773" s="100"/>
      <c r="S773" s="14"/>
      <c r="T773" s="14"/>
      <c r="U773" s="14"/>
      <c r="V773" s="14"/>
      <c r="W773" s="14"/>
      <c r="X773" s="14"/>
      <c r="Y773" s="14"/>
      <c r="Z773" s="14"/>
      <c r="AA773" s="14"/>
      <c r="AB773" s="14"/>
    </row>
    <row r="774">
      <c r="C774" s="100"/>
      <c r="D774" s="100"/>
      <c r="G774" s="50"/>
      <c r="H774" s="100"/>
      <c r="I774" s="100"/>
      <c r="J774" s="100"/>
      <c r="S774" s="14"/>
      <c r="T774" s="14"/>
      <c r="U774" s="14"/>
      <c r="V774" s="14"/>
      <c r="W774" s="14"/>
      <c r="X774" s="14"/>
      <c r="Y774" s="14"/>
      <c r="Z774" s="14"/>
      <c r="AA774" s="14"/>
      <c r="AB774" s="14"/>
    </row>
    <row r="775">
      <c r="C775" s="100"/>
      <c r="D775" s="100"/>
      <c r="G775" s="50"/>
      <c r="H775" s="100"/>
      <c r="I775" s="100"/>
      <c r="J775" s="100"/>
      <c r="S775" s="14"/>
      <c r="T775" s="14"/>
      <c r="U775" s="14"/>
      <c r="V775" s="14"/>
      <c r="W775" s="14"/>
      <c r="X775" s="14"/>
      <c r="Y775" s="14"/>
      <c r="Z775" s="14"/>
      <c r="AA775" s="14"/>
      <c r="AB775" s="14"/>
    </row>
    <row r="776">
      <c r="C776" s="100"/>
      <c r="D776" s="100"/>
      <c r="G776" s="50"/>
      <c r="H776" s="100"/>
      <c r="I776" s="100"/>
      <c r="J776" s="100"/>
      <c r="S776" s="14"/>
      <c r="T776" s="14"/>
      <c r="U776" s="14"/>
      <c r="V776" s="14"/>
      <c r="W776" s="14"/>
      <c r="X776" s="14"/>
      <c r="Y776" s="14"/>
      <c r="Z776" s="14"/>
      <c r="AA776" s="14"/>
      <c r="AB776" s="14"/>
    </row>
    <row r="777">
      <c r="C777" s="100"/>
      <c r="D777" s="100"/>
      <c r="G777" s="50"/>
      <c r="H777" s="100"/>
      <c r="I777" s="100"/>
      <c r="J777" s="100"/>
      <c r="S777" s="14"/>
      <c r="T777" s="14"/>
      <c r="U777" s="14"/>
      <c r="V777" s="14"/>
      <c r="W777" s="14"/>
      <c r="X777" s="14"/>
      <c r="Y777" s="14"/>
      <c r="Z777" s="14"/>
      <c r="AA777" s="14"/>
      <c r="AB777" s="14"/>
    </row>
    <row r="778">
      <c r="C778" s="100"/>
      <c r="D778" s="100"/>
      <c r="G778" s="50"/>
      <c r="H778" s="100"/>
      <c r="I778" s="100"/>
      <c r="J778" s="100"/>
      <c r="S778" s="14"/>
      <c r="T778" s="14"/>
      <c r="U778" s="14"/>
      <c r="V778" s="14"/>
      <c r="W778" s="14"/>
      <c r="X778" s="14"/>
      <c r="Y778" s="14"/>
      <c r="Z778" s="14"/>
      <c r="AA778" s="14"/>
      <c r="AB778" s="14"/>
    </row>
    <row r="779">
      <c r="C779" s="100"/>
      <c r="D779" s="100"/>
      <c r="G779" s="50"/>
      <c r="H779" s="100"/>
      <c r="I779" s="100"/>
      <c r="J779" s="100"/>
      <c r="S779" s="14"/>
      <c r="T779" s="14"/>
      <c r="U779" s="14"/>
      <c r="V779" s="14"/>
      <c r="W779" s="14"/>
      <c r="X779" s="14"/>
      <c r="Y779" s="14"/>
      <c r="Z779" s="14"/>
      <c r="AA779" s="14"/>
      <c r="AB779" s="14"/>
    </row>
    <row r="780">
      <c r="C780" s="100"/>
      <c r="D780" s="100"/>
      <c r="G780" s="50"/>
      <c r="H780" s="100"/>
      <c r="I780" s="100"/>
      <c r="J780" s="100"/>
      <c r="S780" s="14"/>
      <c r="T780" s="14"/>
      <c r="U780" s="14"/>
      <c r="V780" s="14"/>
      <c r="W780" s="14"/>
      <c r="X780" s="14"/>
      <c r="Y780" s="14"/>
      <c r="Z780" s="14"/>
      <c r="AA780" s="14"/>
      <c r="AB780" s="14"/>
    </row>
    <row r="781">
      <c r="C781" s="100"/>
      <c r="D781" s="100"/>
      <c r="G781" s="50"/>
      <c r="H781" s="100"/>
      <c r="I781" s="100"/>
      <c r="J781" s="100"/>
      <c r="S781" s="14"/>
      <c r="T781" s="14"/>
      <c r="U781" s="14"/>
      <c r="V781" s="14"/>
      <c r="W781" s="14"/>
      <c r="X781" s="14"/>
      <c r="Y781" s="14"/>
      <c r="Z781" s="14"/>
      <c r="AA781" s="14"/>
      <c r="AB781" s="14"/>
    </row>
    <row r="782">
      <c r="C782" s="100"/>
      <c r="D782" s="100"/>
      <c r="G782" s="50"/>
      <c r="H782" s="100"/>
      <c r="I782" s="100"/>
      <c r="J782" s="100"/>
      <c r="S782" s="14"/>
      <c r="T782" s="14"/>
      <c r="U782" s="14"/>
      <c r="V782" s="14"/>
      <c r="W782" s="14"/>
      <c r="X782" s="14"/>
      <c r="Y782" s="14"/>
      <c r="Z782" s="14"/>
      <c r="AA782" s="14"/>
      <c r="AB782" s="14"/>
    </row>
    <row r="783">
      <c r="C783" s="100"/>
      <c r="D783" s="100"/>
      <c r="G783" s="50"/>
      <c r="H783" s="100"/>
      <c r="I783" s="100"/>
      <c r="J783" s="100"/>
      <c r="S783" s="14"/>
      <c r="T783" s="14"/>
      <c r="U783" s="14"/>
      <c r="V783" s="14"/>
      <c r="W783" s="14"/>
      <c r="X783" s="14"/>
      <c r="Y783" s="14"/>
      <c r="Z783" s="14"/>
      <c r="AA783" s="14"/>
      <c r="AB783" s="14"/>
    </row>
    <row r="784">
      <c r="C784" s="100"/>
      <c r="D784" s="100"/>
      <c r="G784" s="50"/>
      <c r="H784" s="100"/>
      <c r="I784" s="100"/>
      <c r="J784" s="100"/>
      <c r="S784" s="14"/>
      <c r="T784" s="14"/>
      <c r="U784" s="14"/>
      <c r="V784" s="14"/>
      <c r="W784" s="14"/>
      <c r="X784" s="14"/>
      <c r="Y784" s="14"/>
      <c r="Z784" s="14"/>
      <c r="AA784" s="14"/>
      <c r="AB784" s="14"/>
    </row>
    <row r="785">
      <c r="C785" s="100"/>
      <c r="D785" s="100"/>
      <c r="G785" s="50"/>
      <c r="H785" s="100"/>
      <c r="I785" s="100"/>
      <c r="J785" s="100"/>
      <c r="S785" s="14"/>
      <c r="T785" s="14"/>
      <c r="U785" s="14"/>
      <c r="V785" s="14"/>
      <c r="W785" s="14"/>
      <c r="X785" s="14"/>
      <c r="Y785" s="14"/>
      <c r="Z785" s="14"/>
      <c r="AA785" s="14"/>
      <c r="AB785" s="14"/>
    </row>
    <row r="786">
      <c r="C786" s="100"/>
      <c r="D786" s="100"/>
      <c r="G786" s="50"/>
      <c r="H786" s="100"/>
      <c r="I786" s="100"/>
      <c r="J786" s="100"/>
      <c r="S786" s="14"/>
      <c r="T786" s="14"/>
      <c r="U786" s="14"/>
      <c r="V786" s="14"/>
      <c r="W786" s="14"/>
      <c r="X786" s="14"/>
      <c r="Y786" s="14"/>
      <c r="Z786" s="14"/>
      <c r="AA786" s="14"/>
      <c r="AB786" s="14"/>
    </row>
    <row r="787">
      <c r="C787" s="100"/>
      <c r="D787" s="100"/>
      <c r="G787" s="50"/>
      <c r="H787" s="100"/>
      <c r="I787" s="100"/>
      <c r="J787" s="100"/>
      <c r="S787" s="14"/>
      <c r="T787" s="14"/>
      <c r="U787" s="14"/>
      <c r="V787" s="14"/>
      <c r="W787" s="14"/>
      <c r="X787" s="14"/>
      <c r="Y787" s="14"/>
      <c r="Z787" s="14"/>
      <c r="AA787" s="14"/>
      <c r="AB787" s="14"/>
    </row>
    <row r="788">
      <c r="C788" s="100"/>
      <c r="D788" s="100"/>
      <c r="G788" s="50"/>
      <c r="H788" s="100"/>
      <c r="I788" s="100"/>
      <c r="J788" s="100"/>
      <c r="S788" s="14"/>
      <c r="T788" s="14"/>
      <c r="U788" s="14"/>
      <c r="V788" s="14"/>
      <c r="W788" s="14"/>
      <c r="X788" s="14"/>
      <c r="Y788" s="14"/>
      <c r="Z788" s="14"/>
      <c r="AA788" s="14"/>
      <c r="AB788" s="14"/>
    </row>
    <row r="789">
      <c r="C789" s="100"/>
      <c r="D789" s="100"/>
      <c r="G789" s="50"/>
      <c r="H789" s="100"/>
      <c r="I789" s="100"/>
      <c r="J789" s="100"/>
      <c r="S789" s="14"/>
      <c r="T789" s="14"/>
      <c r="U789" s="14"/>
      <c r="V789" s="14"/>
      <c r="W789" s="14"/>
      <c r="X789" s="14"/>
      <c r="Y789" s="14"/>
      <c r="Z789" s="14"/>
      <c r="AA789" s="14"/>
      <c r="AB789" s="14"/>
    </row>
    <row r="790">
      <c r="C790" s="100"/>
      <c r="D790" s="100"/>
      <c r="G790" s="50"/>
      <c r="H790" s="100"/>
      <c r="I790" s="100"/>
      <c r="J790" s="100"/>
      <c r="S790" s="14"/>
      <c r="T790" s="14"/>
      <c r="U790" s="14"/>
      <c r="V790" s="14"/>
      <c r="W790" s="14"/>
      <c r="X790" s="14"/>
      <c r="Y790" s="14"/>
      <c r="Z790" s="14"/>
      <c r="AA790" s="14"/>
      <c r="AB790" s="14"/>
    </row>
    <row r="791">
      <c r="C791" s="100"/>
      <c r="D791" s="100"/>
      <c r="G791" s="50"/>
      <c r="H791" s="100"/>
      <c r="I791" s="100"/>
      <c r="J791" s="100"/>
      <c r="S791" s="14"/>
      <c r="T791" s="14"/>
      <c r="U791" s="14"/>
      <c r="V791" s="14"/>
      <c r="W791" s="14"/>
      <c r="X791" s="14"/>
      <c r="Y791" s="14"/>
      <c r="Z791" s="14"/>
      <c r="AA791" s="14"/>
      <c r="AB791" s="14"/>
    </row>
    <row r="792">
      <c r="C792" s="100"/>
      <c r="D792" s="100"/>
      <c r="G792" s="50"/>
      <c r="H792" s="100"/>
      <c r="I792" s="100"/>
      <c r="J792" s="100"/>
      <c r="S792" s="14"/>
      <c r="T792" s="14"/>
      <c r="U792" s="14"/>
      <c r="V792" s="14"/>
      <c r="W792" s="14"/>
      <c r="X792" s="14"/>
      <c r="Y792" s="14"/>
      <c r="Z792" s="14"/>
      <c r="AA792" s="14"/>
      <c r="AB792" s="14"/>
    </row>
    <row r="793">
      <c r="C793" s="100"/>
      <c r="D793" s="100"/>
      <c r="G793" s="50"/>
      <c r="H793" s="100"/>
      <c r="I793" s="100"/>
      <c r="J793" s="100"/>
      <c r="S793" s="14"/>
      <c r="T793" s="14"/>
      <c r="U793" s="14"/>
      <c r="V793" s="14"/>
      <c r="W793" s="14"/>
      <c r="X793" s="14"/>
      <c r="Y793" s="14"/>
      <c r="Z793" s="14"/>
      <c r="AA793" s="14"/>
      <c r="AB793" s="14"/>
    </row>
    <row r="794">
      <c r="C794" s="100"/>
      <c r="D794" s="100"/>
      <c r="G794" s="50"/>
      <c r="H794" s="100"/>
      <c r="I794" s="100"/>
      <c r="J794" s="100"/>
      <c r="S794" s="14"/>
      <c r="T794" s="14"/>
      <c r="U794" s="14"/>
      <c r="V794" s="14"/>
      <c r="W794" s="14"/>
      <c r="X794" s="14"/>
      <c r="Y794" s="14"/>
      <c r="Z794" s="14"/>
      <c r="AA794" s="14"/>
      <c r="AB794" s="14"/>
    </row>
    <row r="795">
      <c r="C795" s="100"/>
      <c r="D795" s="100"/>
      <c r="G795" s="50"/>
      <c r="H795" s="100"/>
      <c r="I795" s="100"/>
      <c r="J795" s="100"/>
      <c r="S795" s="14"/>
      <c r="T795" s="14"/>
      <c r="U795" s="14"/>
      <c r="V795" s="14"/>
      <c r="W795" s="14"/>
      <c r="X795" s="14"/>
      <c r="Y795" s="14"/>
      <c r="Z795" s="14"/>
      <c r="AA795" s="14"/>
      <c r="AB795" s="14"/>
    </row>
    <row r="796">
      <c r="C796" s="100"/>
      <c r="D796" s="100"/>
      <c r="G796" s="50"/>
      <c r="H796" s="100"/>
      <c r="I796" s="100"/>
      <c r="J796" s="100"/>
      <c r="S796" s="14"/>
      <c r="T796" s="14"/>
      <c r="U796" s="14"/>
      <c r="V796" s="14"/>
      <c r="W796" s="14"/>
      <c r="X796" s="14"/>
      <c r="Y796" s="14"/>
      <c r="Z796" s="14"/>
      <c r="AA796" s="14"/>
      <c r="AB796" s="14"/>
    </row>
    <row r="797">
      <c r="C797" s="100"/>
      <c r="D797" s="100"/>
      <c r="G797" s="50"/>
      <c r="H797" s="100"/>
      <c r="I797" s="100"/>
      <c r="J797" s="100"/>
      <c r="S797" s="14"/>
      <c r="T797" s="14"/>
      <c r="U797" s="14"/>
      <c r="V797" s="14"/>
      <c r="W797" s="14"/>
      <c r="X797" s="14"/>
      <c r="Y797" s="14"/>
      <c r="Z797" s="14"/>
      <c r="AA797" s="14"/>
      <c r="AB797" s="14"/>
    </row>
    <row r="798">
      <c r="C798" s="100"/>
      <c r="D798" s="100"/>
      <c r="G798" s="50"/>
      <c r="H798" s="100"/>
      <c r="I798" s="100"/>
      <c r="J798" s="100"/>
      <c r="S798" s="14"/>
      <c r="T798" s="14"/>
      <c r="U798" s="14"/>
      <c r="V798" s="14"/>
      <c r="W798" s="14"/>
      <c r="X798" s="14"/>
      <c r="Y798" s="14"/>
      <c r="Z798" s="14"/>
      <c r="AA798" s="14"/>
      <c r="AB798" s="14"/>
    </row>
    <row r="799">
      <c r="C799" s="100"/>
      <c r="D799" s="100"/>
      <c r="G799" s="50"/>
      <c r="H799" s="100"/>
      <c r="I799" s="100"/>
      <c r="J799" s="100"/>
      <c r="S799" s="14"/>
      <c r="T799" s="14"/>
      <c r="U799" s="14"/>
      <c r="V799" s="14"/>
      <c r="W799" s="14"/>
      <c r="X799" s="14"/>
      <c r="Y799" s="14"/>
      <c r="Z799" s="14"/>
      <c r="AA799" s="14"/>
      <c r="AB799" s="14"/>
    </row>
    <row r="800">
      <c r="C800" s="100"/>
      <c r="D800" s="100"/>
      <c r="G800" s="50"/>
      <c r="H800" s="100"/>
      <c r="I800" s="100"/>
      <c r="J800" s="100"/>
      <c r="S800" s="14"/>
      <c r="T800" s="14"/>
      <c r="U800" s="14"/>
      <c r="V800" s="14"/>
      <c r="W800" s="14"/>
      <c r="X800" s="14"/>
      <c r="Y800" s="14"/>
      <c r="Z800" s="14"/>
      <c r="AA800" s="14"/>
      <c r="AB800" s="14"/>
    </row>
    <row r="801">
      <c r="C801" s="100"/>
      <c r="D801" s="100"/>
      <c r="G801" s="50"/>
      <c r="H801" s="100"/>
      <c r="I801" s="100"/>
      <c r="J801" s="100"/>
      <c r="S801" s="14"/>
      <c r="T801" s="14"/>
      <c r="U801" s="14"/>
      <c r="V801" s="14"/>
      <c r="W801" s="14"/>
      <c r="X801" s="14"/>
      <c r="Y801" s="14"/>
      <c r="Z801" s="14"/>
      <c r="AA801" s="14"/>
      <c r="AB801" s="14"/>
    </row>
    <row r="802">
      <c r="C802" s="100"/>
      <c r="D802" s="100"/>
      <c r="G802" s="50"/>
      <c r="H802" s="100"/>
      <c r="I802" s="100"/>
      <c r="J802" s="100"/>
      <c r="S802" s="14"/>
      <c r="T802" s="14"/>
      <c r="U802" s="14"/>
      <c r="V802" s="14"/>
      <c r="W802" s="14"/>
      <c r="X802" s="14"/>
      <c r="Y802" s="14"/>
      <c r="Z802" s="14"/>
      <c r="AA802" s="14"/>
      <c r="AB802" s="14"/>
    </row>
    <row r="803">
      <c r="C803" s="100"/>
      <c r="D803" s="100"/>
      <c r="G803" s="50"/>
      <c r="H803" s="100"/>
      <c r="I803" s="100"/>
      <c r="J803" s="100"/>
      <c r="S803" s="14"/>
      <c r="T803" s="14"/>
      <c r="U803" s="14"/>
      <c r="V803" s="14"/>
      <c r="W803" s="14"/>
      <c r="X803" s="14"/>
      <c r="Y803" s="14"/>
      <c r="Z803" s="14"/>
      <c r="AA803" s="14"/>
      <c r="AB803" s="14"/>
    </row>
    <row r="804">
      <c r="C804" s="100"/>
      <c r="D804" s="100"/>
      <c r="G804" s="50"/>
      <c r="H804" s="100"/>
      <c r="I804" s="100"/>
      <c r="J804" s="100"/>
      <c r="S804" s="14"/>
      <c r="T804" s="14"/>
      <c r="U804" s="14"/>
      <c r="V804" s="14"/>
      <c r="W804" s="14"/>
      <c r="X804" s="14"/>
      <c r="Y804" s="14"/>
      <c r="Z804" s="14"/>
      <c r="AA804" s="14"/>
      <c r="AB804" s="14"/>
    </row>
    <row r="805">
      <c r="C805" s="100"/>
      <c r="D805" s="100"/>
      <c r="G805" s="50"/>
      <c r="H805" s="100"/>
      <c r="I805" s="100"/>
      <c r="J805" s="100"/>
      <c r="S805" s="14"/>
      <c r="T805" s="14"/>
      <c r="U805" s="14"/>
      <c r="V805" s="14"/>
      <c r="W805" s="14"/>
      <c r="X805" s="14"/>
      <c r="Y805" s="14"/>
      <c r="Z805" s="14"/>
      <c r="AA805" s="14"/>
      <c r="AB805" s="14"/>
    </row>
    <row r="806">
      <c r="C806" s="100"/>
      <c r="D806" s="100"/>
      <c r="G806" s="50"/>
      <c r="H806" s="100"/>
      <c r="I806" s="100"/>
      <c r="J806" s="100"/>
      <c r="S806" s="14"/>
      <c r="T806" s="14"/>
      <c r="U806" s="14"/>
      <c r="V806" s="14"/>
      <c r="W806" s="14"/>
      <c r="X806" s="14"/>
      <c r="Y806" s="14"/>
      <c r="Z806" s="14"/>
      <c r="AA806" s="14"/>
      <c r="AB806" s="14"/>
    </row>
    <row r="807">
      <c r="C807" s="100"/>
      <c r="D807" s="100"/>
      <c r="G807" s="50"/>
      <c r="H807" s="100"/>
      <c r="I807" s="100"/>
      <c r="J807" s="100"/>
      <c r="S807" s="14"/>
      <c r="T807" s="14"/>
      <c r="U807" s="14"/>
      <c r="V807" s="14"/>
      <c r="W807" s="14"/>
      <c r="X807" s="14"/>
      <c r="Y807" s="14"/>
      <c r="Z807" s="14"/>
      <c r="AA807" s="14"/>
      <c r="AB807" s="14"/>
    </row>
    <row r="808">
      <c r="C808" s="100"/>
      <c r="D808" s="100"/>
      <c r="G808" s="50"/>
      <c r="H808" s="100"/>
      <c r="I808" s="100"/>
      <c r="J808" s="100"/>
      <c r="S808" s="14"/>
      <c r="T808" s="14"/>
      <c r="U808" s="14"/>
      <c r="V808" s="14"/>
      <c r="W808" s="14"/>
      <c r="X808" s="14"/>
      <c r="Y808" s="14"/>
      <c r="Z808" s="14"/>
      <c r="AA808" s="14"/>
      <c r="AB808" s="14"/>
    </row>
    <row r="809">
      <c r="C809" s="100"/>
      <c r="D809" s="100"/>
      <c r="G809" s="50"/>
      <c r="H809" s="100"/>
      <c r="I809" s="100"/>
      <c r="J809" s="100"/>
      <c r="S809" s="14"/>
      <c r="T809" s="14"/>
      <c r="U809" s="14"/>
      <c r="V809" s="14"/>
      <c r="W809" s="14"/>
      <c r="X809" s="14"/>
      <c r="Y809" s="14"/>
      <c r="Z809" s="14"/>
      <c r="AA809" s="14"/>
      <c r="AB809" s="14"/>
    </row>
    <row r="810">
      <c r="C810" s="100"/>
      <c r="D810" s="100"/>
      <c r="G810" s="50"/>
      <c r="H810" s="100"/>
      <c r="I810" s="100"/>
      <c r="J810" s="100"/>
      <c r="S810" s="14"/>
      <c r="T810" s="14"/>
      <c r="U810" s="14"/>
      <c r="V810" s="14"/>
      <c r="W810" s="14"/>
      <c r="X810" s="14"/>
      <c r="Y810" s="14"/>
      <c r="Z810" s="14"/>
      <c r="AA810" s="14"/>
      <c r="AB810" s="14"/>
    </row>
    <row r="811">
      <c r="C811" s="100"/>
      <c r="D811" s="100"/>
      <c r="G811" s="50"/>
      <c r="H811" s="100"/>
      <c r="I811" s="100"/>
      <c r="J811" s="100"/>
      <c r="S811" s="14"/>
      <c r="T811" s="14"/>
      <c r="U811" s="14"/>
      <c r="V811" s="14"/>
      <c r="W811" s="14"/>
      <c r="X811" s="14"/>
      <c r="Y811" s="14"/>
      <c r="Z811" s="14"/>
      <c r="AA811" s="14"/>
      <c r="AB811" s="14"/>
    </row>
    <row r="812">
      <c r="C812" s="100"/>
      <c r="D812" s="100"/>
      <c r="G812" s="50"/>
      <c r="H812" s="100"/>
      <c r="I812" s="100"/>
      <c r="J812" s="100"/>
      <c r="S812" s="14"/>
      <c r="T812" s="14"/>
      <c r="U812" s="14"/>
      <c r="V812" s="14"/>
      <c r="W812" s="14"/>
      <c r="X812" s="14"/>
      <c r="Y812" s="14"/>
      <c r="Z812" s="14"/>
      <c r="AA812" s="14"/>
      <c r="AB812" s="14"/>
    </row>
    <row r="813">
      <c r="C813" s="100"/>
      <c r="D813" s="100"/>
      <c r="G813" s="50"/>
      <c r="H813" s="100"/>
      <c r="I813" s="100"/>
      <c r="J813" s="100"/>
      <c r="S813" s="14"/>
      <c r="T813" s="14"/>
      <c r="U813" s="14"/>
      <c r="V813" s="14"/>
      <c r="W813" s="14"/>
      <c r="X813" s="14"/>
      <c r="Y813" s="14"/>
      <c r="Z813" s="14"/>
      <c r="AA813" s="14"/>
      <c r="AB813" s="14"/>
    </row>
    <row r="814">
      <c r="C814" s="100"/>
      <c r="D814" s="100"/>
      <c r="G814" s="50"/>
      <c r="H814" s="100"/>
      <c r="I814" s="100"/>
      <c r="J814" s="100"/>
      <c r="S814" s="14"/>
      <c r="T814" s="14"/>
      <c r="U814" s="14"/>
      <c r="V814" s="14"/>
      <c r="W814" s="14"/>
      <c r="X814" s="14"/>
      <c r="Y814" s="14"/>
      <c r="Z814" s="14"/>
      <c r="AA814" s="14"/>
      <c r="AB814" s="14"/>
    </row>
    <row r="815">
      <c r="C815" s="100"/>
      <c r="D815" s="100"/>
      <c r="G815" s="50"/>
      <c r="H815" s="100"/>
      <c r="I815" s="100"/>
      <c r="J815" s="100"/>
      <c r="S815" s="14"/>
      <c r="T815" s="14"/>
      <c r="U815" s="14"/>
      <c r="V815" s="14"/>
      <c r="W815" s="14"/>
      <c r="X815" s="14"/>
      <c r="Y815" s="14"/>
      <c r="Z815" s="14"/>
      <c r="AA815" s="14"/>
      <c r="AB815" s="14"/>
    </row>
    <row r="816">
      <c r="C816" s="100"/>
      <c r="D816" s="100"/>
      <c r="G816" s="50"/>
      <c r="H816" s="100"/>
      <c r="I816" s="100"/>
      <c r="J816" s="100"/>
      <c r="S816" s="14"/>
      <c r="T816" s="14"/>
      <c r="U816" s="14"/>
      <c r="V816" s="14"/>
      <c r="W816" s="14"/>
      <c r="X816" s="14"/>
      <c r="Y816" s="14"/>
      <c r="Z816" s="14"/>
      <c r="AA816" s="14"/>
      <c r="AB816" s="14"/>
    </row>
    <row r="817">
      <c r="C817" s="100"/>
      <c r="D817" s="100"/>
      <c r="G817" s="50"/>
      <c r="H817" s="100"/>
      <c r="I817" s="100"/>
      <c r="J817" s="100"/>
      <c r="S817" s="14"/>
      <c r="T817" s="14"/>
      <c r="U817" s="14"/>
      <c r="V817" s="14"/>
      <c r="W817" s="14"/>
      <c r="X817" s="14"/>
      <c r="Y817" s="14"/>
      <c r="Z817" s="14"/>
      <c r="AA817" s="14"/>
      <c r="AB817" s="14"/>
    </row>
    <row r="818">
      <c r="C818" s="100"/>
      <c r="D818" s="100"/>
      <c r="G818" s="50"/>
      <c r="H818" s="100"/>
      <c r="I818" s="100"/>
      <c r="J818" s="100"/>
      <c r="S818" s="14"/>
      <c r="T818" s="14"/>
      <c r="U818" s="14"/>
      <c r="V818" s="14"/>
      <c r="W818" s="14"/>
      <c r="X818" s="14"/>
      <c r="Y818" s="14"/>
      <c r="Z818" s="14"/>
      <c r="AA818" s="14"/>
      <c r="AB818" s="14"/>
    </row>
    <row r="819">
      <c r="C819" s="100"/>
      <c r="D819" s="100"/>
      <c r="G819" s="50"/>
      <c r="H819" s="100"/>
      <c r="I819" s="100"/>
      <c r="J819" s="100"/>
      <c r="S819" s="14"/>
      <c r="T819" s="14"/>
      <c r="U819" s="14"/>
      <c r="V819" s="14"/>
      <c r="W819" s="14"/>
      <c r="X819" s="14"/>
      <c r="Y819" s="14"/>
      <c r="Z819" s="14"/>
      <c r="AA819" s="14"/>
      <c r="AB819" s="14"/>
    </row>
    <row r="820">
      <c r="C820" s="100"/>
      <c r="D820" s="100"/>
      <c r="G820" s="50"/>
      <c r="H820" s="100"/>
      <c r="I820" s="100"/>
      <c r="J820" s="100"/>
      <c r="S820" s="14"/>
      <c r="T820" s="14"/>
      <c r="U820" s="14"/>
      <c r="V820" s="14"/>
      <c r="W820" s="14"/>
      <c r="X820" s="14"/>
      <c r="Y820" s="14"/>
      <c r="Z820" s="14"/>
      <c r="AA820" s="14"/>
      <c r="AB820" s="14"/>
    </row>
    <row r="821">
      <c r="C821" s="100"/>
      <c r="D821" s="100"/>
      <c r="G821" s="50"/>
      <c r="H821" s="100"/>
      <c r="I821" s="100"/>
      <c r="J821" s="100"/>
      <c r="S821" s="14"/>
      <c r="T821" s="14"/>
      <c r="U821" s="14"/>
      <c r="V821" s="14"/>
      <c r="W821" s="14"/>
      <c r="X821" s="14"/>
      <c r="Y821" s="14"/>
      <c r="Z821" s="14"/>
      <c r="AA821" s="14"/>
      <c r="AB821" s="14"/>
    </row>
    <row r="822">
      <c r="C822" s="100"/>
      <c r="D822" s="100"/>
      <c r="G822" s="50"/>
      <c r="H822" s="100"/>
      <c r="I822" s="100"/>
      <c r="J822" s="100"/>
      <c r="S822" s="14"/>
      <c r="T822" s="14"/>
      <c r="U822" s="14"/>
      <c r="V822" s="14"/>
      <c r="W822" s="14"/>
      <c r="X822" s="14"/>
      <c r="Y822" s="14"/>
      <c r="Z822" s="14"/>
      <c r="AA822" s="14"/>
      <c r="AB822" s="14"/>
    </row>
    <row r="823">
      <c r="C823" s="100"/>
      <c r="D823" s="100"/>
      <c r="G823" s="50"/>
      <c r="H823" s="100"/>
      <c r="I823" s="100"/>
      <c r="J823" s="100"/>
      <c r="S823" s="14"/>
      <c r="T823" s="14"/>
      <c r="U823" s="14"/>
      <c r="V823" s="14"/>
      <c r="W823" s="14"/>
      <c r="X823" s="14"/>
      <c r="Y823" s="14"/>
      <c r="Z823" s="14"/>
      <c r="AA823" s="14"/>
      <c r="AB823" s="14"/>
    </row>
    <row r="824">
      <c r="C824" s="100"/>
      <c r="D824" s="100"/>
      <c r="G824" s="50"/>
      <c r="H824" s="100"/>
      <c r="I824" s="100"/>
      <c r="J824" s="100"/>
      <c r="S824" s="14"/>
      <c r="T824" s="14"/>
      <c r="U824" s="14"/>
      <c r="V824" s="14"/>
      <c r="W824" s="14"/>
      <c r="X824" s="14"/>
      <c r="Y824" s="14"/>
      <c r="Z824" s="14"/>
      <c r="AA824" s="14"/>
      <c r="AB824" s="14"/>
    </row>
    <row r="825">
      <c r="C825" s="100"/>
      <c r="D825" s="100"/>
      <c r="G825" s="50"/>
      <c r="H825" s="100"/>
      <c r="I825" s="100"/>
      <c r="J825" s="100"/>
      <c r="S825" s="14"/>
      <c r="T825" s="14"/>
      <c r="U825" s="14"/>
      <c r="V825" s="14"/>
      <c r="W825" s="14"/>
      <c r="X825" s="14"/>
      <c r="Y825" s="14"/>
      <c r="Z825" s="14"/>
      <c r="AA825" s="14"/>
      <c r="AB825" s="14"/>
    </row>
    <row r="826">
      <c r="C826" s="100"/>
      <c r="D826" s="100"/>
      <c r="G826" s="50"/>
      <c r="H826" s="100"/>
      <c r="I826" s="100"/>
      <c r="J826" s="100"/>
      <c r="S826" s="14"/>
      <c r="T826" s="14"/>
      <c r="U826" s="14"/>
      <c r="V826" s="14"/>
      <c r="W826" s="14"/>
      <c r="X826" s="14"/>
      <c r="Y826" s="14"/>
      <c r="Z826" s="14"/>
      <c r="AA826" s="14"/>
      <c r="AB826" s="14"/>
    </row>
    <row r="827">
      <c r="C827" s="100"/>
      <c r="D827" s="100"/>
      <c r="G827" s="50"/>
      <c r="H827" s="100"/>
      <c r="I827" s="100"/>
      <c r="J827" s="100"/>
      <c r="S827" s="14"/>
      <c r="T827" s="14"/>
      <c r="U827" s="14"/>
      <c r="V827" s="14"/>
      <c r="W827" s="14"/>
      <c r="X827" s="14"/>
      <c r="Y827" s="14"/>
      <c r="Z827" s="14"/>
      <c r="AA827" s="14"/>
      <c r="AB827" s="14"/>
    </row>
    <row r="828">
      <c r="C828" s="100"/>
      <c r="D828" s="100"/>
      <c r="G828" s="50"/>
      <c r="H828" s="100"/>
      <c r="I828" s="100"/>
      <c r="J828" s="100"/>
      <c r="S828" s="14"/>
      <c r="T828" s="14"/>
      <c r="U828" s="14"/>
      <c r="V828" s="14"/>
      <c r="W828" s="14"/>
      <c r="X828" s="14"/>
      <c r="Y828" s="14"/>
      <c r="Z828" s="14"/>
      <c r="AA828" s="14"/>
      <c r="AB828" s="14"/>
    </row>
    <row r="829">
      <c r="C829" s="100"/>
      <c r="D829" s="100"/>
      <c r="G829" s="50"/>
      <c r="H829" s="100"/>
      <c r="I829" s="100"/>
      <c r="J829" s="100"/>
      <c r="S829" s="14"/>
      <c r="T829" s="14"/>
      <c r="U829" s="14"/>
      <c r="V829" s="14"/>
      <c r="W829" s="14"/>
      <c r="X829" s="14"/>
      <c r="Y829" s="14"/>
      <c r="Z829" s="14"/>
      <c r="AA829" s="14"/>
      <c r="AB829" s="14"/>
    </row>
    <row r="830">
      <c r="C830" s="100"/>
      <c r="D830" s="100"/>
      <c r="G830" s="50"/>
      <c r="H830" s="100"/>
      <c r="I830" s="100"/>
      <c r="J830" s="100"/>
      <c r="S830" s="14"/>
      <c r="T830" s="14"/>
      <c r="U830" s="14"/>
      <c r="V830" s="14"/>
      <c r="W830" s="14"/>
      <c r="X830" s="14"/>
      <c r="Y830" s="14"/>
      <c r="Z830" s="14"/>
      <c r="AA830" s="14"/>
      <c r="AB830" s="14"/>
    </row>
    <row r="831">
      <c r="C831" s="100"/>
      <c r="D831" s="100"/>
      <c r="G831" s="50"/>
      <c r="H831" s="100"/>
      <c r="I831" s="100"/>
      <c r="J831" s="100"/>
      <c r="S831" s="14"/>
      <c r="T831" s="14"/>
      <c r="U831" s="14"/>
      <c r="V831" s="14"/>
      <c r="W831" s="14"/>
      <c r="X831" s="14"/>
      <c r="Y831" s="14"/>
      <c r="Z831" s="14"/>
      <c r="AA831" s="14"/>
      <c r="AB831" s="14"/>
    </row>
    <row r="832">
      <c r="C832" s="100"/>
      <c r="D832" s="100"/>
      <c r="G832" s="50"/>
      <c r="H832" s="100"/>
      <c r="I832" s="100"/>
      <c r="J832" s="100"/>
      <c r="S832" s="14"/>
      <c r="T832" s="14"/>
      <c r="U832" s="14"/>
      <c r="V832" s="14"/>
      <c r="W832" s="14"/>
      <c r="X832" s="14"/>
      <c r="Y832" s="14"/>
      <c r="Z832" s="14"/>
      <c r="AA832" s="14"/>
      <c r="AB832" s="14"/>
    </row>
    <row r="833">
      <c r="C833" s="100"/>
      <c r="D833" s="100"/>
      <c r="G833" s="50"/>
      <c r="H833" s="100"/>
      <c r="I833" s="100"/>
      <c r="J833" s="100"/>
      <c r="S833" s="14"/>
      <c r="T833" s="14"/>
      <c r="U833" s="14"/>
      <c r="V833" s="14"/>
      <c r="W833" s="14"/>
      <c r="X833" s="14"/>
      <c r="Y833" s="14"/>
      <c r="Z833" s="14"/>
      <c r="AA833" s="14"/>
      <c r="AB833" s="14"/>
    </row>
    <row r="834">
      <c r="C834" s="100"/>
      <c r="D834" s="100"/>
      <c r="G834" s="50"/>
      <c r="H834" s="100"/>
      <c r="I834" s="100"/>
      <c r="J834" s="100"/>
      <c r="S834" s="14"/>
      <c r="T834" s="14"/>
      <c r="U834" s="14"/>
      <c r="V834" s="14"/>
      <c r="W834" s="14"/>
      <c r="X834" s="14"/>
      <c r="Y834" s="14"/>
      <c r="Z834" s="14"/>
      <c r="AA834" s="14"/>
      <c r="AB834" s="14"/>
    </row>
    <row r="835">
      <c r="C835" s="100"/>
      <c r="D835" s="100"/>
      <c r="G835" s="50"/>
      <c r="H835" s="100"/>
      <c r="I835" s="100"/>
      <c r="J835" s="100"/>
      <c r="S835" s="14"/>
      <c r="T835" s="14"/>
      <c r="U835" s="14"/>
      <c r="V835" s="14"/>
      <c r="W835" s="14"/>
      <c r="X835" s="14"/>
      <c r="Y835" s="14"/>
      <c r="Z835" s="14"/>
      <c r="AA835" s="14"/>
      <c r="AB835" s="14"/>
    </row>
    <row r="836">
      <c r="C836" s="100"/>
      <c r="D836" s="100"/>
      <c r="G836" s="50"/>
      <c r="H836" s="100"/>
      <c r="I836" s="100"/>
      <c r="J836" s="100"/>
      <c r="S836" s="14"/>
      <c r="T836" s="14"/>
      <c r="U836" s="14"/>
      <c r="V836" s="14"/>
      <c r="W836" s="14"/>
      <c r="X836" s="14"/>
      <c r="Y836" s="14"/>
      <c r="Z836" s="14"/>
      <c r="AA836" s="14"/>
      <c r="AB836" s="14"/>
    </row>
    <row r="837">
      <c r="C837" s="100"/>
      <c r="D837" s="100"/>
      <c r="G837" s="50"/>
      <c r="H837" s="100"/>
      <c r="I837" s="100"/>
      <c r="J837" s="100"/>
      <c r="S837" s="14"/>
      <c r="T837" s="14"/>
      <c r="U837" s="14"/>
      <c r="V837" s="14"/>
      <c r="W837" s="14"/>
      <c r="X837" s="14"/>
      <c r="Y837" s="14"/>
      <c r="Z837" s="14"/>
      <c r="AA837" s="14"/>
      <c r="AB837" s="14"/>
    </row>
    <row r="838">
      <c r="C838" s="100"/>
      <c r="D838" s="100"/>
      <c r="G838" s="50"/>
      <c r="H838" s="100"/>
      <c r="I838" s="100"/>
      <c r="J838" s="100"/>
      <c r="S838" s="14"/>
      <c r="T838" s="14"/>
      <c r="U838" s="14"/>
      <c r="V838" s="14"/>
      <c r="W838" s="14"/>
      <c r="X838" s="14"/>
      <c r="Y838" s="14"/>
      <c r="Z838" s="14"/>
      <c r="AA838" s="14"/>
      <c r="AB838" s="14"/>
    </row>
    <row r="839">
      <c r="C839" s="100"/>
      <c r="D839" s="100"/>
      <c r="G839" s="50"/>
      <c r="H839" s="100"/>
      <c r="I839" s="100"/>
      <c r="J839" s="100"/>
      <c r="S839" s="14"/>
      <c r="T839" s="14"/>
      <c r="U839" s="14"/>
      <c r="V839" s="14"/>
      <c r="W839" s="14"/>
      <c r="X839" s="14"/>
      <c r="Y839" s="14"/>
      <c r="Z839" s="14"/>
      <c r="AA839" s="14"/>
      <c r="AB839" s="14"/>
    </row>
    <row r="840">
      <c r="C840" s="100"/>
      <c r="D840" s="100"/>
      <c r="G840" s="50"/>
      <c r="H840" s="100"/>
      <c r="I840" s="100"/>
      <c r="J840" s="100"/>
      <c r="S840" s="14"/>
      <c r="T840" s="14"/>
      <c r="U840" s="14"/>
      <c r="V840" s="14"/>
      <c r="W840" s="14"/>
      <c r="X840" s="14"/>
      <c r="Y840" s="14"/>
      <c r="Z840" s="14"/>
      <c r="AA840" s="14"/>
      <c r="AB840" s="14"/>
    </row>
    <row r="841">
      <c r="C841" s="100"/>
      <c r="D841" s="100"/>
      <c r="G841" s="50"/>
      <c r="H841" s="100"/>
      <c r="I841" s="100"/>
      <c r="J841" s="100"/>
      <c r="S841" s="14"/>
      <c r="T841" s="14"/>
      <c r="U841" s="14"/>
      <c r="V841" s="14"/>
      <c r="W841" s="14"/>
      <c r="X841" s="14"/>
      <c r="Y841" s="14"/>
      <c r="Z841" s="14"/>
      <c r="AA841" s="14"/>
      <c r="AB841" s="14"/>
    </row>
    <row r="842">
      <c r="C842" s="100"/>
      <c r="D842" s="100"/>
      <c r="G842" s="50"/>
      <c r="H842" s="100"/>
      <c r="I842" s="100"/>
      <c r="J842" s="100"/>
      <c r="S842" s="14"/>
      <c r="T842" s="14"/>
      <c r="U842" s="14"/>
      <c r="V842" s="14"/>
      <c r="W842" s="14"/>
      <c r="X842" s="14"/>
      <c r="Y842" s="14"/>
      <c r="Z842" s="14"/>
      <c r="AA842" s="14"/>
      <c r="AB842" s="14"/>
    </row>
    <row r="843">
      <c r="C843" s="100"/>
      <c r="D843" s="100"/>
      <c r="G843" s="50"/>
      <c r="H843" s="100"/>
      <c r="I843" s="100"/>
      <c r="J843" s="100"/>
      <c r="S843" s="14"/>
      <c r="T843" s="14"/>
      <c r="U843" s="14"/>
      <c r="V843" s="14"/>
      <c r="W843" s="14"/>
      <c r="X843" s="14"/>
      <c r="Y843" s="14"/>
      <c r="Z843" s="14"/>
      <c r="AA843" s="14"/>
      <c r="AB843" s="14"/>
    </row>
    <row r="844">
      <c r="C844" s="100"/>
      <c r="D844" s="100"/>
      <c r="G844" s="50"/>
      <c r="H844" s="100"/>
      <c r="I844" s="100"/>
      <c r="J844" s="100"/>
      <c r="S844" s="14"/>
      <c r="T844" s="14"/>
      <c r="U844" s="14"/>
      <c r="V844" s="14"/>
      <c r="W844" s="14"/>
      <c r="X844" s="14"/>
      <c r="Y844" s="14"/>
      <c r="Z844" s="14"/>
      <c r="AA844" s="14"/>
      <c r="AB844" s="14"/>
    </row>
    <row r="845">
      <c r="C845" s="100"/>
      <c r="D845" s="100"/>
      <c r="G845" s="50"/>
      <c r="H845" s="100"/>
      <c r="I845" s="100"/>
      <c r="J845" s="100"/>
      <c r="S845" s="14"/>
      <c r="T845" s="14"/>
      <c r="U845" s="14"/>
      <c r="V845" s="14"/>
      <c r="W845" s="14"/>
      <c r="X845" s="14"/>
      <c r="Y845" s="14"/>
      <c r="Z845" s="14"/>
      <c r="AA845" s="14"/>
      <c r="AB845" s="14"/>
    </row>
    <row r="846">
      <c r="C846" s="100"/>
      <c r="D846" s="100"/>
      <c r="G846" s="50"/>
      <c r="H846" s="100"/>
      <c r="I846" s="100"/>
      <c r="J846" s="100"/>
      <c r="S846" s="14"/>
      <c r="T846" s="14"/>
      <c r="U846" s="14"/>
      <c r="V846" s="14"/>
      <c r="W846" s="14"/>
      <c r="X846" s="14"/>
      <c r="Y846" s="14"/>
      <c r="Z846" s="14"/>
      <c r="AA846" s="14"/>
      <c r="AB846" s="14"/>
    </row>
    <row r="847">
      <c r="C847" s="100"/>
      <c r="D847" s="100"/>
      <c r="G847" s="50"/>
      <c r="H847" s="100"/>
      <c r="I847" s="100"/>
      <c r="J847" s="100"/>
      <c r="S847" s="14"/>
      <c r="T847" s="14"/>
      <c r="U847" s="14"/>
      <c r="V847" s="14"/>
      <c r="W847" s="14"/>
      <c r="X847" s="14"/>
      <c r="Y847" s="14"/>
      <c r="Z847" s="14"/>
      <c r="AA847" s="14"/>
      <c r="AB847" s="14"/>
    </row>
    <row r="848">
      <c r="C848" s="100"/>
      <c r="D848" s="100"/>
      <c r="G848" s="50"/>
      <c r="H848" s="100"/>
      <c r="I848" s="100"/>
      <c r="J848" s="100"/>
      <c r="S848" s="14"/>
      <c r="T848" s="14"/>
      <c r="U848" s="14"/>
      <c r="V848" s="14"/>
      <c r="W848" s="14"/>
      <c r="X848" s="14"/>
      <c r="Y848" s="14"/>
      <c r="Z848" s="14"/>
      <c r="AA848" s="14"/>
      <c r="AB848" s="14"/>
    </row>
    <row r="849">
      <c r="C849" s="100"/>
      <c r="D849" s="100"/>
      <c r="G849" s="50"/>
      <c r="H849" s="100"/>
      <c r="I849" s="100"/>
      <c r="J849" s="100"/>
      <c r="S849" s="14"/>
      <c r="T849" s="14"/>
      <c r="U849" s="14"/>
      <c r="V849" s="14"/>
      <c r="W849" s="14"/>
      <c r="X849" s="14"/>
      <c r="Y849" s="14"/>
      <c r="Z849" s="14"/>
      <c r="AA849" s="14"/>
      <c r="AB849" s="14"/>
    </row>
    <row r="850">
      <c r="C850" s="100"/>
      <c r="D850" s="100"/>
      <c r="G850" s="50"/>
      <c r="H850" s="100"/>
      <c r="I850" s="100"/>
      <c r="J850" s="100"/>
      <c r="S850" s="14"/>
      <c r="T850" s="14"/>
      <c r="U850" s="14"/>
      <c r="V850" s="14"/>
      <c r="W850" s="14"/>
      <c r="X850" s="14"/>
      <c r="Y850" s="14"/>
      <c r="Z850" s="14"/>
      <c r="AA850" s="14"/>
      <c r="AB850" s="14"/>
    </row>
    <row r="851">
      <c r="C851" s="100"/>
      <c r="D851" s="100"/>
      <c r="G851" s="50"/>
      <c r="H851" s="100"/>
      <c r="I851" s="100"/>
      <c r="J851" s="100"/>
      <c r="S851" s="14"/>
      <c r="T851" s="14"/>
      <c r="U851" s="14"/>
      <c r="V851" s="14"/>
      <c r="W851" s="14"/>
      <c r="X851" s="14"/>
      <c r="Y851" s="14"/>
      <c r="Z851" s="14"/>
      <c r="AA851" s="14"/>
      <c r="AB851" s="14"/>
    </row>
    <row r="852">
      <c r="C852" s="100"/>
      <c r="D852" s="100"/>
      <c r="G852" s="50"/>
      <c r="H852" s="100"/>
      <c r="I852" s="100"/>
      <c r="J852" s="100"/>
      <c r="S852" s="14"/>
      <c r="T852" s="14"/>
      <c r="U852" s="14"/>
      <c r="V852" s="14"/>
      <c r="W852" s="14"/>
      <c r="X852" s="14"/>
      <c r="Y852" s="14"/>
      <c r="Z852" s="14"/>
      <c r="AA852" s="14"/>
      <c r="AB852" s="14"/>
    </row>
    <row r="853">
      <c r="C853" s="100"/>
      <c r="D853" s="100"/>
      <c r="G853" s="50"/>
      <c r="H853" s="100"/>
      <c r="I853" s="100"/>
      <c r="J853" s="100"/>
      <c r="S853" s="14"/>
      <c r="T853" s="14"/>
      <c r="U853" s="14"/>
      <c r="V853" s="14"/>
      <c r="W853" s="14"/>
      <c r="X853" s="14"/>
      <c r="Y853" s="14"/>
      <c r="Z853" s="14"/>
      <c r="AA853" s="14"/>
      <c r="AB853" s="14"/>
    </row>
    <row r="854">
      <c r="C854" s="100"/>
      <c r="D854" s="100"/>
      <c r="G854" s="50"/>
      <c r="H854" s="100"/>
      <c r="I854" s="100"/>
      <c r="J854" s="100"/>
      <c r="S854" s="14"/>
      <c r="T854" s="14"/>
      <c r="U854" s="14"/>
      <c r="V854" s="14"/>
      <c r="W854" s="14"/>
      <c r="X854" s="14"/>
      <c r="Y854" s="14"/>
      <c r="Z854" s="14"/>
      <c r="AA854" s="14"/>
      <c r="AB854" s="14"/>
    </row>
    <row r="855">
      <c r="C855" s="100"/>
      <c r="D855" s="100"/>
      <c r="G855" s="50"/>
      <c r="H855" s="100"/>
      <c r="I855" s="100"/>
      <c r="J855" s="100"/>
      <c r="S855" s="14"/>
      <c r="T855" s="14"/>
      <c r="U855" s="14"/>
      <c r="V855" s="14"/>
      <c r="W855" s="14"/>
      <c r="X855" s="14"/>
      <c r="Y855" s="14"/>
      <c r="Z855" s="14"/>
      <c r="AA855" s="14"/>
      <c r="AB855" s="14"/>
    </row>
    <row r="856">
      <c r="C856" s="100"/>
      <c r="D856" s="100"/>
      <c r="G856" s="50"/>
      <c r="H856" s="100"/>
      <c r="I856" s="100"/>
      <c r="J856" s="100"/>
      <c r="S856" s="14"/>
      <c r="T856" s="14"/>
      <c r="U856" s="14"/>
      <c r="V856" s="14"/>
      <c r="W856" s="14"/>
      <c r="X856" s="14"/>
      <c r="Y856" s="14"/>
      <c r="Z856" s="14"/>
      <c r="AA856" s="14"/>
      <c r="AB856" s="14"/>
    </row>
    <row r="857">
      <c r="C857" s="100"/>
      <c r="D857" s="100"/>
      <c r="G857" s="50"/>
      <c r="H857" s="100"/>
      <c r="I857" s="100"/>
      <c r="J857" s="100"/>
      <c r="S857" s="14"/>
      <c r="T857" s="14"/>
      <c r="U857" s="14"/>
      <c r="V857" s="14"/>
      <c r="W857" s="14"/>
      <c r="X857" s="14"/>
      <c r="Y857" s="14"/>
      <c r="Z857" s="14"/>
      <c r="AA857" s="14"/>
      <c r="AB857" s="14"/>
    </row>
    <row r="858">
      <c r="C858" s="100"/>
      <c r="D858" s="100"/>
      <c r="G858" s="50"/>
      <c r="H858" s="100"/>
      <c r="I858" s="100"/>
      <c r="J858" s="100"/>
      <c r="S858" s="14"/>
      <c r="T858" s="14"/>
      <c r="U858" s="14"/>
      <c r="V858" s="14"/>
      <c r="W858" s="14"/>
      <c r="X858" s="14"/>
      <c r="Y858" s="14"/>
      <c r="Z858" s="14"/>
      <c r="AA858" s="14"/>
      <c r="AB858" s="14"/>
    </row>
    <row r="859">
      <c r="C859" s="100"/>
      <c r="D859" s="100"/>
      <c r="G859" s="50"/>
      <c r="H859" s="100"/>
      <c r="I859" s="100"/>
      <c r="J859" s="100"/>
      <c r="S859" s="14"/>
      <c r="T859" s="14"/>
      <c r="U859" s="14"/>
      <c r="V859" s="14"/>
      <c r="W859" s="14"/>
      <c r="X859" s="14"/>
      <c r="Y859" s="14"/>
      <c r="Z859" s="14"/>
      <c r="AA859" s="14"/>
      <c r="AB859" s="14"/>
    </row>
    <row r="860">
      <c r="C860" s="100"/>
      <c r="D860" s="100"/>
      <c r="G860" s="50"/>
      <c r="H860" s="100"/>
      <c r="I860" s="100"/>
      <c r="J860" s="100"/>
      <c r="S860" s="14"/>
      <c r="T860" s="14"/>
      <c r="U860" s="14"/>
      <c r="V860" s="14"/>
      <c r="W860" s="14"/>
      <c r="X860" s="14"/>
      <c r="Y860" s="14"/>
      <c r="Z860" s="14"/>
      <c r="AA860" s="14"/>
      <c r="AB860" s="14"/>
    </row>
    <row r="861">
      <c r="C861" s="100"/>
      <c r="D861" s="100"/>
      <c r="G861" s="50"/>
      <c r="H861" s="100"/>
      <c r="I861" s="100"/>
      <c r="J861" s="100"/>
      <c r="S861" s="14"/>
      <c r="T861" s="14"/>
      <c r="U861" s="14"/>
      <c r="V861" s="14"/>
      <c r="W861" s="14"/>
      <c r="X861" s="14"/>
      <c r="Y861" s="14"/>
      <c r="Z861" s="14"/>
      <c r="AA861" s="14"/>
      <c r="AB861" s="14"/>
    </row>
    <row r="862">
      <c r="C862" s="100"/>
      <c r="D862" s="100"/>
      <c r="G862" s="50"/>
      <c r="H862" s="100"/>
      <c r="I862" s="100"/>
      <c r="J862" s="100"/>
      <c r="S862" s="14"/>
      <c r="T862" s="14"/>
      <c r="U862" s="14"/>
      <c r="V862" s="14"/>
      <c r="W862" s="14"/>
      <c r="X862" s="14"/>
      <c r="Y862" s="14"/>
      <c r="Z862" s="14"/>
      <c r="AA862" s="14"/>
      <c r="AB862" s="14"/>
    </row>
    <row r="863">
      <c r="C863" s="100"/>
      <c r="D863" s="100"/>
      <c r="G863" s="50"/>
      <c r="H863" s="100"/>
      <c r="I863" s="100"/>
      <c r="J863" s="100"/>
      <c r="S863" s="14"/>
      <c r="T863" s="14"/>
      <c r="U863" s="14"/>
      <c r="V863" s="14"/>
      <c r="W863" s="14"/>
      <c r="X863" s="14"/>
      <c r="Y863" s="14"/>
      <c r="Z863" s="14"/>
      <c r="AA863" s="14"/>
      <c r="AB863" s="14"/>
    </row>
    <row r="864">
      <c r="C864" s="100"/>
      <c r="D864" s="100"/>
      <c r="G864" s="50"/>
      <c r="H864" s="100"/>
      <c r="I864" s="100"/>
      <c r="J864" s="100"/>
      <c r="S864" s="14"/>
      <c r="T864" s="14"/>
      <c r="U864" s="14"/>
      <c r="V864" s="14"/>
      <c r="W864" s="14"/>
      <c r="X864" s="14"/>
      <c r="Y864" s="14"/>
      <c r="Z864" s="14"/>
      <c r="AA864" s="14"/>
      <c r="AB864" s="14"/>
    </row>
    <row r="865">
      <c r="C865" s="100"/>
      <c r="D865" s="100"/>
      <c r="G865" s="50"/>
      <c r="H865" s="100"/>
      <c r="I865" s="100"/>
      <c r="J865" s="100"/>
      <c r="S865" s="14"/>
      <c r="T865" s="14"/>
      <c r="U865" s="14"/>
      <c r="V865" s="14"/>
      <c r="W865" s="14"/>
      <c r="X865" s="14"/>
      <c r="Y865" s="14"/>
      <c r="Z865" s="14"/>
      <c r="AA865" s="14"/>
      <c r="AB865" s="14"/>
    </row>
    <row r="866">
      <c r="C866" s="100"/>
      <c r="D866" s="100"/>
      <c r="G866" s="50"/>
      <c r="H866" s="100"/>
      <c r="I866" s="100"/>
      <c r="J866" s="100"/>
      <c r="S866" s="14"/>
      <c r="T866" s="14"/>
      <c r="U866" s="14"/>
      <c r="V866" s="14"/>
      <c r="W866" s="14"/>
      <c r="X866" s="14"/>
      <c r="Y866" s="14"/>
      <c r="Z866" s="14"/>
      <c r="AA866" s="14"/>
      <c r="AB866" s="14"/>
    </row>
    <row r="867">
      <c r="C867" s="100"/>
      <c r="D867" s="100"/>
      <c r="G867" s="50"/>
      <c r="H867" s="100"/>
      <c r="I867" s="100"/>
      <c r="J867" s="100"/>
      <c r="S867" s="14"/>
      <c r="T867" s="14"/>
      <c r="U867" s="14"/>
      <c r="V867" s="14"/>
      <c r="W867" s="14"/>
      <c r="X867" s="14"/>
      <c r="Y867" s="14"/>
      <c r="Z867" s="14"/>
      <c r="AA867" s="14"/>
      <c r="AB867" s="14"/>
    </row>
    <row r="868">
      <c r="C868" s="100"/>
      <c r="D868" s="100"/>
      <c r="G868" s="50"/>
      <c r="H868" s="100"/>
      <c r="I868" s="100"/>
      <c r="J868" s="100"/>
      <c r="S868" s="14"/>
      <c r="T868" s="14"/>
      <c r="U868" s="14"/>
      <c r="V868" s="14"/>
      <c r="W868" s="14"/>
      <c r="X868" s="14"/>
      <c r="Y868" s="14"/>
      <c r="Z868" s="14"/>
      <c r="AA868" s="14"/>
      <c r="AB868" s="14"/>
    </row>
    <row r="869">
      <c r="C869" s="100"/>
      <c r="D869" s="100"/>
      <c r="G869" s="50"/>
      <c r="H869" s="100"/>
      <c r="I869" s="100"/>
      <c r="J869" s="100"/>
      <c r="S869" s="14"/>
      <c r="T869" s="14"/>
      <c r="U869" s="14"/>
      <c r="V869" s="14"/>
      <c r="W869" s="14"/>
      <c r="X869" s="14"/>
      <c r="Y869" s="14"/>
      <c r="Z869" s="14"/>
      <c r="AA869" s="14"/>
      <c r="AB869" s="14"/>
    </row>
    <row r="870">
      <c r="C870" s="100"/>
      <c r="D870" s="100"/>
      <c r="G870" s="50"/>
      <c r="H870" s="100"/>
      <c r="I870" s="100"/>
      <c r="J870" s="100"/>
      <c r="S870" s="14"/>
      <c r="T870" s="14"/>
      <c r="U870" s="14"/>
      <c r="V870" s="14"/>
      <c r="W870" s="14"/>
      <c r="X870" s="14"/>
      <c r="Y870" s="14"/>
      <c r="Z870" s="14"/>
      <c r="AA870" s="14"/>
      <c r="AB870" s="14"/>
    </row>
    <row r="871">
      <c r="C871" s="100"/>
      <c r="D871" s="100"/>
      <c r="G871" s="50"/>
      <c r="H871" s="100"/>
      <c r="I871" s="100"/>
      <c r="J871" s="100"/>
      <c r="S871" s="14"/>
      <c r="T871" s="14"/>
      <c r="U871" s="14"/>
      <c r="V871" s="14"/>
      <c r="W871" s="14"/>
      <c r="X871" s="14"/>
      <c r="Y871" s="14"/>
      <c r="Z871" s="14"/>
      <c r="AA871" s="14"/>
      <c r="AB871" s="14"/>
    </row>
    <row r="872">
      <c r="C872" s="100"/>
      <c r="D872" s="100"/>
      <c r="G872" s="50"/>
      <c r="H872" s="100"/>
      <c r="I872" s="100"/>
      <c r="J872" s="100"/>
      <c r="S872" s="14"/>
      <c r="T872" s="14"/>
      <c r="U872" s="14"/>
      <c r="V872" s="14"/>
      <c r="W872" s="14"/>
      <c r="X872" s="14"/>
      <c r="Y872" s="14"/>
      <c r="Z872" s="14"/>
      <c r="AA872" s="14"/>
      <c r="AB872" s="14"/>
    </row>
    <row r="873">
      <c r="C873" s="100"/>
      <c r="D873" s="100"/>
      <c r="G873" s="50"/>
      <c r="H873" s="100"/>
      <c r="I873" s="100"/>
      <c r="J873" s="100"/>
      <c r="S873" s="14"/>
      <c r="T873" s="14"/>
      <c r="U873" s="14"/>
      <c r="V873" s="14"/>
      <c r="W873" s="14"/>
      <c r="X873" s="14"/>
      <c r="Y873" s="14"/>
      <c r="Z873" s="14"/>
      <c r="AA873" s="14"/>
      <c r="AB873" s="14"/>
    </row>
    <row r="874">
      <c r="C874" s="100"/>
      <c r="D874" s="100"/>
      <c r="G874" s="50"/>
      <c r="H874" s="100"/>
      <c r="I874" s="100"/>
      <c r="J874" s="100"/>
      <c r="S874" s="14"/>
      <c r="T874" s="14"/>
      <c r="U874" s="14"/>
      <c r="V874" s="14"/>
      <c r="W874" s="14"/>
      <c r="X874" s="14"/>
      <c r="Y874" s="14"/>
      <c r="Z874" s="14"/>
      <c r="AA874" s="14"/>
      <c r="AB874" s="14"/>
    </row>
    <row r="875">
      <c r="C875" s="100"/>
      <c r="D875" s="100"/>
      <c r="G875" s="50"/>
      <c r="H875" s="100"/>
      <c r="I875" s="100"/>
      <c r="J875" s="100"/>
      <c r="S875" s="14"/>
      <c r="T875" s="14"/>
      <c r="U875" s="14"/>
      <c r="V875" s="14"/>
      <c r="W875" s="14"/>
      <c r="X875" s="14"/>
      <c r="Y875" s="14"/>
      <c r="Z875" s="14"/>
      <c r="AA875" s="14"/>
      <c r="AB875" s="14"/>
    </row>
    <row r="876">
      <c r="C876" s="100"/>
      <c r="D876" s="100"/>
      <c r="G876" s="50"/>
      <c r="H876" s="100"/>
      <c r="I876" s="100"/>
      <c r="J876" s="100"/>
      <c r="S876" s="14"/>
      <c r="T876" s="14"/>
      <c r="U876" s="14"/>
      <c r="V876" s="14"/>
      <c r="W876" s="14"/>
      <c r="X876" s="14"/>
      <c r="Y876" s="14"/>
      <c r="Z876" s="14"/>
      <c r="AA876" s="14"/>
      <c r="AB876" s="14"/>
    </row>
    <row r="877">
      <c r="C877" s="100"/>
      <c r="D877" s="100"/>
      <c r="G877" s="50"/>
      <c r="H877" s="100"/>
      <c r="I877" s="100"/>
      <c r="J877" s="100"/>
      <c r="S877" s="14"/>
      <c r="T877" s="14"/>
      <c r="U877" s="14"/>
      <c r="V877" s="14"/>
      <c r="W877" s="14"/>
      <c r="X877" s="14"/>
      <c r="Y877" s="14"/>
      <c r="Z877" s="14"/>
      <c r="AA877" s="14"/>
      <c r="AB877" s="14"/>
    </row>
    <row r="878">
      <c r="C878" s="100"/>
      <c r="D878" s="100"/>
      <c r="G878" s="50"/>
      <c r="H878" s="100"/>
      <c r="I878" s="100"/>
      <c r="J878" s="100"/>
      <c r="S878" s="14"/>
      <c r="T878" s="14"/>
      <c r="U878" s="14"/>
      <c r="V878" s="14"/>
      <c r="W878" s="14"/>
      <c r="X878" s="14"/>
      <c r="Y878" s="14"/>
      <c r="Z878" s="14"/>
      <c r="AA878" s="14"/>
      <c r="AB878" s="14"/>
    </row>
    <row r="879">
      <c r="C879" s="100"/>
      <c r="D879" s="100"/>
      <c r="G879" s="50"/>
      <c r="H879" s="100"/>
      <c r="I879" s="100"/>
      <c r="J879" s="100"/>
      <c r="S879" s="14"/>
      <c r="T879" s="14"/>
      <c r="U879" s="14"/>
      <c r="V879" s="14"/>
      <c r="W879" s="14"/>
      <c r="X879" s="14"/>
      <c r="Y879" s="14"/>
      <c r="Z879" s="14"/>
      <c r="AA879" s="14"/>
      <c r="AB879" s="14"/>
    </row>
    <row r="880">
      <c r="C880" s="100"/>
      <c r="D880" s="100"/>
      <c r="G880" s="50"/>
      <c r="H880" s="100"/>
      <c r="I880" s="100"/>
      <c r="J880" s="100"/>
      <c r="S880" s="14"/>
      <c r="T880" s="14"/>
      <c r="U880" s="14"/>
      <c r="V880" s="14"/>
      <c r="W880" s="14"/>
      <c r="X880" s="14"/>
      <c r="Y880" s="14"/>
      <c r="Z880" s="14"/>
      <c r="AA880" s="14"/>
      <c r="AB880" s="14"/>
    </row>
    <row r="881">
      <c r="C881" s="100"/>
      <c r="D881" s="100"/>
      <c r="G881" s="50"/>
      <c r="H881" s="100"/>
      <c r="I881" s="100"/>
      <c r="J881" s="100"/>
      <c r="S881" s="14"/>
      <c r="T881" s="14"/>
      <c r="U881" s="14"/>
      <c r="V881" s="14"/>
      <c r="W881" s="14"/>
      <c r="X881" s="14"/>
      <c r="Y881" s="14"/>
      <c r="Z881" s="14"/>
      <c r="AA881" s="14"/>
      <c r="AB881" s="14"/>
    </row>
    <row r="882">
      <c r="C882" s="100"/>
      <c r="D882" s="100"/>
      <c r="G882" s="50"/>
      <c r="H882" s="100"/>
      <c r="I882" s="100"/>
      <c r="J882" s="100"/>
      <c r="S882" s="14"/>
      <c r="T882" s="14"/>
      <c r="U882" s="14"/>
      <c r="V882" s="14"/>
      <c r="W882" s="14"/>
      <c r="X882" s="14"/>
      <c r="Y882" s="14"/>
      <c r="Z882" s="14"/>
      <c r="AA882" s="14"/>
      <c r="AB882" s="14"/>
    </row>
    <row r="883">
      <c r="C883" s="100"/>
      <c r="D883" s="100"/>
      <c r="G883" s="50"/>
      <c r="H883" s="100"/>
      <c r="I883" s="100"/>
      <c r="J883" s="100"/>
      <c r="S883" s="14"/>
      <c r="T883" s="14"/>
      <c r="U883" s="14"/>
      <c r="V883" s="14"/>
      <c r="W883" s="14"/>
      <c r="X883" s="14"/>
      <c r="Y883" s="14"/>
      <c r="Z883" s="14"/>
      <c r="AA883" s="14"/>
      <c r="AB883" s="14"/>
    </row>
    <row r="884">
      <c r="C884" s="100"/>
      <c r="D884" s="100"/>
      <c r="G884" s="50"/>
      <c r="H884" s="100"/>
      <c r="I884" s="100"/>
      <c r="J884" s="100"/>
      <c r="S884" s="14"/>
      <c r="T884" s="14"/>
      <c r="U884" s="14"/>
      <c r="V884" s="14"/>
      <c r="W884" s="14"/>
      <c r="X884" s="14"/>
      <c r="Y884" s="14"/>
      <c r="Z884" s="14"/>
      <c r="AA884" s="14"/>
      <c r="AB884" s="14"/>
    </row>
    <row r="885">
      <c r="C885" s="100"/>
      <c r="D885" s="100"/>
      <c r="G885" s="50"/>
      <c r="H885" s="100"/>
      <c r="I885" s="100"/>
      <c r="J885" s="100"/>
      <c r="S885" s="14"/>
      <c r="T885" s="14"/>
      <c r="U885" s="14"/>
      <c r="V885" s="14"/>
      <c r="W885" s="14"/>
      <c r="X885" s="14"/>
      <c r="Y885" s="14"/>
      <c r="Z885" s="14"/>
      <c r="AA885" s="14"/>
      <c r="AB885" s="14"/>
    </row>
    <row r="886">
      <c r="C886" s="100"/>
      <c r="D886" s="100"/>
      <c r="G886" s="50"/>
      <c r="H886" s="100"/>
      <c r="I886" s="100"/>
      <c r="J886" s="100"/>
      <c r="S886" s="14"/>
      <c r="T886" s="14"/>
      <c r="U886" s="14"/>
      <c r="V886" s="14"/>
      <c r="W886" s="14"/>
      <c r="X886" s="14"/>
      <c r="Y886" s="14"/>
      <c r="Z886" s="14"/>
      <c r="AA886" s="14"/>
      <c r="AB886" s="14"/>
    </row>
    <row r="887">
      <c r="C887" s="100"/>
      <c r="D887" s="100"/>
      <c r="G887" s="50"/>
      <c r="H887" s="100"/>
      <c r="I887" s="100"/>
      <c r="J887" s="100"/>
      <c r="S887" s="14"/>
      <c r="T887" s="14"/>
      <c r="U887" s="14"/>
      <c r="V887" s="14"/>
      <c r="W887" s="14"/>
      <c r="X887" s="14"/>
      <c r="Y887" s="14"/>
      <c r="Z887" s="14"/>
      <c r="AA887" s="14"/>
      <c r="AB887" s="14"/>
    </row>
    <row r="888">
      <c r="C888" s="100"/>
      <c r="D888" s="100"/>
      <c r="G888" s="50"/>
      <c r="H888" s="100"/>
      <c r="I888" s="100"/>
      <c r="J888" s="100"/>
      <c r="S888" s="14"/>
      <c r="T888" s="14"/>
      <c r="U888" s="14"/>
      <c r="V888" s="14"/>
      <c r="W888" s="14"/>
      <c r="X888" s="14"/>
      <c r="Y888" s="14"/>
      <c r="Z888" s="14"/>
      <c r="AA888" s="14"/>
      <c r="AB888" s="14"/>
    </row>
    <row r="889">
      <c r="C889" s="100"/>
      <c r="D889" s="100"/>
      <c r="G889" s="50"/>
      <c r="H889" s="100"/>
      <c r="I889" s="100"/>
      <c r="J889" s="100"/>
      <c r="S889" s="14"/>
      <c r="T889" s="14"/>
      <c r="U889" s="14"/>
      <c r="V889" s="14"/>
      <c r="W889" s="14"/>
      <c r="X889" s="14"/>
      <c r="Y889" s="14"/>
      <c r="Z889" s="14"/>
      <c r="AA889" s="14"/>
      <c r="AB889" s="14"/>
    </row>
    <row r="890">
      <c r="C890" s="100"/>
      <c r="D890" s="100"/>
      <c r="G890" s="50"/>
      <c r="H890" s="100"/>
      <c r="I890" s="100"/>
      <c r="J890" s="100"/>
      <c r="S890" s="14"/>
      <c r="T890" s="14"/>
      <c r="U890" s="14"/>
      <c r="V890" s="14"/>
      <c r="W890" s="14"/>
      <c r="X890" s="14"/>
      <c r="Y890" s="14"/>
      <c r="Z890" s="14"/>
      <c r="AA890" s="14"/>
      <c r="AB890" s="14"/>
    </row>
    <row r="891">
      <c r="C891" s="100"/>
      <c r="D891" s="100"/>
      <c r="G891" s="50"/>
      <c r="H891" s="100"/>
      <c r="I891" s="100"/>
      <c r="J891" s="100"/>
      <c r="S891" s="14"/>
      <c r="T891" s="14"/>
      <c r="U891" s="14"/>
      <c r="V891" s="14"/>
      <c r="W891" s="14"/>
      <c r="X891" s="14"/>
      <c r="Y891" s="14"/>
      <c r="Z891" s="14"/>
      <c r="AA891" s="14"/>
      <c r="AB891" s="14"/>
    </row>
    <row r="892">
      <c r="C892" s="100"/>
      <c r="D892" s="100"/>
      <c r="G892" s="50"/>
      <c r="H892" s="100"/>
      <c r="I892" s="100"/>
      <c r="J892" s="100"/>
      <c r="S892" s="14"/>
      <c r="T892" s="14"/>
      <c r="U892" s="14"/>
      <c r="V892" s="14"/>
      <c r="W892" s="14"/>
      <c r="X892" s="14"/>
      <c r="Y892" s="14"/>
      <c r="Z892" s="14"/>
      <c r="AA892" s="14"/>
      <c r="AB892" s="14"/>
    </row>
    <row r="893">
      <c r="C893" s="100"/>
      <c r="D893" s="100"/>
      <c r="G893" s="50"/>
      <c r="H893" s="100"/>
      <c r="I893" s="100"/>
      <c r="J893" s="100"/>
      <c r="S893" s="14"/>
      <c r="T893" s="14"/>
      <c r="U893" s="14"/>
      <c r="V893" s="14"/>
      <c r="W893" s="14"/>
      <c r="X893" s="14"/>
      <c r="Y893" s="14"/>
      <c r="Z893" s="14"/>
      <c r="AA893" s="14"/>
      <c r="AB893" s="14"/>
    </row>
    <row r="894">
      <c r="C894" s="100"/>
      <c r="D894" s="100"/>
      <c r="G894" s="50"/>
      <c r="H894" s="100"/>
      <c r="I894" s="100"/>
      <c r="J894" s="100"/>
      <c r="S894" s="14"/>
      <c r="T894" s="14"/>
      <c r="U894" s="14"/>
      <c r="V894" s="14"/>
      <c r="W894" s="14"/>
      <c r="X894" s="14"/>
      <c r="Y894" s="14"/>
      <c r="Z894" s="14"/>
      <c r="AA894" s="14"/>
      <c r="AB894" s="14"/>
    </row>
    <row r="895">
      <c r="C895" s="100"/>
      <c r="D895" s="100"/>
      <c r="G895" s="50"/>
      <c r="H895" s="100"/>
      <c r="I895" s="100"/>
      <c r="J895" s="100"/>
      <c r="S895" s="14"/>
      <c r="T895" s="14"/>
      <c r="U895" s="14"/>
      <c r="V895" s="14"/>
      <c r="W895" s="14"/>
      <c r="X895" s="14"/>
      <c r="Y895" s="14"/>
      <c r="Z895" s="14"/>
      <c r="AA895" s="14"/>
      <c r="AB895" s="14"/>
    </row>
    <row r="896">
      <c r="C896" s="100"/>
      <c r="D896" s="100"/>
      <c r="G896" s="50"/>
      <c r="H896" s="100"/>
      <c r="I896" s="100"/>
      <c r="J896" s="100"/>
      <c r="S896" s="14"/>
      <c r="T896" s="14"/>
      <c r="U896" s="14"/>
      <c r="V896" s="14"/>
      <c r="W896" s="14"/>
      <c r="X896" s="14"/>
      <c r="Y896" s="14"/>
      <c r="Z896" s="14"/>
      <c r="AA896" s="14"/>
      <c r="AB896" s="14"/>
    </row>
    <row r="897">
      <c r="C897" s="100"/>
      <c r="D897" s="100"/>
      <c r="G897" s="50"/>
      <c r="H897" s="100"/>
      <c r="I897" s="100"/>
      <c r="J897" s="100"/>
      <c r="S897" s="14"/>
      <c r="T897" s="14"/>
      <c r="U897" s="14"/>
      <c r="V897" s="14"/>
      <c r="W897" s="14"/>
      <c r="X897" s="14"/>
      <c r="Y897" s="14"/>
      <c r="Z897" s="14"/>
      <c r="AA897" s="14"/>
      <c r="AB897" s="14"/>
    </row>
    <row r="898">
      <c r="C898" s="100"/>
      <c r="D898" s="100"/>
      <c r="G898" s="50"/>
      <c r="H898" s="100"/>
      <c r="I898" s="100"/>
      <c r="J898" s="100"/>
      <c r="S898" s="14"/>
      <c r="T898" s="14"/>
      <c r="U898" s="14"/>
      <c r="V898" s="14"/>
      <c r="W898" s="14"/>
      <c r="X898" s="14"/>
      <c r="Y898" s="14"/>
      <c r="Z898" s="14"/>
      <c r="AA898" s="14"/>
      <c r="AB898" s="14"/>
    </row>
    <row r="899">
      <c r="C899" s="100"/>
      <c r="D899" s="100"/>
      <c r="G899" s="50"/>
      <c r="H899" s="100"/>
      <c r="I899" s="100"/>
      <c r="J899" s="100"/>
      <c r="S899" s="14"/>
      <c r="T899" s="14"/>
      <c r="U899" s="14"/>
      <c r="V899" s="14"/>
      <c r="W899" s="14"/>
      <c r="X899" s="14"/>
      <c r="Y899" s="14"/>
      <c r="Z899" s="14"/>
      <c r="AA899" s="14"/>
      <c r="AB899" s="14"/>
    </row>
    <row r="900">
      <c r="C900" s="100"/>
      <c r="D900" s="100"/>
      <c r="G900" s="50"/>
      <c r="H900" s="100"/>
      <c r="I900" s="100"/>
      <c r="J900" s="100"/>
      <c r="S900" s="14"/>
      <c r="T900" s="14"/>
      <c r="U900" s="14"/>
      <c r="V900" s="14"/>
      <c r="W900" s="14"/>
      <c r="X900" s="14"/>
      <c r="Y900" s="14"/>
      <c r="Z900" s="14"/>
      <c r="AA900" s="14"/>
      <c r="AB900" s="14"/>
    </row>
    <row r="901">
      <c r="C901" s="100"/>
      <c r="D901" s="100"/>
      <c r="G901" s="50"/>
      <c r="H901" s="100"/>
      <c r="I901" s="100"/>
      <c r="J901" s="100"/>
      <c r="S901" s="14"/>
      <c r="T901" s="14"/>
      <c r="U901" s="14"/>
      <c r="V901" s="14"/>
      <c r="W901" s="14"/>
      <c r="X901" s="14"/>
      <c r="Y901" s="14"/>
      <c r="Z901" s="14"/>
      <c r="AA901" s="14"/>
      <c r="AB901" s="14"/>
    </row>
    <row r="902">
      <c r="C902" s="100"/>
      <c r="D902" s="100"/>
      <c r="G902" s="50"/>
      <c r="H902" s="100"/>
      <c r="I902" s="100"/>
      <c r="J902" s="100"/>
      <c r="S902" s="14"/>
      <c r="T902" s="14"/>
      <c r="U902" s="14"/>
      <c r="V902" s="14"/>
      <c r="W902" s="14"/>
      <c r="X902" s="14"/>
      <c r="Y902" s="14"/>
      <c r="Z902" s="14"/>
      <c r="AA902" s="14"/>
      <c r="AB902" s="14"/>
    </row>
    <row r="903">
      <c r="C903" s="100"/>
      <c r="D903" s="100"/>
      <c r="G903" s="50"/>
      <c r="H903" s="100"/>
      <c r="I903" s="100"/>
      <c r="J903" s="100"/>
      <c r="S903" s="14"/>
      <c r="T903" s="14"/>
      <c r="U903" s="14"/>
      <c r="V903" s="14"/>
      <c r="W903" s="14"/>
      <c r="X903" s="14"/>
      <c r="Y903" s="14"/>
      <c r="Z903" s="14"/>
      <c r="AA903" s="14"/>
      <c r="AB903" s="14"/>
    </row>
    <row r="904">
      <c r="C904" s="100"/>
      <c r="D904" s="100"/>
      <c r="G904" s="50"/>
      <c r="H904" s="100"/>
      <c r="I904" s="100"/>
      <c r="J904" s="100"/>
      <c r="S904" s="14"/>
      <c r="T904" s="14"/>
      <c r="U904" s="14"/>
      <c r="V904" s="14"/>
      <c r="W904" s="14"/>
      <c r="X904" s="14"/>
      <c r="Y904" s="14"/>
      <c r="Z904" s="14"/>
      <c r="AA904" s="14"/>
      <c r="AB904" s="14"/>
    </row>
    <row r="905">
      <c r="C905" s="100"/>
      <c r="D905" s="100"/>
      <c r="G905" s="50"/>
      <c r="H905" s="100"/>
      <c r="I905" s="100"/>
      <c r="J905" s="100"/>
      <c r="S905" s="14"/>
      <c r="T905" s="14"/>
      <c r="U905" s="14"/>
      <c r="V905" s="14"/>
      <c r="W905" s="14"/>
      <c r="X905" s="14"/>
      <c r="Y905" s="14"/>
      <c r="Z905" s="14"/>
      <c r="AA905" s="14"/>
      <c r="AB905" s="14"/>
    </row>
    <row r="906">
      <c r="C906" s="100"/>
      <c r="D906" s="100"/>
      <c r="G906" s="50"/>
      <c r="H906" s="100"/>
      <c r="I906" s="100"/>
      <c r="J906" s="100"/>
      <c r="S906" s="14"/>
      <c r="T906" s="14"/>
      <c r="U906" s="14"/>
      <c r="V906" s="14"/>
      <c r="W906" s="14"/>
      <c r="X906" s="14"/>
      <c r="Y906" s="14"/>
      <c r="Z906" s="14"/>
      <c r="AA906" s="14"/>
      <c r="AB906" s="14"/>
    </row>
    <row r="907">
      <c r="C907" s="100"/>
      <c r="D907" s="100"/>
      <c r="G907" s="50"/>
      <c r="H907" s="100"/>
      <c r="I907" s="100"/>
      <c r="J907" s="100"/>
      <c r="S907" s="14"/>
      <c r="T907" s="14"/>
      <c r="U907" s="14"/>
      <c r="V907" s="14"/>
      <c r="W907" s="14"/>
      <c r="X907" s="14"/>
      <c r="Y907" s="14"/>
      <c r="Z907" s="14"/>
      <c r="AA907" s="14"/>
      <c r="AB907" s="14"/>
    </row>
    <row r="908">
      <c r="C908" s="100"/>
      <c r="D908" s="100"/>
      <c r="G908" s="50"/>
      <c r="H908" s="100"/>
      <c r="I908" s="100"/>
      <c r="J908" s="100"/>
      <c r="S908" s="14"/>
      <c r="T908" s="14"/>
      <c r="U908" s="14"/>
      <c r="V908" s="14"/>
      <c r="W908" s="14"/>
      <c r="X908" s="14"/>
      <c r="Y908" s="14"/>
      <c r="Z908" s="14"/>
      <c r="AA908" s="14"/>
      <c r="AB908" s="14"/>
    </row>
    <row r="909">
      <c r="C909" s="100"/>
      <c r="D909" s="100"/>
      <c r="G909" s="50"/>
      <c r="H909" s="100"/>
      <c r="I909" s="100"/>
      <c r="J909" s="100"/>
      <c r="S909" s="14"/>
      <c r="T909" s="14"/>
      <c r="U909" s="14"/>
      <c r="V909" s="14"/>
      <c r="W909" s="14"/>
      <c r="X909" s="14"/>
      <c r="Y909" s="14"/>
      <c r="Z909" s="14"/>
      <c r="AA909" s="14"/>
      <c r="AB909" s="14"/>
    </row>
    <row r="910">
      <c r="C910" s="100"/>
      <c r="D910" s="100"/>
      <c r="G910" s="50"/>
      <c r="H910" s="100"/>
      <c r="I910" s="100"/>
      <c r="J910" s="100"/>
      <c r="S910" s="14"/>
      <c r="T910" s="14"/>
      <c r="U910" s="14"/>
      <c r="V910" s="14"/>
      <c r="W910" s="14"/>
      <c r="X910" s="14"/>
      <c r="Y910" s="14"/>
      <c r="Z910" s="14"/>
      <c r="AA910" s="14"/>
      <c r="AB910" s="14"/>
    </row>
    <row r="911">
      <c r="C911" s="100"/>
      <c r="D911" s="100"/>
      <c r="G911" s="50"/>
      <c r="H911" s="100"/>
      <c r="I911" s="100"/>
      <c r="J911" s="100"/>
      <c r="S911" s="14"/>
      <c r="T911" s="14"/>
      <c r="U911" s="14"/>
      <c r="V911" s="14"/>
      <c r="W911" s="14"/>
      <c r="X911" s="14"/>
      <c r="Y911" s="14"/>
      <c r="Z911" s="14"/>
      <c r="AA911" s="14"/>
      <c r="AB911" s="14"/>
    </row>
    <row r="912">
      <c r="C912" s="100"/>
      <c r="D912" s="100"/>
      <c r="G912" s="50"/>
      <c r="H912" s="100"/>
      <c r="I912" s="100"/>
      <c r="J912" s="100"/>
      <c r="S912" s="14"/>
      <c r="T912" s="14"/>
      <c r="U912" s="14"/>
      <c r="V912" s="14"/>
      <c r="W912" s="14"/>
      <c r="X912" s="14"/>
      <c r="Y912" s="14"/>
      <c r="Z912" s="14"/>
      <c r="AA912" s="14"/>
      <c r="AB912" s="14"/>
    </row>
    <row r="913">
      <c r="C913" s="100"/>
      <c r="D913" s="100"/>
      <c r="G913" s="50"/>
      <c r="H913" s="100"/>
      <c r="I913" s="100"/>
      <c r="J913" s="100"/>
      <c r="S913" s="14"/>
      <c r="T913" s="14"/>
      <c r="U913" s="14"/>
      <c r="V913" s="14"/>
      <c r="W913" s="14"/>
      <c r="X913" s="14"/>
      <c r="Y913" s="14"/>
      <c r="Z913" s="14"/>
      <c r="AA913" s="14"/>
      <c r="AB913" s="14"/>
    </row>
    <row r="914">
      <c r="C914" s="100"/>
      <c r="D914" s="100"/>
      <c r="G914" s="50"/>
      <c r="H914" s="100"/>
      <c r="I914" s="100"/>
      <c r="J914" s="100"/>
      <c r="S914" s="14"/>
      <c r="T914" s="14"/>
      <c r="U914" s="14"/>
      <c r="V914" s="14"/>
      <c r="W914" s="14"/>
      <c r="X914" s="14"/>
      <c r="Y914" s="14"/>
      <c r="Z914" s="14"/>
      <c r="AA914" s="14"/>
      <c r="AB914" s="14"/>
    </row>
    <row r="915">
      <c r="C915" s="100"/>
      <c r="D915" s="100"/>
      <c r="G915" s="50"/>
      <c r="H915" s="100"/>
      <c r="I915" s="100"/>
      <c r="J915" s="100"/>
      <c r="S915" s="14"/>
      <c r="T915" s="14"/>
      <c r="U915" s="14"/>
      <c r="V915" s="14"/>
      <c r="W915" s="14"/>
      <c r="X915" s="14"/>
      <c r="Y915" s="14"/>
      <c r="Z915" s="14"/>
      <c r="AA915" s="14"/>
      <c r="AB915" s="14"/>
    </row>
    <row r="916">
      <c r="C916" s="100"/>
      <c r="D916" s="100"/>
      <c r="G916" s="50"/>
      <c r="H916" s="100"/>
      <c r="I916" s="100"/>
      <c r="J916" s="100"/>
      <c r="S916" s="14"/>
      <c r="T916" s="14"/>
      <c r="U916" s="14"/>
      <c r="V916" s="14"/>
      <c r="W916" s="14"/>
      <c r="X916" s="14"/>
      <c r="Y916" s="14"/>
      <c r="Z916" s="14"/>
      <c r="AA916" s="14"/>
      <c r="AB916" s="14"/>
    </row>
    <row r="917">
      <c r="C917" s="100"/>
      <c r="D917" s="100"/>
      <c r="G917" s="50"/>
      <c r="H917" s="100"/>
      <c r="I917" s="100"/>
      <c r="J917" s="100"/>
      <c r="S917" s="14"/>
      <c r="T917" s="14"/>
      <c r="U917" s="14"/>
      <c r="V917" s="14"/>
      <c r="W917" s="14"/>
      <c r="X917" s="14"/>
      <c r="Y917" s="14"/>
      <c r="Z917" s="14"/>
      <c r="AA917" s="14"/>
      <c r="AB917" s="14"/>
    </row>
    <row r="918">
      <c r="C918" s="100"/>
      <c r="D918" s="100"/>
      <c r="G918" s="50"/>
      <c r="H918" s="100"/>
      <c r="I918" s="100"/>
      <c r="J918" s="100"/>
      <c r="S918" s="14"/>
      <c r="T918" s="14"/>
      <c r="U918" s="14"/>
      <c r="V918" s="14"/>
      <c r="W918" s="14"/>
      <c r="X918" s="14"/>
      <c r="Y918" s="14"/>
      <c r="Z918" s="14"/>
      <c r="AA918" s="14"/>
      <c r="AB918" s="14"/>
    </row>
    <row r="919">
      <c r="C919" s="100"/>
      <c r="D919" s="100"/>
      <c r="G919" s="50"/>
      <c r="H919" s="100"/>
      <c r="I919" s="100"/>
      <c r="J919" s="100"/>
      <c r="S919" s="14"/>
      <c r="T919" s="14"/>
      <c r="U919" s="14"/>
      <c r="V919" s="14"/>
      <c r="W919" s="14"/>
      <c r="X919" s="14"/>
      <c r="Y919" s="14"/>
      <c r="Z919" s="14"/>
      <c r="AA919" s="14"/>
      <c r="AB919" s="14"/>
    </row>
    <row r="920">
      <c r="C920" s="100"/>
      <c r="D920" s="100"/>
      <c r="G920" s="50"/>
      <c r="H920" s="100"/>
      <c r="I920" s="100"/>
      <c r="J920" s="100"/>
      <c r="S920" s="14"/>
      <c r="T920" s="14"/>
      <c r="U920" s="14"/>
      <c r="V920" s="14"/>
      <c r="W920" s="14"/>
      <c r="X920" s="14"/>
      <c r="Y920" s="14"/>
      <c r="Z920" s="14"/>
      <c r="AA920" s="14"/>
      <c r="AB920" s="14"/>
    </row>
    <row r="921">
      <c r="C921" s="100"/>
      <c r="D921" s="100"/>
      <c r="G921" s="50"/>
      <c r="H921" s="100"/>
      <c r="I921" s="100"/>
      <c r="J921" s="100"/>
      <c r="S921" s="14"/>
      <c r="T921" s="14"/>
      <c r="U921" s="14"/>
      <c r="V921" s="14"/>
      <c r="W921" s="14"/>
      <c r="X921" s="14"/>
      <c r="Y921" s="14"/>
      <c r="Z921" s="14"/>
      <c r="AA921" s="14"/>
      <c r="AB921" s="14"/>
    </row>
    <row r="922">
      <c r="C922" s="100"/>
      <c r="D922" s="100"/>
      <c r="G922" s="50"/>
      <c r="H922" s="100"/>
      <c r="I922" s="100"/>
      <c r="J922" s="100"/>
      <c r="S922" s="14"/>
      <c r="T922" s="14"/>
      <c r="U922" s="14"/>
      <c r="V922" s="14"/>
      <c r="W922" s="14"/>
      <c r="X922" s="14"/>
      <c r="Y922" s="14"/>
      <c r="Z922" s="14"/>
      <c r="AA922" s="14"/>
      <c r="AB922" s="14"/>
    </row>
    <row r="923">
      <c r="C923" s="100"/>
      <c r="D923" s="100"/>
      <c r="G923" s="50"/>
      <c r="H923" s="100"/>
      <c r="I923" s="100"/>
      <c r="J923" s="100"/>
      <c r="S923" s="14"/>
      <c r="T923" s="14"/>
      <c r="U923" s="14"/>
      <c r="V923" s="14"/>
      <c r="W923" s="14"/>
      <c r="X923" s="14"/>
      <c r="Y923" s="14"/>
      <c r="Z923" s="14"/>
      <c r="AA923" s="14"/>
      <c r="AB923" s="14"/>
    </row>
    <row r="924">
      <c r="C924" s="100"/>
      <c r="D924" s="100"/>
      <c r="G924" s="50"/>
      <c r="H924" s="100"/>
      <c r="I924" s="100"/>
      <c r="J924" s="100"/>
      <c r="S924" s="14"/>
      <c r="T924" s="14"/>
      <c r="U924" s="14"/>
      <c r="V924" s="14"/>
      <c r="W924" s="14"/>
      <c r="X924" s="14"/>
      <c r="Y924" s="14"/>
      <c r="Z924" s="14"/>
      <c r="AA924" s="14"/>
      <c r="AB924" s="14"/>
    </row>
    <row r="925">
      <c r="C925" s="100"/>
      <c r="D925" s="100"/>
      <c r="G925" s="50"/>
      <c r="H925" s="100"/>
      <c r="I925" s="100"/>
      <c r="J925" s="100"/>
      <c r="S925" s="14"/>
      <c r="T925" s="14"/>
      <c r="U925" s="14"/>
      <c r="V925" s="14"/>
      <c r="W925" s="14"/>
      <c r="X925" s="14"/>
      <c r="Y925" s="14"/>
      <c r="Z925" s="14"/>
      <c r="AA925" s="14"/>
      <c r="AB925" s="14"/>
    </row>
    <row r="926">
      <c r="C926" s="100"/>
      <c r="D926" s="100"/>
      <c r="G926" s="50"/>
      <c r="H926" s="100"/>
      <c r="I926" s="100"/>
      <c r="J926" s="100"/>
      <c r="S926" s="14"/>
      <c r="T926" s="14"/>
      <c r="U926" s="14"/>
      <c r="V926" s="14"/>
      <c r="W926" s="14"/>
      <c r="X926" s="14"/>
      <c r="Y926" s="14"/>
      <c r="Z926" s="14"/>
      <c r="AA926" s="14"/>
      <c r="AB926" s="14"/>
    </row>
    <row r="927">
      <c r="C927" s="100"/>
      <c r="D927" s="100"/>
      <c r="G927" s="50"/>
      <c r="H927" s="100"/>
      <c r="I927" s="100"/>
      <c r="J927" s="100"/>
      <c r="S927" s="14"/>
      <c r="T927" s="14"/>
      <c r="U927" s="14"/>
      <c r="V927" s="14"/>
      <c r="W927" s="14"/>
      <c r="X927" s="14"/>
      <c r="Y927" s="14"/>
      <c r="Z927" s="14"/>
      <c r="AA927" s="14"/>
      <c r="AB927" s="14"/>
    </row>
    <row r="928">
      <c r="C928" s="100"/>
      <c r="D928" s="100"/>
      <c r="G928" s="50"/>
      <c r="H928" s="100"/>
      <c r="I928" s="100"/>
      <c r="J928" s="100"/>
      <c r="S928" s="14"/>
      <c r="T928" s="14"/>
      <c r="U928" s="14"/>
      <c r="V928" s="14"/>
      <c r="W928" s="14"/>
      <c r="X928" s="14"/>
      <c r="Y928" s="14"/>
      <c r="Z928" s="14"/>
      <c r="AA928" s="14"/>
      <c r="AB928" s="14"/>
    </row>
    <row r="929">
      <c r="C929" s="100"/>
      <c r="D929" s="100"/>
      <c r="G929" s="50"/>
      <c r="H929" s="100"/>
      <c r="I929" s="100"/>
      <c r="J929" s="100"/>
      <c r="S929" s="14"/>
      <c r="T929" s="14"/>
      <c r="U929" s="14"/>
      <c r="V929" s="14"/>
      <c r="W929" s="14"/>
      <c r="X929" s="14"/>
      <c r="Y929" s="14"/>
      <c r="Z929" s="14"/>
      <c r="AA929" s="14"/>
      <c r="AB929" s="14"/>
    </row>
    <row r="930">
      <c r="C930" s="100"/>
      <c r="D930" s="100"/>
      <c r="G930" s="50"/>
      <c r="H930" s="100"/>
      <c r="I930" s="100"/>
      <c r="J930" s="100"/>
      <c r="S930" s="14"/>
      <c r="T930" s="14"/>
      <c r="U930" s="14"/>
      <c r="V930" s="14"/>
      <c r="W930" s="14"/>
      <c r="X930" s="14"/>
      <c r="Y930" s="14"/>
      <c r="Z930" s="14"/>
      <c r="AA930" s="14"/>
      <c r="AB930" s="14"/>
    </row>
    <row r="931">
      <c r="C931" s="100"/>
      <c r="D931" s="100"/>
      <c r="G931" s="50"/>
      <c r="H931" s="100"/>
      <c r="I931" s="100"/>
      <c r="J931" s="100"/>
      <c r="S931" s="14"/>
      <c r="T931" s="14"/>
      <c r="U931" s="14"/>
      <c r="V931" s="14"/>
      <c r="W931" s="14"/>
      <c r="X931" s="14"/>
      <c r="Y931" s="14"/>
      <c r="Z931" s="14"/>
      <c r="AA931" s="14"/>
      <c r="AB931" s="14"/>
    </row>
    <row r="932">
      <c r="C932" s="100"/>
      <c r="D932" s="100"/>
      <c r="G932" s="50"/>
      <c r="H932" s="100"/>
      <c r="I932" s="100"/>
      <c r="J932" s="100"/>
      <c r="S932" s="14"/>
      <c r="T932" s="14"/>
      <c r="U932" s="14"/>
      <c r="V932" s="14"/>
      <c r="W932" s="14"/>
      <c r="X932" s="14"/>
      <c r="Y932" s="14"/>
      <c r="Z932" s="14"/>
      <c r="AA932" s="14"/>
      <c r="AB932" s="14"/>
    </row>
    <row r="933">
      <c r="C933" s="100"/>
      <c r="D933" s="100"/>
      <c r="G933" s="50"/>
      <c r="H933" s="100"/>
      <c r="I933" s="100"/>
      <c r="J933" s="100"/>
      <c r="S933" s="14"/>
      <c r="T933" s="14"/>
      <c r="U933" s="14"/>
      <c r="V933" s="14"/>
      <c r="W933" s="14"/>
      <c r="X933" s="14"/>
      <c r="Y933" s="14"/>
      <c r="Z933" s="14"/>
      <c r="AA933" s="14"/>
      <c r="AB933" s="14"/>
    </row>
    <row r="934">
      <c r="C934" s="100"/>
      <c r="D934" s="100"/>
      <c r="G934" s="50"/>
      <c r="H934" s="100"/>
      <c r="I934" s="100"/>
      <c r="J934" s="100"/>
      <c r="S934" s="14"/>
      <c r="T934" s="14"/>
      <c r="U934" s="14"/>
      <c r="V934" s="14"/>
      <c r="W934" s="14"/>
      <c r="X934" s="14"/>
      <c r="Y934" s="14"/>
      <c r="Z934" s="14"/>
      <c r="AA934" s="14"/>
      <c r="AB934" s="14"/>
    </row>
    <row r="935">
      <c r="C935" s="100"/>
      <c r="D935" s="100"/>
      <c r="G935" s="50"/>
      <c r="H935" s="100"/>
      <c r="I935" s="100"/>
      <c r="J935" s="100"/>
      <c r="S935" s="14"/>
      <c r="T935" s="14"/>
      <c r="U935" s="14"/>
      <c r="V935" s="14"/>
      <c r="W935" s="14"/>
      <c r="X935" s="14"/>
      <c r="Y935" s="14"/>
      <c r="Z935" s="14"/>
      <c r="AA935" s="14"/>
      <c r="AB935" s="14"/>
    </row>
    <row r="936">
      <c r="C936" s="100"/>
      <c r="D936" s="100"/>
      <c r="G936" s="50"/>
      <c r="H936" s="100"/>
      <c r="I936" s="100"/>
      <c r="J936" s="100"/>
      <c r="S936" s="14"/>
      <c r="T936" s="14"/>
      <c r="U936" s="14"/>
      <c r="V936" s="14"/>
      <c r="W936" s="14"/>
      <c r="X936" s="14"/>
      <c r="Y936" s="14"/>
      <c r="Z936" s="14"/>
      <c r="AA936" s="14"/>
      <c r="AB936" s="14"/>
    </row>
    <row r="937">
      <c r="C937" s="100"/>
      <c r="D937" s="100"/>
      <c r="G937" s="50"/>
      <c r="H937" s="100"/>
      <c r="I937" s="100"/>
      <c r="J937" s="100"/>
      <c r="S937" s="14"/>
      <c r="T937" s="14"/>
      <c r="U937" s="14"/>
      <c r="V937" s="14"/>
      <c r="W937" s="14"/>
      <c r="X937" s="14"/>
      <c r="Y937" s="14"/>
      <c r="Z937" s="14"/>
      <c r="AA937" s="14"/>
      <c r="AB937" s="14"/>
    </row>
    <row r="938">
      <c r="C938" s="100"/>
      <c r="D938" s="100"/>
      <c r="G938" s="50"/>
      <c r="H938" s="100"/>
      <c r="I938" s="100"/>
      <c r="J938" s="100"/>
      <c r="S938" s="14"/>
      <c r="T938" s="14"/>
      <c r="U938" s="14"/>
      <c r="V938" s="14"/>
      <c r="W938" s="14"/>
      <c r="X938" s="14"/>
      <c r="Y938" s="14"/>
      <c r="Z938" s="14"/>
      <c r="AA938" s="14"/>
      <c r="AB938" s="14"/>
    </row>
    <row r="939">
      <c r="C939" s="100"/>
      <c r="D939" s="100"/>
      <c r="G939" s="50"/>
      <c r="H939" s="100"/>
      <c r="I939" s="100"/>
      <c r="J939" s="100"/>
      <c r="S939" s="14"/>
      <c r="T939" s="14"/>
      <c r="U939" s="14"/>
      <c r="V939" s="14"/>
      <c r="W939" s="14"/>
      <c r="X939" s="14"/>
      <c r="Y939" s="14"/>
      <c r="Z939" s="14"/>
      <c r="AA939" s="14"/>
      <c r="AB939" s="14"/>
    </row>
    <row r="940">
      <c r="C940" s="100"/>
      <c r="D940" s="100"/>
      <c r="G940" s="50"/>
      <c r="H940" s="100"/>
      <c r="I940" s="100"/>
      <c r="J940" s="100"/>
      <c r="S940" s="14"/>
      <c r="T940" s="14"/>
      <c r="U940" s="14"/>
      <c r="V940" s="14"/>
      <c r="W940" s="14"/>
      <c r="X940" s="14"/>
      <c r="Y940" s="14"/>
      <c r="Z940" s="14"/>
      <c r="AA940" s="14"/>
      <c r="AB940" s="14"/>
    </row>
    <row r="941">
      <c r="C941" s="100"/>
      <c r="D941" s="100"/>
      <c r="G941" s="50"/>
      <c r="H941" s="100"/>
      <c r="I941" s="100"/>
      <c r="J941" s="100"/>
      <c r="S941" s="14"/>
      <c r="T941" s="14"/>
      <c r="U941" s="14"/>
      <c r="V941" s="14"/>
      <c r="W941" s="14"/>
      <c r="X941" s="14"/>
      <c r="Y941" s="14"/>
      <c r="Z941" s="14"/>
      <c r="AA941" s="14"/>
      <c r="AB941" s="14"/>
    </row>
    <row r="942">
      <c r="C942" s="100"/>
      <c r="D942" s="100"/>
      <c r="G942" s="50"/>
      <c r="H942" s="100"/>
      <c r="I942" s="100"/>
      <c r="J942" s="100"/>
      <c r="S942" s="14"/>
      <c r="T942" s="14"/>
      <c r="U942" s="14"/>
      <c r="V942" s="14"/>
      <c r="W942" s="14"/>
      <c r="X942" s="14"/>
      <c r="Y942" s="14"/>
      <c r="Z942" s="14"/>
      <c r="AA942" s="14"/>
      <c r="AB942" s="14"/>
    </row>
    <row r="943">
      <c r="C943" s="100"/>
      <c r="D943" s="100"/>
      <c r="G943" s="50"/>
      <c r="H943" s="100"/>
      <c r="I943" s="100"/>
      <c r="J943" s="100"/>
      <c r="S943" s="14"/>
      <c r="T943" s="14"/>
      <c r="U943" s="14"/>
      <c r="V943" s="14"/>
      <c r="W943" s="14"/>
      <c r="X943" s="14"/>
      <c r="Y943" s="14"/>
      <c r="Z943" s="14"/>
      <c r="AA943" s="14"/>
      <c r="AB943" s="14"/>
    </row>
    <row r="944">
      <c r="C944" s="100"/>
      <c r="D944" s="100"/>
      <c r="G944" s="50"/>
      <c r="H944" s="100"/>
      <c r="I944" s="100"/>
      <c r="J944" s="100"/>
      <c r="S944" s="14"/>
      <c r="T944" s="14"/>
      <c r="U944" s="14"/>
      <c r="V944" s="14"/>
      <c r="W944" s="14"/>
      <c r="X944" s="14"/>
      <c r="Y944" s="14"/>
      <c r="Z944" s="14"/>
      <c r="AA944" s="14"/>
      <c r="AB944" s="14"/>
    </row>
    <row r="945">
      <c r="C945" s="100"/>
      <c r="D945" s="100"/>
      <c r="G945" s="50"/>
      <c r="H945" s="100"/>
      <c r="I945" s="100"/>
      <c r="J945" s="100"/>
      <c r="S945" s="14"/>
      <c r="T945" s="14"/>
      <c r="U945" s="14"/>
      <c r="V945" s="14"/>
      <c r="W945" s="14"/>
      <c r="X945" s="14"/>
      <c r="Y945" s="14"/>
      <c r="Z945" s="14"/>
      <c r="AA945" s="14"/>
      <c r="AB945" s="14"/>
    </row>
    <row r="946">
      <c r="C946" s="100"/>
      <c r="D946" s="100"/>
      <c r="G946" s="50"/>
      <c r="H946" s="100"/>
      <c r="I946" s="100"/>
      <c r="J946" s="100"/>
      <c r="S946" s="14"/>
      <c r="T946" s="14"/>
      <c r="U946" s="14"/>
      <c r="V946" s="14"/>
      <c r="W946" s="14"/>
      <c r="X946" s="14"/>
      <c r="Y946" s="14"/>
      <c r="Z946" s="14"/>
      <c r="AA946" s="14"/>
      <c r="AB946" s="14"/>
    </row>
    <row r="947">
      <c r="C947" s="100"/>
      <c r="D947" s="100"/>
      <c r="G947" s="50"/>
      <c r="H947" s="100"/>
      <c r="I947" s="100"/>
      <c r="J947" s="100"/>
      <c r="S947" s="14"/>
      <c r="T947" s="14"/>
      <c r="U947" s="14"/>
      <c r="V947" s="14"/>
      <c r="W947" s="14"/>
      <c r="X947" s="14"/>
      <c r="Y947" s="14"/>
      <c r="Z947" s="14"/>
      <c r="AA947" s="14"/>
      <c r="AB947" s="14"/>
    </row>
    <row r="948">
      <c r="C948" s="100"/>
      <c r="D948" s="100"/>
      <c r="G948" s="50"/>
      <c r="H948" s="100"/>
      <c r="I948" s="100"/>
      <c r="J948" s="100"/>
      <c r="S948" s="14"/>
      <c r="T948" s="14"/>
      <c r="U948" s="14"/>
      <c r="V948" s="14"/>
      <c r="W948" s="14"/>
      <c r="X948" s="14"/>
      <c r="Y948" s="14"/>
      <c r="Z948" s="14"/>
      <c r="AA948" s="14"/>
      <c r="AB948" s="14"/>
    </row>
    <row r="949">
      <c r="C949" s="100"/>
      <c r="D949" s="100"/>
      <c r="G949" s="50"/>
      <c r="H949" s="100"/>
      <c r="I949" s="100"/>
      <c r="J949" s="100"/>
      <c r="S949" s="14"/>
      <c r="T949" s="14"/>
      <c r="U949" s="14"/>
      <c r="V949" s="14"/>
      <c r="W949" s="14"/>
      <c r="X949" s="14"/>
      <c r="Y949" s="14"/>
      <c r="Z949" s="14"/>
      <c r="AA949" s="14"/>
      <c r="AB949" s="14"/>
    </row>
    <row r="950">
      <c r="C950" s="100"/>
      <c r="D950" s="100"/>
      <c r="G950" s="50"/>
      <c r="H950" s="100"/>
      <c r="I950" s="100"/>
      <c r="J950" s="100"/>
      <c r="S950" s="14"/>
      <c r="T950" s="14"/>
      <c r="U950" s="14"/>
      <c r="V950" s="14"/>
      <c r="W950" s="14"/>
      <c r="X950" s="14"/>
      <c r="Y950" s="14"/>
      <c r="Z950" s="14"/>
      <c r="AA950" s="14"/>
      <c r="AB950" s="14"/>
    </row>
    <row r="951">
      <c r="C951" s="100"/>
      <c r="D951" s="100"/>
      <c r="G951" s="50"/>
      <c r="H951" s="100"/>
      <c r="I951" s="100"/>
      <c r="J951" s="100"/>
      <c r="S951" s="14"/>
      <c r="T951" s="14"/>
      <c r="U951" s="14"/>
      <c r="V951" s="14"/>
      <c r="W951" s="14"/>
      <c r="X951" s="14"/>
      <c r="Y951" s="14"/>
      <c r="Z951" s="14"/>
      <c r="AA951" s="14"/>
      <c r="AB951" s="14"/>
    </row>
    <row r="952">
      <c r="C952" s="100"/>
      <c r="D952" s="100"/>
      <c r="G952" s="50"/>
      <c r="H952" s="100"/>
      <c r="I952" s="100"/>
      <c r="J952" s="100"/>
      <c r="S952" s="14"/>
      <c r="T952" s="14"/>
      <c r="U952" s="14"/>
      <c r="V952" s="14"/>
      <c r="W952" s="14"/>
      <c r="X952" s="14"/>
      <c r="Y952" s="14"/>
      <c r="Z952" s="14"/>
      <c r="AA952" s="14"/>
      <c r="AB952" s="14"/>
    </row>
    <row r="953">
      <c r="C953" s="100"/>
      <c r="D953" s="100"/>
      <c r="G953" s="50"/>
      <c r="H953" s="100"/>
      <c r="I953" s="100"/>
      <c r="J953" s="100"/>
      <c r="S953" s="14"/>
      <c r="T953" s="14"/>
      <c r="U953" s="14"/>
      <c r="V953" s="14"/>
      <c r="W953" s="14"/>
      <c r="X953" s="14"/>
      <c r="Y953" s="14"/>
      <c r="Z953" s="14"/>
      <c r="AA953" s="14"/>
      <c r="AB953" s="14"/>
    </row>
    <row r="954">
      <c r="C954" s="100"/>
      <c r="D954" s="100"/>
      <c r="G954" s="50"/>
      <c r="H954" s="100"/>
      <c r="I954" s="100"/>
      <c r="J954" s="100"/>
      <c r="S954" s="14"/>
      <c r="T954" s="14"/>
      <c r="U954" s="14"/>
      <c r="V954" s="14"/>
      <c r="W954" s="14"/>
      <c r="X954" s="14"/>
      <c r="Y954" s="14"/>
      <c r="Z954" s="14"/>
      <c r="AA954" s="14"/>
      <c r="AB954" s="14"/>
    </row>
    <row r="955">
      <c r="C955" s="100"/>
      <c r="D955" s="100"/>
      <c r="G955" s="50"/>
      <c r="H955" s="100"/>
      <c r="I955" s="100"/>
      <c r="J955" s="100"/>
      <c r="S955" s="14"/>
      <c r="T955" s="14"/>
      <c r="U955" s="14"/>
      <c r="V955" s="14"/>
      <c r="W955" s="14"/>
      <c r="X955" s="14"/>
      <c r="Y955" s="14"/>
      <c r="Z955" s="14"/>
      <c r="AA955" s="14"/>
      <c r="AB955" s="14"/>
    </row>
    <row r="956">
      <c r="C956" s="100"/>
      <c r="D956" s="100"/>
      <c r="G956" s="50"/>
      <c r="H956" s="100"/>
      <c r="I956" s="100"/>
      <c r="J956" s="100"/>
      <c r="S956" s="14"/>
      <c r="T956" s="14"/>
      <c r="U956" s="14"/>
      <c r="V956" s="14"/>
      <c r="W956" s="14"/>
      <c r="X956" s="14"/>
      <c r="Y956" s="14"/>
      <c r="Z956" s="14"/>
      <c r="AA956" s="14"/>
      <c r="AB956" s="14"/>
    </row>
    <row r="957">
      <c r="C957" s="100"/>
      <c r="D957" s="100"/>
      <c r="G957" s="50"/>
      <c r="H957" s="100"/>
      <c r="I957" s="100"/>
      <c r="J957" s="100"/>
      <c r="S957" s="14"/>
      <c r="T957" s="14"/>
      <c r="U957" s="14"/>
      <c r="V957" s="14"/>
      <c r="W957" s="14"/>
      <c r="X957" s="14"/>
      <c r="Y957" s="14"/>
      <c r="Z957" s="14"/>
      <c r="AA957" s="14"/>
      <c r="AB957" s="14"/>
    </row>
    <row r="958">
      <c r="C958" s="100"/>
      <c r="D958" s="100"/>
      <c r="G958" s="50"/>
      <c r="H958" s="100"/>
      <c r="I958" s="100"/>
      <c r="J958" s="100"/>
      <c r="S958" s="14"/>
      <c r="T958" s="14"/>
      <c r="U958" s="14"/>
      <c r="V958" s="14"/>
      <c r="W958" s="14"/>
      <c r="X958" s="14"/>
      <c r="Y958" s="14"/>
      <c r="Z958" s="14"/>
      <c r="AA958" s="14"/>
      <c r="AB958" s="14"/>
    </row>
    <row r="959">
      <c r="C959" s="100"/>
      <c r="D959" s="100"/>
      <c r="G959" s="50"/>
      <c r="H959" s="100"/>
      <c r="I959" s="100"/>
      <c r="J959" s="100"/>
      <c r="S959" s="14"/>
      <c r="T959" s="14"/>
      <c r="U959" s="14"/>
      <c r="V959" s="14"/>
      <c r="W959" s="14"/>
      <c r="X959" s="14"/>
      <c r="Y959" s="14"/>
      <c r="Z959" s="14"/>
      <c r="AA959" s="14"/>
      <c r="AB959" s="14"/>
    </row>
    <row r="960">
      <c r="C960" s="100"/>
      <c r="D960" s="100"/>
      <c r="G960" s="50"/>
      <c r="H960" s="100"/>
      <c r="I960" s="100"/>
      <c r="J960" s="100"/>
      <c r="S960" s="14"/>
      <c r="T960" s="14"/>
      <c r="U960" s="14"/>
      <c r="V960" s="14"/>
      <c r="W960" s="14"/>
      <c r="X960" s="14"/>
      <c r="Y960" s="14"/>
      <c r="Z960" s="14"/>
      <c r="AA960" s="14"/>
      <c r="AB960" s="14"/>
    </row>
    <row r="961">
      <c r="C961" s="100"/>
      <c r="D961" s="100"/>
      <c r="G961" s="50"/>
      <c r="H961" s="100"/>
      <c r="I961" s="100"/>
      <c r="J961" s="100"/>
      <c r="S961" s="14"/>
      <c r="T961" s="14"/>
      <c r="U961" s="14"/>
      <c r="V961" s="14"/>
      <c r="W961" s="14"/>
      <c r="X961" s="14"/>
      <c r="Y961" s="14"/>
      <c r="Z961" s="14"/>
      <c r="AA961" s="14"/>
      <c r="AB961" s="14"/>
    </row>
    <row r="962">
      <c r="C962" s="100"/>
      <c r="D962" s="100"/>
      <c r="G962" s="50"/>
      <c r="H962" s="100"/>
      <c r="I962" s="100"/>
      <c r="J962" s="100"/>
      <c r="S962" s="14"/>
      <c r="T962" s="14"/>
      <c r="U962" s="14"/>
      <c r="V962" s="14"/>
      <c r="W962" s="14"/>
      <c r="X962" s="14"/>
      <c r="Y962" s="14"/>
      <c r="Z962" s="14"/>
      <c r="AA962" s="14"/>
      <c r="AB962" s="14"/>
    </row>
    <row r="963">
      <c r="C963" s="100"/>
      <c r="D963" s="100"/>
      <c r="G963" s="50"/>
      <c r="H963" s="100"/>
      <c r="I963" s="100"/>
      <c r="J963" s="100"/>
      <c r="S963" s="14"/>
      <c r="T963" s="14"/>
      <c r="U963" s="14"/>
      <c r="V963" s="14"/>
      <c r="W963" s="14"/>
      <c r="X963" s="14"/>
      <c r="Y963" s="14"/>
      <c r="Z963" s="14"/>
      <c r="AA963" s="14"/>
      <c r="AB963" s="14"/>
    </row>
    <row r="964">
      <c r="C964" s="100"/>
      <c r="D964" s="100"/>
      <c r="G964" s="50"/>
      <c r="H964" s="100"/>
      <c r="I964" s="100"/>
      <c r="J964" s="100"/>
      <c r="S964" s="14"/>
      <c r="T964" s="14"/>
      <c r="U964" s="14"/>
      <c r="V964" s="14"/>
      <c r="W964" s="14"/>
      <c r="X964" s="14"/>
      <c r="Y964" s="14"/>
      <c r="Z964" s="14"/>
      <c r="AA964" s="14"/>
      <c r="AB964" s="14"/>
    </row>
    <row r="965">
      <c r="C965" s="100"/>
      <c r="D965" s="100"/>
      <c r="G965" s="50"/>
      <c r="H965" s="100"/>
      <c r="I965" s="100"/>
      <c r="J965" s="100"/>
      <c r="S965" s="14"/>
      <c r="T965" s="14"/>
      <c r="U965" s="14"/>
      <c r="V965" s="14"/>
      <c r="W965" s="14"/>
      <c r="X965" s="14"/>
      <c r="Y965" s="14"/>
      <c r="Z965" s="14"/>
      <c r="AA965" s="14"/>
      <c r="AB965" s="14"/>
    </row>
    <row r="966">
      <c r="C966" s="100"/>
      <c r="D966" s="100"/>
      <c r="G966" s="50"/>
      <c r="H966" s="100"/>
      <c r="I966" s="100"/>
      <c r="J966" s="100"/>
      <c r="S966" s="14"/>
      <c r="T966" s="14"/>
      <c r="U966" s="14"/>
      <c r="V966" s="14"/>
      <c r="W966" s="14"/>
      <c r="X966" s="14"/>
      <c r="Y966" s="14"/>
      <c r="Z966" s="14"/>
      <c r="AA966" s="14"/>
      <c r="AB966" s="14"/>
    </row>
    <row r="967">
      <c r="C967" s="100"/>
      <c r="D967" s="100"/>
      <c r="G967" s="50"/>
      <c r="H967" s="100"/>
      <c r="I967" s="100"/>
      <c r="J967" s="100"/>
      <c r="S967" s="14"/>
      <c r="T967" s="14"/>
      <c r="U967" s="14"/>
      <c r="V967" s="14"/>
      <c r="W967" s="14"/>
      <c r="X967" s="14"/>
      <c r="Y967" s="14"/>
      <c r="Z967" s="14"/>
      <c r="AA967" s="14"/>
      <c r="AB967" s="14"/>
    </row>
    <row r="968">
      <c r="C968" s="100"/>
      <c r="D968" s="100"/>
      <c r="G968" s="50"/>
      <c r="H968" s="100"/>
      <c r="I968" s="100"/>
      <c r="J968" s="100"/>
      <c r="S968" s="14"/>
      <c r="T968" s="14"/>
      <c r="U968" s="14"/>
      <c r="V968" s="14"/>
      <c r="W968" s="14"/>
      <c r="X968" s="14"/>
      <c r="Y968" s="14"/>
      <c r="Z968" s="14"/>
      <c r="AA968" s="14"/>
      <c r="AB968" s="14"/>
    </row>
    <row r="969">
      <c r="C969" s="100"/>
      <c r="D969" s="100"/>
      <c r="G969" s="50"/>
      <c r="H969" s="100"/>
      <c r="I969" s="100"/>
      <c r="J969" s="100"/>
      <c r="S969" s="14"/>
      <c r="T969" s="14"/>
      <c r="U969" s="14"/>
      <c r="V969" s="14"/>
      <c r="W969" s="14"/>
      <c r="X969" s="14"/>
      <c r="Y969" s="14"/>
      <c r="Z969" s="14"/>
      <c r="AA969" s="14"/>
      <c r="AB969" s="14"/>
    </row>
    <row r="970">
      <c r="C970" s="100"/>
      <c r="D970" s="100"/>
      <c r="G970" s="50"/>
      <c r="H970" s="100"/>
      <c r="I970" s="100"/>
      <c r="J970" s="100"/>
      <c r="S970" s="14"/>
      <c r="T970" s="14"/>
      <c r="U970" s="14"/>
      <c r="V970" s="14"/>
      <c r="W970" s="14"/>
      <c r="X970" s="14"/>
      <c r="Y970" s="14"/>
      <c r="Z970" s="14"/>
      <c r="AA970" s="14"/>
      <c r="AB970" s="14"/>
    </row>
    <row r="971">
      <c r="C971" s="100"/>
      <c r="D971" s="100"/>
      <c r="G971" s="50"/>
      <c r="H971" s="100"/>
      <c r="I971" s="100"/>
      <c r="J971" s="100"/>
      <c r="S971" s="14"/>
      <c r="T971" s="14"/>
      <c r="U971" s="14"/>
      <c r="V971" s="14"/>
      <c r="W971" s="14"/>
      <c r="X971" s="14"/>
      <c r="Y971" s="14"/>
      <c r="Z971" s="14"/>
      <c r="AA971" s="14"/>
      <c r="AB971" s="14"/>
    </row>
    <row r="972">
      <c r="C972" s="100"/>
      <c r="D972" s="100"/>
      <c r="G972" s="50"/>
      <c r="H972" s="100"/>
      <c r="I972" s="100"/>
      <c r="J972" s="100"/>
      <c r="S972" s="14"/>
      <c r="T972" s="14"/>
      <c r="U972" s="14"/>
      <c r="V972" s="14"/>
      <c r="W972" s="14"/>
      <c r="X972" s="14"/>
      <c r="Y972" s="14"/>
      <c r="Z972" s="14"/>
      <c r="AA972" s="14"/>
      <c r="AB972" s="14"/>
    </row>
    <row r="973">
      <c r="C973" s="100"/>
      <c r="D973" s="100"/>
      <c r="G973" s="50"/>
      <c r="H973" s="100"/>
      <c r="I973" s="100"/>
      <c r="J973" s="100"/>
      <c r="S973" s="14"/>
      <c r="T973" s="14"/>
      <c r="U973" s="14"/>
      <c r="V973" s="14"/>
      <c r="W973" s="14"/>
      <c r="X973" s="14"/>
      <c r="Y973" s="14"/>
      <c r="Z973" s="14"/>
      <c r="AA973" s="14"/>
      <c r="AB973" s="14"/>
    </row>
    <row r="974">
      <c r="C974" s="100"/>
      <c r="D974" s="100"/>
      <c r="G974" s="50"/>
      <c r="H974" s="100"/>
      <c r="I974" s="100"/>
      <c r="J974" s="100"/>
      <c r="S974" s="14"/>
      <c r="T974" s="14"/>
      <c r="U974" s="14"/>
      <c r="V974" s="14"/>
      <c r="W974" s="14"/>
      <c r="X974" s="14"/>
      <c r="Y974" s="14"/>
      <c r="Z974" s="14"/>
      <c r="AA974" s="14"/>
      <c r="AB974" s="14"/>
    </row>
    <row r="975">
      <c r="C975" s="100"/>
      <c r="D975" s="100"/>
      <c r="G975" s="50"/>
      <c r="H975" s="100"/>
      <c r="I975" s="100"/>
      <c r="J975" s="100"/>
      <c r="S975" s="14"/>
      <c r="T975" s="14"/>
      <c r="U975" s="14"/>
      <c r="V975" s="14"/>
      <c r="W975" s="14"/>
      <c r="X975" s="14"/>
      <c r="Y975" s="14"/>
      <c r="Z975" s="14"/>
      <c r="AA975" s="14"/>
      <c r="AB975" s="14"/>
    </row>
    <row r="976">
      <c r="C976" s="100"/>
      <c r="D976" s="100"/>
      <c r="G976" s="50"/>
      <c r="H976" s="100"/>
      <c r="I976" s="100"/>
      <c r="J976" s="100"/>
      <c r="S976" s="14"/>
      <c r="T976" s="14"/>
      <c r="U976" s="14"/>
      <c r="V976" s="14"/>
      <c r="W976" s="14"/>
      <c r="X976" s="14"/>
      <c r="Y976" s="14"/>
      <c r="Z976" s="14"/>
      <c r="AA976" s="14"/>
      <c r="AB976" s="14"/>
    </row>
    <row r="977">
      <c r="C977" s="100"/>
      <c r="D977" s="100"/>
      <c r="G977" s="50"/>
      <c r="H977" s="100"/>
      <c r="I977" s="100"/>
      <c r="J977" s="100"/>
      <c r="S977" s="14"/>
      <c r="T977" s="14"/>
      <c r="U977" s="14"/>
      <c r="V977" s="14"/>
      <c r="W977" s="14"/>
      <c r="X977" s="14"/>
      <c r="Y977" s="14"/>
      <c r="Z977" s="14"/>
      <c r="AA977" s="14"/>
      <c r="AB977" s="14"/>
    </row>
    <row r="978">
      <c r="C978" s="100"/>
      <c r="D978" s="100"/>
      <c r="G978" s="50"/>
      <c r="H978" s="100"/>
      <c r="I978" s="100"/>
      <c r="J978" s="100"/>
      <c r="S978" s="14"/>
      <c r="T978" s="14"/>
      <c r="U978" s="14"/>
      <c r="V978" s="14"/>
      <c r="W978" s="14"/>
      <c r="X978" s="14"/>
      <c r="Y978" s="14"/>
      <c r="Z978" s="14"/>
      <c r="AA978" s="14"/>
      <c r="AB978" s="14"/>
    </row>
    <row r="979">
      <c r="C979" s="100"/>
      <c r="D979" s="100"/>
      <c r="G979" s="50"/>
      <c r="H979" s="100"/>
      <c r="I979" s="100"/>
      <c r="J979" s="100"/>
      <c r="S979" s="14"/>
      <c r="T979" s="14"/>
      <c r="U979" s="14"/>
      <c r="V979" s="14"/>
      <c r="W979" s="14"/>
      <c r="X979" s="14"/>
      <c r="Y979" s="14"/>
      <c r="Z979" s="14"/>
      <c r="AA979" s="14"/>
      <c r="AB979" s="14"/>
    </row>
    <row r="980">
      <c r="C980" s="100"/>
      <c r="D980" s="100"/>
      <c r="G980" s="50"/>
      <c r="H980" s="100"/>
      <c r="I980" s="100"/>
      <c r="J980" s="100"/>
      <c r="S980" s="14"/>
      <c r="T980" s="14"/>
      <c r="U980" s="14"/>
      <c r="V980" s="14"/>
      <c r="W980" s="14"/>
      <c r="X980" s="14"/>
      <c r="Y980" s="14"/>
      <c r="Z980" s="14"/>
      <c r="AA980" s="14"/>
      <c r="AB980" s="14"/>
    </row>
    <row r="981">
      <c r="C981" s="100"/>
      <c r="D981" s="100"/>
      <c r="G981" s="50"/>
      <c r="H981" s="100"/>
      <c r="I981" s="100"/>
      <c r="J981" s="100"/>
      <c r="S981" s="14"/>
      <c r="T981" s="14"/>
      <c r="U981" s="14"/>
      <c r="V981" s="14"/>
      <c r="W981" s="14"/>
      <c r="X981" s="14"/>
      <c r="Y981" s="14"/>
      <c r="Z981" s="14"/>
      <c r="AA981" s="14"/>
      <c r="AB981" s="14"/>
    </row>
    <row r="982">
      <c r="C982" s="100"/>
      <c r="D982" s="100"/>
      <c r="G982" s="50"/>
      <c r="H982" s="100"/>
      <c r="I982" s="100"/>
      <c r="J982" s="100"/>
      <c r="S982" s="14"/>
      <c r="T982" s="14"/>
      <c r="U982" s="14"/>
      <c r="V982" s="14"/>
      <c r="W982" s="14"/>
      <c r="X982" s="14"/>
      <c r="Y982" s="14"/>
      <c r="Z982" s="14"/>
      <c r="AA982" s="14"/>
      <c r="AB982" s="14"/>
    </row>
    <row r="983">
      <c r="C983" s="100"/>
      <c r="D983" s="100"/>
      <c r="G983" s="50"/>
      <c r="H983" s="100"/>
      <c r="I983" s="100"/>
      <c r="J983" s="100"/>
      <c r="S983" s="14"/>
      <c r="T983" s="14"/>
      <c r="U983" s="14"/>
      <c r="V983" s="14"/>
      <c r="W983" s="14"/>
      <c r="X983" s="14"/>
      <c r="Y983" s="14"/>
      <c r="Z983" s="14"/>
      <c r="AA983" s="14"/>
      <c r="AB983" s="14"/>
    </row>
    <row r="984">
      <c r="C984" s="100"/>
      <c r="D984" s="100"/>
      <c r="G984" s="50"/>
      <c r="H984" s="100"/>
      <c r="I984" s="100"/>
      <c r="J984" s="100"/>
      <c r="S984" s="14"/>
      <c r="T984" s="14"/>
      <c r="U984" s="14"/>
      <c r="V984" s="14"/>
      <c r="W984" s="14"/>
      <c r="X984" s="14"/>
      <c r="Y984" s="14"/>
      <c r="Z984" s="14"/>
      <c r="AA984" s="14"/>
      <c r="AB984" s="14"/>
    </row>
    <row r="985">
      <c r="C985" s="100"/>
      <c r="D985" s="100"/>
      <c r="G985" s="50"/>
      <c r="H985" s="100"/>
      <c r="I985" s="100"/>
      <c r="J985" s="100"/>
      <c r="S985" s="14"/>
      <c r="T985" s="14"/>
      <c r="U985" s="14"/>
      <c r="V985" s="14"/>
      <c r="W985" s="14"/>
      <c r="X985" s="14"/>
      <c r="Y985" s="14"/>
      <c r="Z985" s="14"/>
      <c r="AA985" s="14"/>
      <c r="AB985" s="14"/>
    </row>
    <row r="986">
      <c r="C986" s="100"/>
      <c r="D986" s="100"/>
      <c r="G986" s="50"/>
      <c r="H986" s="100"/>
      <c r="I986" s="100"/>
      <c r="J986" s="100"/>
      <c r="S986" s="14"/>
      <c r="T986" s="14"/>
      <c r="U986" s="14"/>
      <c r="V986" s="14"/>
      <c r="W986" s="14"/>
      <c r="X986" s="14"/>
      <c r="Y986" s="14"/>
      <c r="Z986" s="14"/>
      <c r="AA986" s="14"/>
      <c r="AB986" s="14"/>
    </row>
    <row r="987">
      <c r="C987" s="100"/>
      <c r="D987" s="100"/>
      <c r="G987" s="50"/>
      <c r="H987" s="100"/>
      <c r="I987" s="100"/>
      <c r="J987" s="100"/>
      <c r="S987" s="14"/>
      <c r="T987" s="14"/>
      <c r="U987" s="14"/>
      <c r="V987" s="14"/>
      <c r="W987" s="14"/>
      <c r="X987" s="14"/>
      <c r="Y987" s="14"/>
      <c r="Z987" s="14"/>
      <c r="AA987" s="14"/>
      <c r="AB987" s="14"/>
    </row>
  </sheetData>
  <autoFilter ref="$A$1:$AB$348">
    <filterColumn colId="2">
      <filters>
        <filter val="1"/>
      </filters>
    </filterColumn>
    <sortState ref="A1:AB348">
      <sortCondition ref="B1:B348"/>
      <sortCondition ref="J1:J348"/>
      <sortCondition ref="A1:A348"/>
    </sortState>
  </autoFilter>
  <conditionalFormatting sqref="B2:B342 B344:B987">
    <cfRule type="cellIs" dxfId="0" priority="1" operator="equal">
      <formula>"Void"</formula>
    </cfRule>
  </conditionalFormatting>
  <conditionalFormatting sqref="B2:B342 B344:B987">
    <cfRule type="cellIs" dxfId="1" priority="2" operator="equal">
      <formula>"Divine"</formula>
    </cfRule>
  </conditionalFormatting>
  <conditionalFormatting sqref="B2:B342 B344:B987">
    <cfRule type="cellIs" dxfId="2" priority="3" operator="equal">
      <formula>"Mortal"</formula>
    </cfRule>
  </conditionalFormatting>
  <conditionalFormatting sqref="B2:B342 B344:B987">
    <cfRule type="cellIs" dxfId="3" priority="4" operator="equal">
      <formula>"Elemental"</formula>
    </cfRule>
  </conditionalFormatting>
  <conditionalFormatting sqref="B2:B342 B344:B987">
    <cfRule type="cellIs" dxfId="4" priority="5" operator="equal">
      <formula>"Nature"</formula>
    </cfRule>
  </conditionalFormatting>
  <conditionalFormatting sqref="S2:AB987">
    <cfRule type="notContainsBlanks" dxfId="5" priority="6">
      <formula>LEN(TRIM(S2))&gt;0</formula>
    </cfRule>
  </conditionalFormatting>
  <dataValidations>
    <dataValidation type="custom" allowBlank="1" showDropDown="1" showErrorMessage="1" sqref="S2:AB82 S84:AB987">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T12"/>
    <hyperlink r:id="rId11" ref="U12"/>
    <hyperlink r:id="rId12" ref="S13"/>
    <hyperlink r:id="rId13" ref="T13"/>
    <hyperlink r:id="rId14" ref="S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T40"/>
    <hyperlink r:id="rId31" ref="S41"/>
    <hyperlink r:id="rId32" ref="S43"/>
    <hyperlink r:id="rId33" ref="S48"/>
    <hyperlink r:id="rId34" ref="S52"/>
    <hyperlink r:id="rId35" ref="S53"/>
    <hyperlink r:id="rId36" ref="S57"/>
    <hyperlink r:id="rId37" ref="S58"/>
    <hyperlink r:id="rId38" ref="S59"/>
    <hyperlink r:id="rId39" ref="S64"/>
    <hyperlink r:id="rId40" ref="S66"/>
    <hyperlink r:id="rId41" ref="S69"/>
    <hyperlink r:id="rId42" ref="T69"/>
    <hyperlink r:id="rId43" ref="U69"/>
    <hyperlink r:id="rId44" ref="S71"/>
    <hyperlink r:id="rId45" ref="T71"/>
    <hyperlink r:id="rId46" ref="U71"/>
    <hyperlink r:id="rId47" ref="V71"/>
    <hyperlink r:id="rId48" ref="W71"/>
    <hyperlink r:id="rId49" ref="X71"/>
    <hyperlink r:id="rId50" ref="Y71"/>
    <hyperlink r:id="rId51" ref="Z71"/>
    <hyperlink r:id="rId52" ref="AA71"/>
    <hyperlink r:id="rId53" ref="AB71"/>
    <hyperlink r:id="rId54" ref="S72"/>
    <hyperlink r:id="rId55" ref="T72"/>
    <hyperlink r:id="rId56" ref="U72"/>
    <hyperlink r:id="rId57" ref="V72"/>
    <hyperlink r:id="rId58" ref="W72"/>
    <hyperlink r:id="rId59" ref="X72"/>
    <hyperlink r:id="rId60" ref="Y72"/>
    <hyperlink r:id="rId61" ref="Z72"/>
    <hyperlink r:id="rId62" ref="AA72"/>
    <hyperlink r:id="rId63" ref="AB72"/>
    <hyperlink r:id="rId64" ref="S74"/>
    <hyperlink r:id="rId65" ref="T74"/>
    <hyperlink r:id="rId66" ref="U74"/>
    <hyperlink r:id="rId67" ref="V74"/>
    <hyperlink r:id="rId68" ref="W74"/>
    <hyperlink r:id="rId69" ref="X74"/>
    <hyperlink r:id="rId70" ref="Y74"/>
    <hyperlink r:id="rId71" ref="S76"/>
    <hyperlink r:id="rId72" ref="T76"/>
    <hyperlink r:id="rId73" ref="U76"/>
    <hyperlink r:id="rId74" ref="V76"/>
    <hyperlink r:id="rId75" ref="W76"/>
    <hyperlink r:id="rId76" ref="X76"/>
    <hyperlink r:id="rId77" ref="Y76"/>
    <hyperlink r:id="rId78" ref="Z76"/>
    <hyperlink r:id="rId79" ref="AA76"/>
    <hyperlink r:id="rId80" ref="AB76"/>
    <hyperlink r:id="rId81" ref="S80"/>
    <hyperlink r:id="rId82" ref="T80"/>
    <hyperlink r:id="rId83" ref="U80"/>
    <hyperlink r:id="rId84" ref="V80"/>
    <hyperlink r:id="rId85" ref="W80"/>
    <hyperlink r:id="rId86" ref="X80"/>
    <hyperlink r:id="rId87" ref="Y80"/>
    <hyperlink r:id="rId88" ref="Z80"/>
    <hyperlink r:id="rId89" ref="AA80"/>
    <hyperlink r:id="rId90" ref="AB80"/>
    <hyperlink r:id="rId91" ref="S82"/>
    <hyperlink r:id="rId92" ref="T82"/>
    <hyperlink r:id="rId93" ref="U82"/>
    <hyperlink r:id="rId94" ref="V82"/>
    <hyperlink r:id="rId95" ref="W82"/>
    <hyperlink r:id="rId96" ref="X82"/>
    <hyperlink r:id="rId97" ref="Y82"/>
    <hyperlink r:id="rId98" ref="Z82"/>
    <hyperlink r:id="rId99" ref="AA82"/>
    <hyperlink r:id="rId100" ref="AB82"/>
    <hyperlink r:id="rId101" ref="S83"/>
    <hyperlink r:id="rId102" ref="T83"/>
    <hyperlink r:id="rId103" ref="U83"/>
    <hyperlink r:id="rId104" ref="V83"/>
    <hyperlink r:id="rId105" ref="W83"/>
    <hyperlink r:id="rId106" ref="X83"/>
    <hyperlink r:id="rId107" ref="Y83"/>
    <hyperlink r:id="rId108" ref="Z83"/>
    <hyperlink r:id="rId109" ref="AA83"/>
    <hyperlink r:id="rId110" ref="AB83"/>
    <hyperlink r:id="rId111" ref="S84"/>
    <hyperlink r:id="rId112" ref="T84"/>
    <hyperlink r:id="rId113" ref="U84"/>
    <hyperlink r:id="rId114" ref="V84"/>
    <hyperlink r:id="rId115" ref="W84"/>
    <hyperlink r:id="rId116" ref="X84"/>
    <hyperlink r:id="rId117" ref="Y84"/>
    <hyperlink r:id="rId118" ref="Z84"/>
    <hyperlink r:id="rId119" ref="AA84"/>
    <hyperlink r:id="rId120" ref="AB84"/>
    <hyperlink r:id="rId121" ref="S85"/>
    <hyperlink r:id="rId122" ref="T85"/>
    <hyperlink r:id="rId123" ref="U85"/>
    <hyperlink r:id="rId124" ref="V85"/>
    <hyperlink r:id="rId125" ref="W85"/>
    <hyperlink r:id="rId126" ref="X85"/>
    <hyperlink r:id="rId127" ref="Y85"/>
    <hyperlink r:id="rId128" ref="Z85"/>
    <hyperlink r:id="rId129" ref="AA85"/>
    <hyperlink r:id="rId130" ref="AB85"/>
    <hyperlink r:id="rId131" ref="S86"/>
    <hyperlink r:id="rId132" ref="T86"/>
    <hyperlink r:id="rId133" ref="U86"/>
    <hyperlink r:id="rId134" ref="V86"/>
    <hyperlink r:id="rId135" ref="S87"/>
    <hyperlink r:id="rId136" ref="T87"/>
    <hyperlink r:id="rId137" ref="U87"/>
    <hyperlink r:id="rId138" ref="V87"/>
    <hyperlink r:id="rId139" ref="W87"/>
    <hyperlink r:id="rId140" ref="X87"/>
    <hyperlink r:id="rId141" ref="Y87"/>
    <hyperlink r:id="rId142" ref="Z87"/>
    <hyperlink r:id="rId143" ref="AA87"/>
    <hyperlink r:id="rId144" ref="AB87"/>
    <hyperlink r:id="rId145" ref="S90"/>
    <hyperlink r:id="rId146" ref="T90"/>
    <hyperlink r:id="rId147" ref="U90"/>
    <hyperlink r:id="rId148" ref="V90"/>
    <hyperlink r:id="rId149" ref="W90"/>
    <hyperlink r:id="rId150" ref="X90"/>
    <hyperlink r:id="rId151" ref="Y90"/>
    <hyperlink r:id="rId152" ref="Z90"/>
    <hyperlink r:id="rId153" ref="AA90"/>
    <hyperlink r:id="rId154" ref="AB90"/>
    <hyperlink r:id="rId155" ref="S91"/>
    <hyperlink r:id="rId156" ref="T91"/>
    <hyperlink r:id="rId157" ref="U91"/>
    <hyperlink r:id="rId158" ref="V91"/>
    <hyperlink r:id="rId159" ref="W91"/>
    <hyperlink r:id="rId160" ref="X91"/>
    <hyperlink r:id="rId161" ref="Y91"/>
    <hyperlink r:id="rId162" ref="Z91"/>
    <hyperlink r:id="rId163" ref="AA91"/>
    <hyperlink r:id="rId164" ref="AB91"/>
    <hyperlink r:id="rId165" ref="S92"/>
    <hyperlink r:id="rId166" ref="T92"/>
    <hyperlink r:id="rId167" ref="U92"/>
    <hyperlink r:id="rId168" ref="V92"/>
    <hyperlink r:id="rId169" ref="W92"/>
    <hyperlink r:id="rId170" ref="X92"/>
    <hyperlink r:id="rId171" ref="Y92"/>
    <hyperlink r:id="rId172" ref="Z92"/>
    <hyperlink r:id="rId173" ref="AA92"/>
    <hyperlink r:id="rId174" ref="AB92"/>
    <hyperlink r:id="rId175" ref="S93"/>
    <hyperlink r:id="rId176" ref="T93"/>
    <hyperlink r:id="rId177" ref="U93"/>
    <hyperlink r:id="rId178" ref="V93"/>
    <hyperlink r:id="rId179" ref="W93"/>
    <hyperlink r:id="rId180" ref="X93"/>
    <hyperlink r:id="rId181" ref="Y93"/>
    <hyperlink r:id="rId182" ref="Z93"/>
    <hyperlink r:id="rId183" ref="AA93"/>
    <hyperlink r:id="rId184" ref="AB93"/>
    <hyperlink r:id="rId185" ref="S97"/>
    <hyperlink r:id="rId186" ref="T97"/>
    <hyperlink r:id="rId187" ref="U97"/>
    <hyperlink r:id="rId188" ref="V97"/>
    <hyperlink r:id="rId189" ref="W97"/>
    <hyperlink r:id="rId190" ref="X97"/>
    <hyperlink r:id="rId191" ref="Y97"/>
    <hyperlink r:id="rId192" ref="Z97"/>
    <hyperlink r:id="rId193" ref="AA97"/>
    <hyperlink r:id="rId194" ref="AB97"/>
    <hyperlink r:id="rId195" ref="S98"/>
    <hyperlink r:id="rId196" ref="T98"/>
    <hyperlink r:id="rId197" ref="U98"/>
    <hyperlink r:id="rId198" ref="V98"/>
    <hyperlink r:id="rId199" ref="W98"/>
    <hyperlink r:id="rId200" ref="X98"/>
    <hyperlink r:id="rId201" ref="Y98"/>
    <hyperlink r:id="rId202" ref="Z98"/>
    <hyperlink r:id="rId203" ref="AA98"/>
    <hyperlink r:id="rId204" ref="AB98"/>
    <hyperlink r:id="rId205" ref="S99"/>
    <hyperlink r:id="rId206" ref="T99"/>
    <hyperlink r:id="rId207" ref="U99"/>
    <hyperlink r:id="rId208" ref="V99"/>
    <hyperlink r:id="rId209" ref="W99"/>
    <hyperlink r:id="rId210" ref="X99"/>
    <hyperlink r:id="rId211" ref="Y99"/>
    <hyperlink r:id="rId212" ref="Z99"/>
    <hyperlink r:id="rId213" ref="AA99"/>
    <hyperlink r:id="rId214" ref="AB99"/>
    <hyperlink r:id="rId215" ref="S101"/>
    <hyperlink r:id="rId216" ref="T101"/>
    <hyperlink r:id="rId217" ref="U101"/>
    <hyperlink r:id="rId218" ref="V101"/>
    <hyperlink r:id="rId219" ref="W101"/>
    <hyperlink r:id="rId220" ref="X101"/>
    <hyperlink r:id="rId221" ref="Y101"/>
    <hyperlink r:id="rId222" ref="Z101"/>
    <hyperlink r:id="rId223" ref="AA101"/>
    <hyperlink r:id="rId224" ref="AB101"/>
    <hyperlink r:id="rId225" ref="S108"/>
    <hyperlink r:id="rId226" ref="T108"/>
    <hyperlink r:id="rId227" ref="U108"/>
    <hyperlink r:id="rId228" ref="V108"/>
    <hyperlink r:id="rId229" ref="W108"/>
    <hyperlink r:id="rId230" ref="X108"/>
    <hyperlink r:id="rId231" ref="Y108"/>
    <hyperlink r:id="rId232" ref="Z108"/>
    <hyperlink r:id="rId233" ref="AA108"/>
    <hyperlink r:id="rId234" ref="AB108"/>
    <hyperlink r:id="rId235" ref="S109"/>
    <hyperlink r:id="rId236" ref="T109"/>
    <hyperlink r:id="rId237" ref="U109"/>
    <hyperlink r:id="rId238" ref="V109"/>
    <hyperlink r:id="rId239" ref="W109"/>
    <hyperlink r:id="rId240" ref="X109"/>
    <hyperlink r:id="rId241" ref="Y109"/>
    <hyperlink r:id="rId242" ref="Z109"/>
    <hyperlink r:id="rId243" ref="AA109"/>
    <hyperlink r:id="rId244" ref="AB109"/>
    <hyperlink r:id="rId245" ref="S111"/>
    <hyperlink r:id="rId246" ref="T111"/>
    <hyperlink r:id="rId247" ref="U111"/>
    <hyperlink r:id="rId248" ref="V111"/>
    <hyperlink r:id="rId249" ref="W111"/>
    <hyperlink r:id="rId250" ref="S112"/>
    <hyperlink r:id="rId251" ref="T112"/>
    <hyperlink r:id="rId252" ref="U112"/>
    <hyperlink r:id="rId253" ref="V112"/>
    <hyperlink r:id="rId254" ref="W112"/>
    <hyperlink r:id="rId255" ref="X112"/>
    <hyperlink r:id="rId256" ref="Y112"/>
    <hyperlink r:id="rId257" ref="Z112"/>
    <hyperlink r:id="rId258" ref="AA112"/>
    <hyperlink r:id="rId259" ref="AB112"/>
    <hyperlink r:id="rId260" ref="S115"/>
    <hyperlink r:id="rId261" ref="T115"/>
    <hyperlink r:id="rId262" ref="U115"/>
    <hyperlink r:id="rId263" ref="V115"/>
    <hyperlink r:id="rId264" ref="W115"/>
    <hyperlink r:id="rId265" ref="X115"/>
    <hyperlink r:id="rId266" ref="Y115"/>
    <hyperlink r:id="rId267" ref="Z115"/>
    <hyperlink r:id="rId268" ref="AA115"/>
    <hyperlink r:id="rId269" ref="AB115"/>
    <hyperlink r:id="rId270" ref="S116"/>
    <hyperlink r:id="rId271" ref="T116"/>
    <hyperlink r:id="rId272" ref="U116"/>
    <hyperlink r:id="rId273" ref="V116"/>
    <hyperlink r:id="rId274" ref="W116"/>
    <hyperlink r:id="rId275" ref="X116"/>
    <hyperlink r:id="rId276" ref="Y116"/>
    <hyperlink r:id="rId277" ref="Z116"/>
    <hyperlink r:id="rId278" ref="AA116"/>
    <hyperlink r:id="rId279" ref="AB116"/>
    <hyperlink r:id="rId280" ref="S117"/>
    <hyperlink r:id="rId281" ref="T117"/>
    <hyperlink r:id="rId282" ref="U117"/>
    <hyperlink r:id="rId283" ref="V117"/>
    <hyperlink r:id="rId284" ref="W117"/>
    <hyperlink r:id="rId285" ref="X117"/>
    <hyperlink r:id="rId286" ref="Y117"/>
    <hyperlink r:id="rId287" ref="Z117"/>
    <hyperlink r:id="rId288" ref="AA117"/>
    <hyperlink r:id="rId289" ref="AB117"/>
    <hyperlink r:id="rId290" ref="S119"/>
    <hyperlink r:id="rId291" ref="T119"/>
    <hyperlink r:id="rId292" ref="U119"/>
    <hyperlink r:id="rId293" ref="V119"/>
    <hyperlink r:id="rId294" ref="W119"/>
    <hyperlink r:id="rId295" ref="X119"/>
    <hyperlink r:id="rId296" ref="Y119"/>
    <hyperlink r:id="rId297" ref="Z119"/>
    <hyperlink r:id="rId298" ref="AA119"/>
    <hyperlink r:id="rId299" ref="AB119"/>
    <hyperlink r:id="rId300" ref="S123"/>
    <hyperlink r:id="rId301" ref="T123"/>
    <hyperlink r:id="rId302" ref="U123"/>
    <hyperlink r:id="rId303" ref="V123"/>
    <hyperlink r:id="rId304" ref="W123"/>
    <hyperlink r:id="rId305" ref="X123"/>
    <hyperlink r:id="rId306" ref="Y123"/>
    <hyperlink r:id="rId307" ref="Z123"/>
    <hyperlink r:id="rId308" ref="AA123"/>
    <hyperlink r:id="rId309" ref="AB123"/>
    <hyperlink r:id="rId310" ref="S126"/>
    <hyperlink r:id="rId311" ref="T126"/>
    <hyperlink r:id="rId312" ref="U126"/>
    <hyperlink r:id="rId313" ref="V126"/>
    <hyperlink r:id="rId314" ref="W126"/>
    <hyperlink r:id="rId315" ref="X126"/>
    <hyperlink r:id="rId316" ref="S129"/>
    <hyperlink r:id="rId317" ref="T129"/>
    <hyperlink r:id="rId318" ref="U129"/>
    <hyperlink r:id="rId319" ref="V129"/>
    <hyperlink r:id="rId320" ref="W129"/>
    <hyperlink r:id="rId321" ref="X129"/>
    <hyperlink r:id="rId322" ref="Y129"/>
    <hyperlink r:id="rId323" ref="Z129"/>
    <hyperlink r:id="rId324" ref="AA129"/>
    <hyperlink r:id="rId325" ref="AB129"/>
    <hyperlink r:id="rId326" ref="S130"/>
    <hyperlink r:id="rId327" ref="T130"/>
    <hyperlink r:id="rId328" ref="U130"/>
    <hyperlink r:id="rId329" ref="V130"/>
    <hyperlink r:id="rId330" ref="W130"/>
    <hyperlink r:id="rId331" ref="X130"/>
    <hyperlink r:id="rId332" ref="S131"/>
    <hyperlink r:id="rId333" ref="T131"/>
    <hyperlink r:id="rId334" ref="U131"/>
    <hyperlink r:id="rId335" ref="V131"/>
    <hyperlink r:id="rId336" ref="W131"/>
    <hyperlink r:id="rId337" ref="X131"/>
    <hyperlink r:id="rId338" ref="Y131"/>
    <hyperlink r:id="rId339" ref="S133"/>
    <hyperlink r:id="rId340" ref="T133"/>
    <hyperlink r:id="rId341" ref="U133"/>
    <hyperlink r:id="rId342" ref="V133"/>
    <hyperlink r:id="rId343" ref="W133"/>
    <hyperlink r:id="rId344" ref="X133"/>
    <hyperlink r:id="rId345" ref="Y133"/>
    <hyperlink r:id="rId346" ref="Z133"/>
    <hyperlink r:id="rId347" ref="AA133"/>
    <hyperlink r:id="rId348" ref="AB133"/>
    <hyperlink r:id="rId349" ref="S135"/>
    <hyperlink r:id="rId350" ref="T135"/>
    <hyperlink r:id="rId351" ref="U135"/>
    <hyperlink r:id="rId352" ref="V135"/>
    <hyperlink r:id="rId353" ref="W135"/>
    <hyperlink r:id="rId354" ref="X135"/>
    <hyperlink r:id="rId355" ref="Y135"/>
    <hyperlink r:id="rId356" ref="Z135"/>
    <hyperlink r:id="rId357" ref="S138"/>
    <hyperlink r:id="rId358" ref="T138"/>
    <hyperlink r:id="rId359" ref="U138"/>
    <hyperlink r:id="rId360" ref="V138"/>
    <hyperlink r:id="rId361" ref="W138"/>
    <hyperlink r:id="rId362" ref="X138"/>
    <hyperlink r:id="rId363" ref="Y138"/>
    <hyperlink r:id="rId364" ref="Z138"/>
    <hyperlink r:id="rId365" ref="AA138"/>
    <hyperlink r:id="rId366" ref="AB138"/>
    <hyperlink r:id="rId367" ref="S141"/>
    <hyperlink r:id="rId368" ref="T141"/>
    <hyperlink r:id="rId369" ref="U141"/>
    <hyperlink r:id="rId370" ref="V141"/>
    <hyperlink r:id="rId371" ref="W141"/>
    <hyperlink r:id="rId372" ref="X141"/>
    <hyperlink r:id="rId373" ref="Y141"/>
    <hyperlink r:id="rId374" ref="Z141"/>
    <hyperlink r:id="rId375" ref="AA141"/>
    <hyperlink r:id="rId376" ref="AB141"/>
    <hyperlink r:id="rId377" ref="S143"/>
    <hyperlink r:id="rId378" ref="T143"/>
    <hyperlink r:id="rId379" ref="U143"/>
    <hyperlink r:id="rId380" ref="V143"/>
    <hyperlink r:id="rId381" ref="W143"/>
    <hyperlink r:id="rId382" ref="X143"/>
    <hyperlink r:id="rId383" ref="Y143"/>
    <hyperlink r:id="rId384" ref="Z143"/>
    <hyperlink r:id="rId385" ref="S147"/>
    <hyperlink r:id="rId386" ref="T147"/>
    <hyperlink r:id="rId387" ref="U147"/>
    <hyperlink r:id="rId388" ref="V147"/>
    <hyperlink r:id="rId389" ref="W147"/>
    <hyperlink r:id="rId390" ref="X147"/>
    <hyperlink r:id="rId391" ref="Y147"/>
    <hyperlink r:id="rId392" ref="Z147"/>
    <hyperlink r:id="rId393" ref="AA147"/>
    <hyperlink r:id="rId394" ref="AB147"/>
    <hyperlink r:id="rId395" ref="S149"/>
    <hyperlink r:id="rId396" ref="T149"/>
    <hyperlink r:id="rId397" ref="U149"/>
    <hyperlink r:id="rId398" ref="V149"/>
    <hyperlink r:id="rId399" ref="W149"/>
    <hyperlink r:id="rId400" ref="X149"/>
    <hyperlink r:id="rId401" ref="S151"/>
    <hyperlink r:id="rId402" ref="T151"/>
    <hyperlink r:id="rId403" ref="U151"/>
    <hyperlink r:id="rId404" ref="V151"/>
    <hyperlink r:id="rId405" ref="W151"/>
    <hyperlink r:id="rId406" ref="X151"/>
    <hyperlink r:id="rId407" ref="Y151"/>
    <hyperlink r:id="rId408" ref="Z151"/>
    <hyperlink r:id="rId409" ref="AA151"/>
    <hyperlink r:id="rId410" ref="AB151"/>
    <hyperlink r:id="rId411" ref="S159"/>
    <hyperlink r:id="rId412" ref="S281"/>
  </hyperlinks>
  <drawing r:id="rId4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15.86"/>
    <col customWidth="1" min="3" max="3" width="22.57"/>
    <col customWidth="1" min="4" max="4" width="95.86"/>
  </cols>
  <sheetData>
    <row r="1">
      <c r="A1" s="191" t="s">
        <v>2038</v>
      </c>
      <c r="B1" s="116"/>
      <c r="C1" s="116"/>
      <c r="D1" s="116"/>
      <c r="E1" s="116"/>
      <c r="F1" s="116"/>
      <c r="G1" s="116"/>
      <c r="H1" s="116"/>
      <c r="I1" s="20"/>
      <c r="J1" s="20"/>
      <c r="K1" s="20"/>
    </row>
    <row r="2">
      <c r="A2" s="116" t="s">
        <v>2021</v>
      </c>
      <c r="B2" s="116" t="s">
        <v>2022</v>
      </c>
      <c r="C2" s="116" t="s">
        <v>2023</v>
      </c>
      <c r="D2" s="116" t="s">
        <v>2024</v>
      </c>
      <c r="E2" s="116" t="s">
        <v>7</v>
      </c>
      <c r="F2" s="116" t="s">
        <v>2025</v>
      </c>
      <c r="G2" s="116" t="s">
        <v>9</v>
      </c>
      <c r="H2" s="116" t="s">
        <v>2026</v>
      </c>
      <c r="I2" s="20" t="s">
        <v>2027</v>
      </c>
      <c r="J2" s="20" t="s">
        <v>2028</v>
      </c>
      <c r="K2" s="20" t="s">
        <v>2029</v>
      </c>
    </row>
    <row r="3">
      <c r="A3" s="38"/>
      <c r="B3" s="196"/>
      <c r="C3" s="197"/>
      <c r="D3" s="38"/>
      <c r="E3" s="197"/>
      <c r="F3" s="197"/>
      <c r="G3" s="197"/>
      <c r="H3" s="196"/>
      <c r="I3" s="196"/>
      <c r="J3" s="14">
        <f t="shared" ref="J3:J23" si="1">H3*E3</f>
        <v>0</v>
      </c>
      <c r="K3" s="20" t="s">
        <v>2037</v>
      </c>
    </row>
    <row r="4">
      <c r="A4" s="198"/>
      <c r="B4" s="198"/>
      <c r="C4" s="199"/>
      <c r="D4" s="198"/>
      <c r="E4" s="199"/>
      <c r="F4" s="199"/>
      <c r="G4" s="199"/>
      <c r="H4" s="196"/>
      <c r="I4" s="196"/>
      <c r="J4" s="14">
        <f t="shared" si="1"/>
        <v>0</v>
      </c>
      <c r="K4" s="20" t="s">
        <v>2037</v>
      </c>
    </row>
    <row r="5">
      <c r="A5" s="198"/>
      <c r="B5" s="198"/>
      <c r="C5" s="199"/>
      <c r="D5" s="196"/>
      <c r="E5" s="199"/>
      <c r="F5" s="199"/>
      <c r="G5" s="199"/>
      <c r="H5" s="196"/>
      <c r="I5" s="196"/>
      <c r="J5" s="14">
        <f t="shared" si="1"/>
        <v>0</v>
      </c>
      <c r="K5" s="20" t="s">
        <v>2037</v>
      </c>
    </row>
    <row r="6">
      <c r="A6" s="198"/>
      <c r="B6" s="198"/>
      <c r="C6" s="199"/>
      <c r="D6" s="38"/>
      <c r="E6" s="199"/>
      <c r="F6" s="199"/>
      <c r="G6" s="199"/>
      <c r="H6" s="196"/>
      <c r="I6" s="196"/>
      <c r="J6" s="14">
        <f t="shared" si="1"/>
        <v>0</v>
      </c>
      <c r="K6" s="20" t="s">
        <v>2037</v>
      </c>
    </row>
    <row r="7">
      <c r="A7" s="198"/>
      <c r="B7" s="198"/>
      <c r="C7" s="199"/>
      <c r="D7" s="198"/>
      <c r="E7" s="199"/>
      <c r="F7" s="199"/>
      <c r="G7" s="199"/>
      <c r="H7" s="196"/>
      <c r="I7" s="196"/>
      <c r="J7" s="14">
        <f t="shared" si="1"/>
        <v>0</v>
      </c>
      <c r="K7" s="20" t="s">
        <v>2037</v>
      </c>
    </row>
    <row r="8">
      <c r="A8" s="198"/>
      <c r="B8" s="198"/>
      <c r="C8" s="199"/>
      <c r="D8" s="196"/>
      <c r="E8" s="199"/>
      <c r="F8" s="199"/>
      <c r="G8" s="199"/>
      <c r="H8" s="196"/>
      <c r="I8" s="196"/>
      <c r="J8" s="14">
        <f t="shared" si="1"/>
        <v>0</v>
      </c>
      <c r="K8" s="20" t="s">
        <v>2037</v>
      </c>
    </row>
    <row r="9">
      <c r="A9" s="200"/>
      <c r="B9" s="198"/>
      <c r="C9" s="199"/>
      <c r="D9" s="198"/>
      <c r="E9" s="199"/>
      <c r="F9" s="199"/>
      <c r="G9" s="199"/>
      <c r="H9" s="196"/>
      <c r="I9" s="196"/>
      <c r="J9" s="14">
        <f t="shared" si="1"/>
        <v>0</v>
      </c>
      <c r="K9" s="20" t="s">
        <v>2037</v>
      </c>
    </row>
    <row r="10">
      <c r="A10" s="201"/>
      <c r="B10" s="198"/>
      <c r="C10" s="199"/>
      <c r="D10" s="198"/>
      <c r="E10" s="199"/>
      <c r="F10" s="199"/>
      <c r="G10" s="202"/>
      <c r="H10" s="196"/>
      <c r="I10" s="196"/>
      <c r="J10" s="14">
        <f t="shared" si="1"/>
        <v>0</v>
      </c>
      <c r="K10" s="20" t="s">
        <v>2037</v>
      </c>
    </row>
    <row r="11">
      <c r="A11" s="200"/>
      <c r="B11" s="198"/>
      <c r="C11" s="199"/>
      <c r="D11" s="198"/>
      <c r="E11" s="199"/>
      <c r="F11" s="199"/>
      <c r="G11" s="199"/>
      <c r="H11" s="196"/>
      <c r="I11" s="196"/>
      <c r="J11" s="14">
        <f t="shared" si="1"/>
        <v>0</v>
      </c>
      <c r="K11" s="20" t="s">
        <v>2037</v>
      </c>
    </row>
    <row r="12">
      <c r="A12" s="196"/>
      <c r="B12" s="198"/>
      <c r="C12" s="197"/>
      <c r="D12" s="196"/>
      <c r="E12" s="197"/>
      <c r="F12" s="197"/>
      <c r="G12" s="197"/>
      <c r="H12" s="196"/>
      <c r="I12" s="196"/>
      <c r="J12" s="14">
        <f t="shared" si="1"/>
        <v>0</v>
      </c>
      <c r="K12" s="20" t="s">
        <v>2037</v>
      </c>
    </row>
    <row r="13">
      <c r="A13" s="198"/>
      <c r="B13" s="198"/>
      <c r="C13" s="199"/>
      <c r="D13" s="196"/>
      <c r="E13" s="199"/>
      <c r="F13" s="199"/>
      <c r="G13" s="199"/>
      <c r="H13" s="38"/>
      <c r="I13" s="196"/>
      <c r="J13" s="14">
        <f t="shared" si="1"/>
        <v>0</v>
      </c>
      <c r="K13" s="20" t="s">
        <v>2037</v>
      </c>
    </row>
    <row r="14">
      <c r="A14" s="203"/>
      <c r="B14" s="198"/>
      <c r="C14" s="199"/>
      <c r="D14" s="198"/>
      <c r="E14" s="202"/>
      <c r="F14" s="199"/>
      <c r="G14" s="202"/>
      <c r="H14" s="196"/>
      <c r="I14" s="196"/>
      <c r="J14" s="14">
        <f t="shared" si="1"/>
        <v>0</v>
      </c>
      <c r="K14" s="20" t="s">
        <v>2037</v>
      </c>
    </row>
    <row r="15">
      <c r="A15" s="198"/>
      <c r="B15" s="198"/>
      <c r="C15" s="199"/>
      <c r="D15" s="196"/>
      <c r="E15" s="199"/>
      <c r="F15" s="199"/>
      <c r="G15" s="199"/>
      <c r="H15" s="196"/>
      <c r="I15" s="196"/>
      <c r="J15" s="14">
        <f t="shared" si="1"/>
        <v>0</v>
      </c>
      <c r="K15" s="20" t="s">
        <v>2037</v>
      </c>
    </row>
    <row r="16">
      <c r="A16" s="198"/>
      <c r="B16" s="198"/>
      <c r="C16" s="199"/>
      <c r="D16" s="198"/>
      <c r="E16" s="199"/>
      <c r="F16" s="199"/>
      <c r="G16" s="199"/>
      <c r="H16" s="196"/>
      <c r="I16" s="196"/>
      <c r="J16" s="14">
        <f t="shared" si="1"/>
        <v>0</v>
      </c>
      <c r="K16" s="20" t="s">
        <v>2037</v>
      </c>
    </row>
    <row r="17">
      <c r="A17" s="196"/>
      <c r="B17" s="38"/>
      <c r="C17" s="197"/>
      <c r="D17" s="196"/>
      <c r="E17" s="197"/>
      <c r="F17" s="197"/>
      <c r="G17" s="197"/>
      <c r="H17" s="196"/>
      <c r="I17" s="196"/>
      <c r="J17" s="14">
        <f t="shared" si="1"/>
        <v>0</v>
      </c>
      <c r="K17" s="20" t="s">
        <v>2037</v>
      </c>
    </row>
    <row r="18">
      <c r="A18" s="204"/>
      <c r="B18" s="198"/>
      <c r="C18" s="205"/>
      <c r="D18" s="206"/>
      <c r="E18" s="205"/>
      <c r="F18" s="205"/>
      <c r="G18" s="205"/>
      <c r="H18" s="196"/>
      <c r="I18" s="196"/>
      <c r="J18" s="14">
        <f t="shared" si="1"/>
        <v>0</v>
      </c>
      <c r="K18" s="20" t="s">
        <v>2037</v>
      </c>
    </row>
    <row r="19">
      <c r="A19" s="198"/>
      <c r="B19" s="198"/>
      <c r="C19" s="199"/>
      <c r="D19" s="198"/>
      <c r="E19" s="199"/>
      <c r="F19" s="199"/>
      <c r="G19" s="199"/>
      <c r="H19" s="196"/>
      <c r="I19" s="196"/>
      <c r="J19" s="14">
        <f t="shared" si="1"/>
        <v>0</v>
      </c>
      <c r="K19" s="20" t="s">
        <v>2037</v>
      </c>
    </row>
    <row r="20">
      <c r="A20" s="203"/>
      <c r="B20" s="198"/>
      <c r="C20" s="199"/>
      <c r="D20" s="196"/>
      <c r="E20" s="199"/>
      <c r="F20" s="199"/>
      <c r="G20" s="202"/>
      <c r="H20" s="196"/>
      <c r="I20" s="196"/>
      <c r="J20" s="14">
        <f t="shared" si="1"/>
        <v>0</v>
      </c>
      <c r="K20" s="20" t="s">
        <v>2037</v>
      </c>
    </row>
    <row r="21">
      <c r="A21" s="196"/>
      <c r="B21" s="196"/>
      <c r="C21" s="197"/>
      <c r="D21" s="196"/>
      <c r="E21" s="197"/>
      <c r="F21" s="197"/>
      <c r="G21" s="197"/>
      <c r="H21" s="196"/>
      <c r="I21" s="196"/>
      <c r="J21" s="14">
        <f t="shared" si="1"/>
        <v>0</v>
      </c>
      <c r="K21" s="20" t="s">
        <v>2037</v>
      </c>
    </row>
    <row r="22">
      <c r="A22" s="196"/>
      <c r="B22" s="196"/>
      <c r="C22" s="197"/>
      <c r="D22" s="196"/>
      <c r="E22" s="197"/>
      <c r="F22" s="197"/>
      <c r="G22" s="197"/>
      <c r="H22" s="196"/>
      <c r="I22" s="196"/>
      <c r="J22" s="14">
        <f t="shared" si="1"/>
        <v>0</v>
      </c>
      <c r="K22" s="20" t="s">
        <v>2037</v>
      </c>
    </row>
    <row r="23">
      <c r="A23" s="196"/>
      <c r="B23" s="196"/>
      <c r="C23" s="197"/>
      <c r="D23" s="198"/>
      <c r="E23" s="197"/>
      <c r="F23" s="197"/>
      <c r="G23" s="197"/>
      <c r="H23" s="196"/>
      <c r="I23" s="196"/>
      <c r="J23" s="14">
        <f t="shared" si="1"/>
        <v>0</v>
      </c>
      <c r="K23" s="20" t="s">
        <v>2037</v>
      </c>
    </row>
    <row r="24">
      <c r="A24" s="194"/>
      <c r="B24" s="194"/>
      <c r="C24" s="194"/>
      <c r="D24" s="194"/>
      <c r="E24" s="194"/>
      <c r="F24" s="194"/>
      <c r="G24" s="193" t="s">
        <v>1724</v>
      </c>
      <c r="H24" s="195">
        <f>SUM(H3:H23)</f>
        <v>0</v>
      </c>
      <c r="I24" s="194"/>
      <c r="J24" s="194" t="str">
        <f>SUM(J3:J22)/H24</f>
        <v>#DIV/0!</v>
      </c>
      <c r="K24" s="194"/>
    </row>
    <row r="25">
      <c r="I25" s="14"/>
      <c r="J25" s="14"/>
      <c r="K25" s="14"/>
      <c r="L25" s="14"/>
      <c r="M25" s="14"/>
      <c r="N25" s="14"/>
    </row>
    <row r="26">
      <c r="H26" s="14"/>
      <c r="I26" s="14"/>
      <c r="J26" s="14"/>
      <c r="K26" s="14"/>
    </row>
  </sheetData>
  <autoFilter ref="$A$2:$AB$24">
    <sortState ref="A2:AB24">
      <sortCondition ref="E2:E24"/>
      <sortCondition ref="G2:G24"/>
    </sortState>
  </autoFilter>
  <conditionalFormatting sqref="I25:N26 O25:AB25 H26">
    <cfRule type="notContainsBlanks" dxfId="5" priority="1">
      <formula>LEN(TRIM(I25))&gt;0</formula>
    </cfRule>
  </conditionalFormatting>
  <conditionalFormatting sqref="B3 B8:B9 B11:B14 B18 B20:B23 B26">
    <cfRule type="cellIs" dxfId="0" priority="2" operator="equal">
      <formula>"Void"</formula>
    </cfRule>
  </conditionalFormatting>
  <conditionalFormatting sqref="B3 B8:B9 B11:B14 B18 B20:B23 B26">
    <cfRule type="cellIs" dxfId="1" priority="3" operator="equal">
      <formula>"Divine"</formula>
    </cfRule>
  </conditionalFormatting>
  <conditionalFormatting sqref="B3 B8:B9 B11:B14 B18 B20:B23 B26">
    <cfRule type="cellIs" dxfId="2" priority="4" operator="equal">
      <formula>"Mortal"</formula>
    </cfRule>
  </conditionalFormatting>
  <conditionalFormatting sqref="B3 B8:B9 B11:B14 B18 B20:B23 B26">
    <cfRule type="cellIs" dxfId="3" priority="5" operator="equal">
      <formula>"Elemental"</formula>
    </cfRule>
  </conditionalFormatting>
  <conditionalFormatting sqref="B3 B8:B9 B11:B14 B18 B20:B23 B26">
    <cfRule type="cellIs" dxfId="4" priority="6" operator="equal">
      <formula>"Nature"</formula>
    </cfRule>
  </conditionalFormatting>
  <conditionalFormatting sqref="B3">
    <cfRule type="cellIs" dxfId="4" priority="7" operator="equal">
      <formula>"Nature"</formula>
    </cfRule>
  </conditionalFormatting>
  <conditionalFormatting sqref="B3">
    <cfRule type="cellIs" dxfId="4" priority="8" operator="equal">
      <formula>"Nature"</formula>
    </cfRule>
  </conditionalFormatting>
  <conditionalFormatting sqref="B3 B8:B9 B11:B14 B20">
    <cfRule type="cellIs" dxfId="4" priority="9" operator="equal">
      <formula>"Nature"</formula>
    </cfRule>
  </conditionalFormatting>
  <conditionalFormatting sqref="B3">
    <cfRule type="cellIs" dxfId="4" priority="10" operator="equal">
      <formula>"Nature"</formula>
    </cfRule>
  </conditionalFormatting>
  <conditionalFormatting sqref="B3 B19:B20">
    <cfRule type="cellIs" dxfId="4" priority="11" operator="equal">
      <formula>"Nature"</formula>
    </cfRule>
  </conditionalFormatting>
  <conditionalFormatting sqref="B3">
    <cfRule type="cellIs" dxfId="4" priority="12" operator="equal">
      <formula>"Nature"</formula>
    </cfRule>
  </conditionalFormatting>
  <conditionalFormatting sqref="B3">
    <cfRule type="cellIs" dxfId="4" priority="13" operator="equal">
      <formula>"Nature"</formula>
    </cfRule>
  </conditionalFormatting>
  <conditionalFormatting sqref="B3 B8:B9 B11:B14 B20">
    <cfRule type="cellIs" dxfId="4" priority="14" operator="equal">
      <formula>"Nature"</formula>
    </cfRule>
  </conditionalFormatting>
  <conditionalFormatting sqref="B3">
    <cfRule type="cellIs" dxfId="4" priority="15" operator="equal">
      <formula>"Nature"</formula>
    </cfRule>
  </conditionalFormatting>
  <conditionalFormatting sqref="B3">
    <cfRule type="cellIs" dxfId="4" priority="16" operator="equal">
      <formula>"Nature"</formula>
    </cfRule>
  </conditionalFormatting>
  <conditionalFormatting sqref="B3 B8:B9 B11:B17 B20">
    <cfRule type="cellIs" dxfId="4" priority="17" operator="equal">
      <formula>"Nature"</formula>
    </cfRule>
  </conditionalFormatting>
  <conditionalFormatting sqref="B3 B13">
    <cfRule type="cellIs" dxfId="4" priority="18" operator="equal">
      <formula>"Nature"</formula>
    </cfRule>
  </conditionalFormatting>
  <conditionalFormatting sqref="B3">
    <cfRule type="cellIs" dxfId="4" priority="19" operator="equal">
      <formula>"Nature"</formula>
    </cfRule>
  </conditionalFormatting>
  <conditionalFormatting sqref="B3">
    <cfRule type="cellIs" dxfId="4" priority="20" operator="equal">
      <formula>"Nature"</formula>
    </cfRule>
  </conditionalFormatting>
  <conditionalFormatting sqref="B3 B12">
    <cfRule type="cellIs" dxfId="4" priority="21" operator="equal">
      <formula>"Nature"</formula>
    </cfRule>
  </conditionalFormatting>
  <conditionalFormatting sqref="B3">
    <cfRule type="cellIs" dxfId="4" priority="22" operator="equal">
      <formula>"Nature"</formula>
    </cfRule>
  </conditionalFormatting>
  <conditionalFormatting sqref="B3">
    <cfRule type="cellIs" dxfId="4" priority="23" operator="equal">
      <formula>"Nature"</formula>
    </cfRule>
  </conditionalFormatting>
  <conditionalFormatting sqref="B3 B11 B20">
    <cfRule type="cellIs" dxfId="4" priority="24" operator="equal">
      <formula>"Nature"</formula>
    </cfRule>
  </conditionalFormatting>
  <conditionalFormatting sqref="B3 B10">
    <cfRule type="cellIs" dxfId="4" priority="25" operator="equal">
      <formula>"Nature"</formula>
    </cfRule>
  </conditionalFormatting>
  <conditionalFormatting sqref="B3 B8:B9 B11:B12 B20">
    <cfRule type="cellIs" dxfId="4" priority="26" operator="equal">
      <formula>"Nature"</formula>
    </cfRule>
  </conditionalFormatting>
  <conditionalFormatting sqref="B3 B7">
    <cfRule type="cellIs" dxfId="4" priority="27" operator="equal">
      <formula>"Nature"</formula>
    </cfRule>
  </conditionalFormatting>
  <conditionalFormatting sqref="B3 B5:B6">
    <cfRule type="cellIs" dxfId="4" priority="28" operator="equal">
      <formula>"Nature"</formula>
    </cfRule>
  </conditionalFormatting>
  <conditionalFormatting sqref="B3:B4">
    <cfRule type="cellIs" dxfId="4" priority="29" operator="equal">
      <formula>"Nature"</formula>
    </cfRule>
  </conditionalFormatting>
  <conditionalFormatting sqref="B3">
    <cfRule type="cellIs" dxfId="4" priority="30" operator="equal">
      <formula>"Nature"</formula>
    </cfRule>
  </conditionalFormatting>
  <dataValidations>
    <dataValidation type="custom" allowBlank="1" showDropDown="1" showErrorMessage="1" sqref="I25:N25 H26:K26">
      <formula1>IFERROR(ISURL(H25), true)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1717</v>
      </c>
    </row>
    <row r="2">
      <c r="A2" s="20" t="s">
        <v>1718</v>
      </c>
      <c r="B2" s="20" t="s">
        <v>1719</v>
      </c>
    </row>
    <row r="3">
      <c r="A3" s="20" t="s">
        <v>1720</v>
      </c>
      <c r="B3" s="20" t="s">
        <v>1721</v>
      </c>
    </row>
    <row r="4">
      <c r="A4" s="20" t="s">
        <v>1722</v>
      </c>
      <c r="B4" s="20" t="s">
        <v>1723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101" t="s">
        <v>1724</v>
      </c>
      <c r="B1" s="102" t="s">
        <v>1725</v>
      </c>
      <c r="C1" s="103" t="s">
        <v>1726</v>
      </c>
      <c r="D1" s="103" t="s">
        <v>33</v>
      </c>
      <c r="E1" s="103" t="s">
        <v>69</v>
      </c>
      <c r="F1" s="104" t="s">
        <v>39</v>
      </c>
      <c r="G1" s="31"/>
      <c r="H1" s="31"/>
      <c r="I1" s="105" t="s">
        <v>1727</v>
      </c>
      <c r="J1" s="105" t="s">
        <v>1728</v>
      </c>
      <c r="K1" s="105" t="s">
        <v>1729</v>
      </c>
    </row>
    <row r="2">
      <c r="A2" s="106">
        <f>IFERROR(__xludf.DUMMYFUNCTION("COUNTIF(QUERY('1. Karten'!A:Q,""SELECT A WHERE C="" &amp; $A$4) ,""*"")-1"),182.0)</f>
        <v>182</v>
      </c>
      <c r="B2" s="107" t="s">
        <v>15</v>
      </c>
      <c r="C2" s="108">
        <f>IFERROR(__xludf.DUMMYFUNCTION("IFNA(QUERY('1. Karten'!$A:$Q,""select count(A) where ("" &amp; IF($A$4=""*"",,""C="" &amp; $A$4 &amp; "" AND"") &amp; "" B LIKE '"" &amp; $B2 &amp; ""') label Count(A) ''""),0)"),28.0)</f>
        <v>28</v>
      </c>
      <c r="D2" s="108">
        <f>IFERROR(__xludf.DUMMYFUNCTION("IFNA(QUERY('1. Karten'!$A:$Q,""select count(A) where ("" &amp; IF($A$4=""*"",,""C="" &amp; $A$4 &amp; "" AND"") &amp; "" B='"" &amp; $B2 &amp; ""' AND J='"" &amp; D$1 &amp; ""') label Count(A) ''""),0)"),14.0)</f>
        <v>14</v>
      </c>
      <c r="E2" s="108">
        <f>IFERROR(__xludf.DUMMYFUNCTION("IFNA(QUERY('1. Karten'!$A:$Q,""select count(A) where ("" &amp; IF($A$4=""*"",,""C="" &amp; $A$4 &amp; "" AND"") &amp; "" B='"" &amp; $B2 &amp; ""' AND J='"" &amp; E$1 &amp; ""') label Count(A) ''""),0)"),10.0)</f>
        <v>10</v>
      </c>
      <c r="F2" s="109">
        <f>IFERROR(__xludf.DUMMYFUNCTION("IFNA(QUERY('1. Karten'!$A:$Q,""select count(A) where ("" &amp; IF($A$4=""*"",,""C="" &amp; $A$4 &amp; "" AND"") &amp; "" B='"" &amp; $B2 &amp; ""' AND J='"" &amp; F$1 &amp; ""') label Count(A) ''""),0)"),4.0)</f>
        <v>4</v>
      </c>
      <c r="I2" s="110">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100"/>
    </row>
    <row r="3">
      <c r="A3" s="111" t="s">
        <v>1730</v>
      </c>
      <c r="B3" s="107" t="s">
        <v>11</v>
      </c>
      <c r="C3" s="108">
        <f>IFERROR(__xludf.DUMMYFUNCTION("IFNA(QUERY('1. Karten'!$A:$Q,""select count(A) where ("" &amp; IF($A$4=""*"",,""C="" &amp; $A$4 &amp; "" AND"") &amp; "" B LIKE '"" &amp; $B3 &amp; ""') label Count(A) ''""),0)"),30.0)</f>
        <v>30</v>
      </c>
      <c r="D3" s="108">
        <f>IFERROR(__xludf.DUMMYFUNCTION("IFNA(QUERY('1. Karten'!$A:$Q,""select count(A) where ("" &amp; IF($A$4=""*"",,""C="" &amp; $A$4 &amp; "" AND"") &amp; "" B='"" &amp; $B3 &amp; ""' AND J='"" &amp; D$1 &amp; ""') label Count(A) ''""),0)"),14.0)</f>
        <v>14</v>
      </c>
      <c r="E3" s="108">
        <f>IFERROR(__xludf.DUMMYFUNCTION("IFNA(QUERY('1. Karten'!$A:$Q,""select count(A) where ("" &amp; IF($A$4=""*"",,""C="" &amp; $A$4 &amp; "" AND"") &amp; "" B='"" &amp; $B3 &amp; ""' AND J='"" &amp; E$1 &amp; ""') label Count(A) ''""),0)"),11.0)</f>
        <v>11</v>
      </c>
      <c r="F3" s="109">
        <f>IFERROR(__xludf.DUMMYFUNCTION("IFNA(QUERY('1. Karten'!$A:$Q,""select count(A) where ("" &amp; IF($A$4=""*"",,""C="" &amp; $A$4 &amp; "" AND"") &amp; "" B='"" &amp; $B3 &amp; ""' AND J='"" &amp; F$1 &amp; ""') label Count(A) ''""),0)"),5.0)</f>
        <v>5</v>
      </c>
      <c r="I3" s="112">
        <v>1.0</v>
      </c>
      <c r="J3" s="14">
        <f>IFERROR(__xludf.DUMMYFUNCTION("IFNA(QUERY('1. Karten'!$A:$Q,""select count(A) where (C="" &amp; $A$4 &amp; "") AND (H="" &amp; $I3 &amp; "") label Count(A) ''""),0)"),15.0)</f>
        <v>15</v>
      </c>
      <c r="K3" s="14">
        <f>IFERROR(__xludf.DUMMYFUNCTION("IFNA(QUERY('1. Karten'!$A:$Q,""select count(A) where (C="" &amp; $A$4 &amp; "") AND (Q="" &amp; $I3 &amp; "") label Count(A) ''""),0)"),11.0)</f>
        <v>11</v>
      </c>
    </row>
    <row r="4">
      <c r="A4" s="113">
        <v>1.0</v>
      </c>
      <c r="B4" s="107" t="s">
        <v>14</v>
      </c>
      <c r="C4" s="108">
        <f>IFERROR(__xludf.DUMMYFUNCTION("IFNA(QUERY('1. Karten'!$A:$Q,""select count(A) where ("" &amp; IF($A$4=""*"",,""C="" &amp; $A$4 &amp; "" AND"") &amp; "" B LIKE '"" &amp; $B4 &amp; ""') label Count(A) ''""),0)"),28.0)</f>
        <v>28</v>
      </c>
      <c r="D4" s="108">
        <f>IFERROR(__xludf.DUMMYFUNCTION("IFNA(QUERY('1. Karten'!$A:$Q,""select count(A) where ("" &amp; IF($A$4=""*"",,""C="" &amp; $A$4 &amp; "" AND"") &amp; "" B='"" &amp; $B4 &amp; ""' AND J='"" &amp; D$1 &amp; ""') label Count(A) ''""),0)"),13.0)</f>
        <v>13</v>
      </c>
      <c r="E4" s="108">
        <f>IFERROR(__xludf.DUMMYFUNCTION("IFNA(QUERY('1. Karten'!$A:$Q,""select count(A) where ("" &amp; IF($A$4=""*"",,""C="" &amp; $A$4 &amp; "" AND"") &amp; "" B='"" &amp; $B4 &amp; ""' AND J='"" &amp; E$1 &amp; ""') label Count(A) ''""),0)"),8.0)</f>
        <v>8</v>
      </c>
      <c r="F4" s="109">
        <f>IFERROR(__xludf.DUMMYFUNCTION("IFNA(QUERY('1. Karten'!$A:$Q,""select count(A) where ("" &amp; IF($A$4=""*"",,""C="" &amp; $A$4 &amp; "" AND"") &amp; "" B='"" &amp; $B4 &amp; ""' AND J='"" &amp; F$1 &amp; ""') label Count(A) ''""),0)"),7.0)</f>
        <v>7</v>
      </c>
      <c r="I4" s="112">
        <v>2.0</v>
      </c>
      <c r="J4" s="14">
        <f>IFERROR(__xludf.DUMMYFUNCTION("IFNA(QUERY('1. Karten'!$A:$Q,""select count(A) where (C="" &amp; $A$4 &amp; "") AND (H="" &amp; $I4 &amp; "") label Count(A) ''""),0)"),50.0)</f>
        <v>50</v>
      </c>
      <c r="K4" s="14">
        <f>IFERROR(__xludf.DUMMYFUNCTION("IFNA(QUERY('1. Karten'!$A:$Q,""select count(A) where (C="" &amp; $A$4 &amp; "") AND (Q="" &amp; $I4 &amp; "") label Count(A) ''""),0)"),35.0)</f>
        <v>35</v>
      </c>
    </row>
    <row r="5">
      <c r="B5" s="114" t="s">
        <v>12</v>
      </c>
      <c r="C5" s="108">
        <f>IFERROR(__xludf.DUMMYFUNCTION("IFNA(QUERY('1. Karten'!$A:$Q,""select count(A) where ("" &amp; IF($A$4=""*"",,""C="" &amp; $A$4 &amp; "" AND"") &amp; "" B LIKE '"" &amp; $B5 &amp; ""') label Count(A) ''""),0)"),29.0)</f>
        <v>29</v>
      </c>
      <c r="D5" s="108">
        <f>IFERROR(__xludf.DUMMYFUNCTION("IFNA(QUERY('1. Karten'!$A:$Q,""select count(A) where ("" &amp; IF($A$4=""*"",,""C="" &amp; $A$4 &amp; "" AND"") &amp; "" B='"" &amp; $B5 &amp; ""' AND J='"" &amp; D$1 &amp; ""') label Count(A) ''""),0)"),16.0)</f>
        <v>16</v>
      </c>
      <c r="E5" s="108">
        <f>IFERROR(__xludf.DUMMYFUNCTION("IFNA(QUERY('1. Karten'!$A:$Q,""select count(A) where ("" &amp; IF($A$4=""*"",,""C="" &amp; $A$4 &amp; "" AND"") &amp; "" B='"" &amp; $B5 &amp; ""' AND J='"" &amp; E$1 &amp; ""') label Count(A) ''""),0)"),9.0)</f>
        <v>9</v>
      </c>
      <c r="F5" s="109">
        <f>IFERROR(__xludf.DUMMYFUNCTION("IFNA(QUERY('1. Karten'!$A:$Q,""select count(A) where ("" &amp; IF($A$4=""*"",,""C="" &amp; $A$4 &amp; "" AND"") &amp; "" B='"" &amp; $B5 &amp; ""' AND J='"" &amp; F$1 &amp; ""') label Count(A) ''""),0)"),4.0)</f>
        <v>4</v>
      </c>
      <c r="I5" s="112">
        <v>3.0</v>
      </c>
      <c r="J5" s="14">
        <f>IFERROR(__xludf.DUMMYFUNCTION("IFNA(QUERY('1. Karten'!$A:$Q,""select count(A) where (C="" &amp; $A$4 &amp; "") AND (H="" &amp; $I5 &amp; "") label Count(A) ''""),0)"),38.0)</f>
        <v>38</v>
      </c>
      <c r="K5" s="14">
        <f>IFERROR(__xludf.DUMMYFUNCTION("IFNA(QUERY('1. Karten'!$A:$Q,""select count(A) where (C="" &amp; $A$4 &amp; "") AND (Q="" &amp; $I5 &amp; "") label Count(A) ''""),0)"),32.0)</f>
        <v>32</v>
      </c>
    </row>
    <row r="6">
      <c r="A6" s="115"/>
      <c r="B6" s="107" t="s">
        <v>13</v>
      </c>
      <c r="C6" s="108">
        <f>IFERROR(__xludf.DUMMYFUNCTION("IFNA(QUERY('1. Karten'!$A:$Q,""select count(A) where ("" &amp; IF($A$4=""*"",,""C="" &amp; $A$4 &amp; "" AND"") &amp; "" B LIKE '"" &amp; $B6 &amp; ""') label Count(A) ''""),0)"),26.0)</f>
        <v>26</v>
      </c>
      <c r="D6" s="108">
        <f>IFERROR(__xludf.DUMMYFUNCTION("IFNA(QUERY('1. Karten'!$A:$Q,""select count(A) where ("" &amp; IF($A$4=""*"",,""C="" &amp; $A$4 &amp; "" AND"") &amp; "" B='"" &amp; $B6 &amp; ""' AND J='"" &amp; D$1 &amp; ""') label Count(A) ''""),0)"),14.0)</f>
        <v>14</v>
      </c>
      <c r="E6" s="108">
        <f>IFERROR(__xludf.DUMMYFUNCTION("IFNA(QUERY('1. Karten'!$A:$Q,""select count(A) where ("" &amp; IF($A$4=""*"",,""C="" &amp; $A$4 &amp; "" AND"") &amp; "" B='"" &amp; $B6 &amp; ""' AND J='"" &amp; E$1 &amp; ""') label Count(A) ''""),0)"),8.0)</f>
        <v>8</v>
      </c>
      <c r="F6" s="109">
        <f>IFERROR(__xludf.DUMMYFUNCTION("IFNA(QUERY('1. Karten'!$A:$Q,""select count(A) where ("" &amp; IF($A$4=""*"",,""C="" &amp; $A$4 &amp; "" AND"") &amp; "" B='"" &amp; $B6 &amp; ""' AND J='"" &amp; F$1 &amp; ""') label Count(A) ''""),0)"),4.0)</f>
        <v>4</v>
      </c>
      <c r="I6" s="112">
        <v>4.0</v>
      </c>
      <c r="J6" s="14">
        <f>IFERROR(__xludf.DUMMYFUNCTION("IFNA(QUERY('1. Karten'!$A:$Q,""select count(A) where (C="" &amp; $A$4 &amp; "") AND (H="" &amp; $I6 &amp; "") label Count(A) ''""),0)"),29.0)</f>
        <v>29</v>
      </c>
      <c r="K6" s="14">
        <f>IFERROR(__xludf.DUMMYFUNCTION("IFNA(QUERY('1. Karten'!$A:$Q,""select count(A) where (C="" &amp; $A$4 &amp; "") AND (Q="" &amp; $I6 &amp; "") label Count(A) ''""),0)"),47.0)</f>
        <v>47</v>
      </c>
    </row>
    <row r="7">
      <c r="A7" s="24"/>
      <c r="B7" s="116" t="s">
        <v>1731</v>
      </c>
      <c r="C7" s="108">
        <f>IFERROR(__xludf.DUMMYFUNCTION("IFNA(QUERY('1. Karten'!$A:$Q,""select count(A) where ("" &amp; IF($A$4=""*"",,""C="" &amp; $A$4 &amp; "" AND"") &amp; "" B LIKE '') label Count(A) ''""),0)"),11.0)</f>
        <v>11</v>
      </c>
      <c r="D7" s="108">
        <f>IFERROR(__xludf.DUMMYFUNCTION("IFNA(QUERY('1. Karten'!$A:$Q,""select count(A) where ("" &amp; IF($A$4=""*"",,""C="" &amp; $A$4 &amp; "" AND"") &amp; "" B LIKE '' AND J='"" &amp; D$1 &amp; ""') label Count(A) ''""),0)"),2.0)</f>
        <v>2</v>
      </c>
      <c r="E7" s="108">
        <f>IFERROR(__xludf.DUMMYFUNCTION("IFNA(QUERY('1. Karten'!$A:$Q,""select count(A) where ("" &amp; IF($A$4=""*"",,""C="" &amp; $A$4 &amp; "" AND"") &amp; "" B LIKE '' AND J='"" &amp; E$1 &amp; ""') label Count(A) ''""),0)"),0.0)</f>
        <v>0</v>
      </c>
      <c r="F7" s="109">
        <f>IFERROR(__xludf.DUMMYFUNCTION("IFNA(QUERY('1. Karten'!$A:$Q,""select count(A) where ("" &amp; IF($A$4=""*"",,""C="" &amp; $A$4 &amp; "" AND"") &amp; "" B LIKE '' AND J='"" &amp; F$1 &amp; ""') label Count(A) ''""),0)"),2.0)</f>
        <v>2</v>
      </c>
      <c r="I7" s="112">
        <v>5.0</v>
      </c>
      <c r="J7" s="14">
        <f>IFERROR(__xludf.DUMMYFUNCTION("IFNA(QUERY('1. Karten'!$A:$Q,""select count(A) where (C="" &amp; $A$4 &amp; "") AND (H="" &amp; $I7 &amp; "") label Count(A) ''""),0)"),20.0)</f>
        <v>20</v>
      </c>
      <c r="K7" s="14">
        <f>IFERROR(__xludf.DUMMYFUNCTION("IFNA(QUERY('1. Karten'!$A:$Q,""select count(A) where (C="" &amp; $A$4 &amp; "") AND (Q="" &amp; $I7 &amp; "") label Count(A) ''""),0)"),31.0)</f>
        <v>31</v>
      </c>
    </row>
    <row r="8">
      <c r="B8" s="117" t="s">
        <v>1732</v>
      </c>
      <c r="C8" s="118">
        <f>IFERROR(__xludf.DUMMYFUNCTION("IFNA(QUERY('1. Karten'!$A:$Q,""select count(A) where ("" &amp; IF($A$4=""*"","""",""C="" &amp; $A$4 &amp; "" AND "") &amp; ""B LIKE '% %') label Count(A) ''""),0)"),30.0)</f>
        <v>30</v>
      </c>
      <c r="D8" s="118">
        <f>IFERROR(__xludf.DUMMYFUNCTION("IFNA(QUERY('1. Karten'!$A:$Q,""select count(A) where ("" &amp; IF($A$4=""*"",,""C="" &amp; $A$4 &amp; "" AND"") &amp; "" B LIKE '% %' AND J='"" &amp; D$1 &amp; ""') label Count(A) ''""),0)"),10.0)</f>
        <v>10</v>
      </c>
      <c r="E8" s="118">
        <f>IFERROR(__xludf.DUMMYFUNCTION("IFNA(QUERY('1. Karten'!$A:$Q,""select count(A) where ("" &amp; IF($A$4=""*"",,""C="" &amp; $A$4 &amp; "" AND"") &amp; "" B LIKE '% %' AND J='"" &amp; E$1 &amp; ""') label Count(A) ''""),0)"),10.0)</f>
        <v>10</v>
      </c>
      <c r="F8" s="119">
        <f>IFERROR(__xludf.DUMMYFUNCTION("IFNA(QUERY('1. Karten'!$A:$Q,""select count(A) where ("" &amp; IF($A$4=""*"",,""C="" &amp; $A$4 &amp; "" AND"") &amp; "" B LIKE '% %' AND J='"" &amp; F$1 &amp; ""') label Count(A) ''""),0)"),10.0)</f>
        <v>10</v>
      </c>
      <c r="I8" s="112">
        <v>6.0</v>
      </c>
      <c r="J8" s="14">
        <f>IFERROR(__xludf.DUMMYFUNCTION("IFNA(QUERY('1. Karten'!$A:$Q,""select count(A) where (C="" &amp; $A$4 &amp; "") AND (H="" &amp; $I8 &amp; "") label Count(A) ''""),0)"),16.0)</f>
        <v>16</v>
      </c>
      <c r="K8" s="14">
        <f>IFERROR(__xludf.DUMMYFUNCTION("IFNA(QUERY('1. Karten'!$A:$Q,""select count(A) where (C="" &amp; $A$4 &amp; "") AND (Q="" &amp; $I8 &amp; "") label Count(A) ''""),0)"),18.0)</f>
        <v>18</v>
      </c>
    </row>
    <row r="9">
      <c r="A9" s="120" t="s">
        <v>1733</v>
      </c>
      <c r="B9" s="121" t="s">
        <v>372</v>
      </c>
      <c r="C9" s="122">
        <f>IFERROR(__xludf.DUMMYFUNCTION("IFNA(QUERY('1. Karten'!$A:$Q,""select count(A) where ("" &amp; IF($A$4=""*"",,""C="" &amp; $A$4 &amp; "" AND"") &amp; "" B LIKE '%"" &amp; $B9 &amp; ""%') label Count(A) ''""),0)"),3.0)</f>
        <v>3</v>
      </c>
      <c r="D9" s="123">
        <f>IFERROR(__xludf.DUMMYFUNCTION("IFNA(QUERY('1. Karten'!$A:$Q,""select count(A) where ("" &amp; IF($A$4=""*"",,""C="" &amp; $A$4 &amp; "" AND"") &amp; "" B LIKE '%"" &amp; $B9 &amp; ""%' AND J='"" &amp; D$1 &amp; ""') label Count(A) ''""),0)"),1.0)</f>
        <v>1</v>
      </c>
      <c r="E9" s="123">
        <f>IFERROR(__xludf.DUMMYFUNCTION("IFNA(QUERY('1. Karten'!$A:$Q,""select count(A) where ("" &amp; IF($A$4=""*"",,""C="" &amp; $A$4 &amp; "" AND"") &amp; "" B LIKE '%"" &amp; $B9 &amp; ""%' AND J='"" &amp; E$1 &amp; ""') label Count(A) ''""),0)"),1.0)</f>
        <v>1</v>
      </c>
      <c r="F9" s="124">
        <f>IFERROR(__xludf.DUMMYFUNCTION("IFNA(QUERY('1. Karten'!$A:$Q,""select count(A) where ("" &amp; IF($A$4=""*"",,""C="" &amp; $A$4 &amp; "" AND"") &amp; "" B LIKE '%"" &amp; $B9 &amp; ""%' AND J='"" &amp; F$1 &amp; ""') label Count(A) ''""),0)"),1.0)</f>
        <v>1</v>
      </c>
      <c r="I9" s="112">
        <v>7.0</v>
      </c>
      <c r="J9" s="14">
        <f>IFERROR(__xludf.DUMMYFUNCTION("IFNA(QUERY('1. Karten'!$A:$Q,""select count(A) where (C="" &amp; $A$4 &amp; "") AND (H="" &amp; $I9 &amp; "") label Count(A) ''""),0)"),5.0)</f>
        <v>5</v>
      </c>
      <c r="K9" s="14">
        <f>IFERROR(__xludf.DUMMYFUNCTION("IFNA(QUERY('1. Karten'!$A:$Q,""select count(A) where (C="" &amp; $A$4 &amp; "") AND (Q="" &amp; $I9 &amp; "") label Count(A) ''""),0)"),8.0)</f>
        <v>8</v>
      </c>
    </row>
    <row r="10">
      <c r="A10" s="125" t="s">
        <v>1734</v>
      </c>
      <c r="B10" s="126" t="s">
        <v>1465</v>
      </c>
      <c r="C10" s="127">
        <f>IFERROR(__xludf.DUMMYFUNCTION("IFNA(QUERY('1. Karten'!$A:$Q,""select count(A) where ("" &amp; IF($A$4=""*"",,""C="" &amp; $A$4 &amp; "" AND"") &amp; "" B LIKE '%"" &amp; $B10 &amp; ""%') label Count(A) ''""),0)"),3.0)</f>
        <v>3</v>
      </c>
      <c r="D10" s="108">
        <f>IFERROR(__xludf.DUMMYFUNCTION("IFNA(QUERY('1. Karten'!$A:$Q,""select count(A) where ("" &amp; IF($A$4=""*"",,""C="" &amp; $A$4 &amp; "" AND"") &amp; "" B LIKE '%"" &amp; $B10 &amp; ""%' AND J='"" &amp; D$1 &amp; ""') label Count(A) ''""),0)"),1.0)</f>
        <v>1</v>
      </c>
      <c r="E10" s="108">
        <f>IFERROR(__xludf.DUMMYFUNCTION("IFNA(QUERY('1. Karten'!$A:$Q,""select count(A) where ("" &amp; IF($A$4=""*"",,""C="" &amp; $A$4 &amp; "" AND"") &amp; "" B LIKE '%"" &amp; $B10 &amp; ""%' AND J='"" &amp; E$1 &amp; ""') label Count(A) ''""),0)"),1.0)</f>
        <v>1</v>
      </c>
      <c r="F10" s="109">
        <f>IFERROR(__xludf.DUMMYFUNCTION("IFNA(QUERY('1. Karten'!$A:$Q,""select count(A) where ("" &amp; IF($A$4=""*"",,""C="" &amp; $A$4 &amp; "" AND"") &amp; "" B LIKE '%"" &amp; $B10 &amp; ""%' AND J='"" &amp; F$1 &amp; ""') label Count(A) ''""),0)"),1.0)</f>
        <v>1</v>
      </c>
      <c r="G10" s="115"/>
      <c r="H10" s="115"/>
      <c r="I10" s="112">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20" t="s">
        <v>1735</v>
      </c>
      <c r="B11" s="128" t="s">
        <v>907</v>
      </c>
      <c r="C11" s="127">
        <f>IFERROR(__xludf.DUMMYFUNCTION("IFNA(QUERY('1. Karten'!$A:$Q,""select count(A) where ("" &amp; IF($A$4=""*"",,""C="" &amp; $A$4 &amp; "" AND"") &amp; "" B LIKE '%"" &amp; $B11 &amp; ""%') label Count(A) ''""),0)"),3.0)</f>
        <v>3</v>
      </c>
      <c r="D11" s="108">
        <f>IFERROR(__xludf.DUMMYFUNCTION("IFNA(QUERY('1. Karten'!$A:$Q,""select count(A) where ("" &amp; IF($A$4=""*"",,""C="" &amp; $A$4 &amp; "" AND"") &amp; "" B LIKE '%"" &amp; $B11 &amp; ""%' AND J='"" &amp; D$1 &amp; ""') label Count(A) ''""),0)"),1.0)</f>
        <v>1</v>
      </c>
      <c r="E11" s="108">
        <f>IFERROR(__xludf.DUMMYFUNCTION("IFNA(QUERY('1. Karten'!$A:$Q,""select count(A) where ("" &amp; IF($A$4=""*"",,""C="" &amp; $A$4 &amp; "" AND"") &amp; "" B LIKE '%"" &amp; $B11 &amp; ""%' AND J='"" &amp; E$1 &amp; ""') label Count(A) ''""),0)"),1.0)</f>
        <v>1</v>
      </c>
      <c r="F11" s="109">
        <f>IFERROR(__xludf.DUMMYFUNCTION("IFNA(QUERY('1. Karten'!$A:$Q,""select count(A) where ("" &amp; IF($A$4=""*"",,""C="" &amp; $A$4 &amp; "" AND"") &amp; "" B LIKE '%"" &amp; $B11 &amp; ""%' AND J='"" &amp; F$1 &amp; ""') label Count(A) ''""),0)"),1.0)</f>
        <v>1</v>
      </c>
      <c r="I11" s="112">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25" t="s">
        <v>1736</v>
      </c>
      <c r="B12" s="126" t="s">
        <v>327</v>
      </c>
      <c r="C12" s="127">
        <f>IFERROR(__xludf.DUMMYFUNCTION("IFNA(QUERY('1. Karten'!$A:$Q,""select count(A) where ("" &amp; IF($A$4=""*"",,""C="" &amp; $A$4 &amp; "" AND"") &amp; "" B LIKE '%"" &amp; $B12 &amp; ""%') label Count(A) ''""),0)"),3.0)</f>
        <v>3</v>
      </c>
      <c r="D12" s="108">
        <f>IFERROR(__xludf.DUMMYFUNCTION("IFNA(QUERY('1. Karten'!$A:$Q,""select count(A) where ("" &amp; IF($A$4=""*"",,""C="" &amp; $A$4 &amp; "" AND"") &amp; "" B LIKE '%"" &amp; $B12 &amp; ""%' AND J='"" &amp; D$1 &amp; ""') label Count(A) ''""),0)"),1.0)</f>
        <v>1</v>
      </c>
      <c r="E12" s="108">
        <f>IFERROR(__xludf.DUMMYFUNCTION("IFNA(QUERY('1. Karten'!$A:$Q,""select count(A) where ("" &amp; IF($A$4=""*"",,""C="" &amp; $A$4 &amp; "" AND"") &amp; "" B LIKE '%"" &amp; $B12 &amp; ""%' AND J='"" &amp; E$1 &amp; ""') label Count(A) ''""),0)"),1.0)</f>
        <v>1</v>
      </c>
      <c r="F12" s="109">
        <f>IFERROR(__xludf.DUMMYFUNCTION("IFNA(QUERY('1. Karten'!$A:$Q,""select count(A) where ("" &amp; IF($A$4=""*"",,""C="" &amp; $A$4 &amp; "" AND"") &amp; "" B LIKE '%"" &amp; $B12 &amp; ""%' AND J='"" &amp; F$1 &amp; ""') label Count(A) ''""),0)"),1.0)</f>
        <v>1</v>
      </c>
      <c r="I12" s="112">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25" t="s">
        <v>1737</v>
      </c>
      <c r="B13" s="126" t="s">
        <v>1006</v>
      </c>
      <c r="C13" s="127">
        <f>IFERROR(__xludf.DUMMYFUNCTION("IFNA(QUERY('1. Karten'!$A:$Q,""select count(A) where ("" &amp; IF($A$4=""*"",,""C="" &amp; $A$4 &amp; "" AND"") &amp; "" B LIKE '%"" &amp; $B13 &amp; ""%') label Count(A) ''""),0)"),3.0)</f>
        <v>3</v>
      </c>
      <c r="D13" s="108">
        <f>IFERROR(__xludf.DUMMYFUNCTION("IFNA(QUERY('1. Karten'!$A:$Q,""select count(A) where ("" &amp; IF($A$4=""*"",,""C="" &amp; $A$4 &amp; "" AND"") &amp; "" B LIKE '%"" &amp; $B13 &amp; ""%' AND J='"" &amp; D$1 &amp; ""') label Count(A) ''""),0)"),1.0)</f>
        <v>1</v>
      </c>
      <c r="E13" s="108">
        <f>IFERROR(__xludf.DUMMYFUNCTION("IFNA(QUERY('1. Karten'!$A:$Q,""select count(A) where ("" &amp; IF($A$4=""*"",,""C="" &amp; $A$4 &amp; "" AND"") &amp; "" B LIKE '%"" &amp; $B13 &amp; ""%' AND J='"" &amp; E$1 &amp; ""') label Count(A) ''""),0)"),1.0)</f>
        <v>1</v>
      </c>
      <c r="F13" s="109">
        <f>IFERROR(__xludf.DUMMYFUNCTION("IFNA(QUERY('1. Karten'!$A:$Q,""select count(A) where ("" &amp; IF($A$4=""*"",,""C="" &amp; $A$4 &amp; "" AND"") &amp; "" B LIKE '%"" &amp; $B13 &amp; ""%' AND J='"" &amp; F$1 &amp; ""') label Count(A) ''""),0)"),1.0)</f>
        <v>1</v>
      </c>
      <c r="I13" s="129" t="s">
        <v>1738</v>
      </c>
      <c r="J13" s="130">
        <f>ROUND(AVERAGE('1. Karten'!H:H),2)</f>
        <v>3.27</v>
      </c>
      <c r="K13" s="131">
        <f>ROUND(AVERAGE('1. Karten'!Q:Q),2)</f>
        <v>3.78</v>
      </c>
    </row>
    <row r="14">
      <c r="A14" s="125" t="s">
        <v>1739</v>
      </c>
      <c r="B14" s="126" t="s">
        <v>292</v>
      </c>
      <c r="C14" s="127">
        <f>IFERROR(__xludf.DUMMYFUNCTION("IFNA(QUERY('1. Karten'!$A:$Q,""select count(A) where ("" &amp; IF($A$4=""*"",,""C="" &amp; $A$4 &amp; "" AND"") &amp; "" B LIKE '%"" &amp; $B14 &amp; ""%') label Count(A) ''""),0)"),3.0)</f>
        <v>3</v>
      </c>
      <c r="D14" s="108">
        <f>IFERROR(__xludf.DUMMYFUNCTION("IFNA(QUERY('1. Karten'!$A:$Q,""select count(A) where ("" &amp; IF($A$4=""*"",,""C="" &amp; $A$4 &amp; "" AND"") &amp; "" B LIKE '%"" &amp; $B14 &amp; ""%' AND J='"" &amp; D$1 &amp; ""') label Count(A) ''""),0)"),1.0)</f>
        <v>1</v>
      </c>
      <c r="E14" s="108">
        <f>IFERROR(__xludf.DUMMYFUNCTION("IFNA(QUERY('1. Karten'!$A:$Q,""select count(A) where ("" &amp; IF($A$4=""*"",,""C="" &amp; $A$4 &amp; "" AND"") &amp; "" B LIKE '%"" &amp; $B14 &amp; ""%' AND J='"" &amp; E$1 &amp; ""') label Count(A) ''""),0)"),1.0)</f>
        <v>1</v>
      </c>
      <c r="F14" s="109">
        <f>IFERROR(__xludf.DUMMYFUNCTION("IFNA(QUERY('1. Karten'!$A:$Q,""select count(A) where ("" &amp; IF($A$4=""*"",,""C="" &amp; $A$4 &amp; "" AND"") &amp; "" B LIKE '%"" &amp; $B14 &amp; ""%' AND J='"" &amp; F$1 &amp; ""') label Count(A) ''""),0)"),1.0)</f>
        <v>1</v>
      </c>
    </row>
    <row r="15">
      <c r="A15" s="125" t="s">
        <v>1740</v>
      </c>
      <c r="B15" s="126" t="s">
        <v>258</v>
      </c>
      <c r="C15" s="127">
        <f>IFERROR(__xludf.DUMMYFUNCTION("IFNA(QUERY('1. Karten'!$A:$Q,""select count(A) where ("" &amp; IF($A$4=""*"",,""C="" &amp; $A$4 &amp; "" AND"") &amp; "" B LIKE '%"" &amp; $B15 &amp; ""%') label Count(A) ''""),0)"),3.0)</f>
        <v>3</v>
      </c>
      <c r="D15" s="108">
        <f>IFERROR(__xludf.DUMMYFUNCTION("IFNA(QUERY('1. Karten'!$A:$Q,""select count(A) where ("" &amp; IF($A$4=""*"",,""C="" &amp; $A$4 &amp; "" AND"") &amp; "" B LIKE '%"" &amp; $B15 &amp; ""%' AND J='"" &amp; D$1 &amp; ""') label Count(A) ''""),0)"),1.0)</f>
        <v>1</v>
      </c>
      <c r="E15" s="108">
        <f>IFERROR(__xludf.DUMMYFUNCTION("IFNA(QUERY('1. Karten'!$A:$Q,""select count(A) where ("" &amp; IF($A$4=""*"",,""C="" &amp; $A$4 &amp; "" AND"") &amp; "" B LIKE '%"" &amp; $B15 &amp; ""%' AND J='"" &amp; E$1 &amp; ""') label Count(A) ''""),0)"),1.0)</f>
        <v>1</v>
      </c>
      <c r="F15" s="109">
        <f>IFERROR(__xludf.DUMMYFUNCTION("IFNA(QUERY('1. Karten'!$A:$Q,""select count(A) where ("" &amp; IF($A$4=""*"",,""C="" &amp; $A$4 &amp; "" AND"") &amp; "" B LIKE '%"" &amp; $B15 &amp; ""%' AND J='"" &amp; F$1 &amp; ""') label Count(A) ''""),0)"),1.0)</f>
        <v>1</v>
      </c>
    </row>
    <row r="16">
      <c r="A16" s="125" t="s">
        <v>1741</v>
      </c>
      <c r="B16" s="126" t="s">
        <v>1222</v>
      </c>
      <c r="C16" s="127">
        <f>IFERROR(__xludf.DUMMYFUNCTION("IFNA(QUERY('1. Karten'!$A:$Q,""select count(A) where ("" &amp; IF($A$4=""*"",,""C="" &amp; $A$4 &amp; "" AND"") &amp; "" B LIKE '%"" &amp; $B16 &amp; ""%') label Count(A) ''""),0)"),3.0)</f>
        <v>3</v>
      </c>
      <c r="D16" s="108">
        <f>IFERROR(__xludf.DUMMYFUNCTION("IFNA(QUERY('1. Karten'!$A:$Q,""select count(A) where ("" &amp; IF($A$4=""*"",,""C="" &amp; $A$4 &amp; "" AND"") &amp; "" B LIKE '%"" &amp; $B16 &amp; ""%' AND J='"" &amp; D$1 &amp; ""') label Count(A) ''""),0)"),1.0)</f>
        <v>1</v>
      </c>
      <c r="E16" s="108">
        <f>IFERROR(__xludf.DUMMYFUNCTION("IFNA(QUERY('1. Karten'!$A:$Q,""select count(A) where ("" &amp; IF($A$4=""*"",,""C="" &amp; $A$4 &amp; "" AND"") &amp; "" B LIKE '%"" &amp; $B16 &amp; ""%' AND J='"" &amp; E$1 &amp; ""') label Count(A) ''""),0)"),1.0)</f>
        <v>1</v>
      </c>
      <c r="F16" s="109">
        <f>IFERROR(__xludf.DUMMYFUNCTION("IFNA(QUERY('1. Karten'!$A:$Q,""select count(A) where ("" &amp; IF($A$4=""*"",,""C="" &amp; $A$4 &amp; "" AND"") &amp; "" B LIKE '%"" &amp; $B16 &amp; ""%' AND J='"" &amp; F$1 &amp; ""') label Count(A) ''""),0)"),1.0)</f>
        <v>1</v>
      </c>
    </row>
    <row r="17">
      <c r="A17" s="125" t="s">
        <v>1742</v>
      </c>
      <c r="B17" s="126" t="s">
        <v>945</v>
      </c>
      <c r="C17" s="127">
        <f>IFERROR(__xludf.DUMMYFUNCTION("IFNA(QUERY('1. Karten'!$A:$Q,""select count(A) where ("" &amp; IF($A$4=""*"",,""C="" &amp; $A$4 &amp; "" AND"") &amp; "" B LIKE '%"" &amp; $B17 &amp; ""%') label Count(A) ''""),0)"),3.0)</f>
        <v>3</v>
      </c>
      <c r="D17" s="108">
        <f>IFERROR(__xludf.DUMMYFUNCTION("IFNA(QUERY('1. Karten'!$A:$Q,""select count(A) where ("" &amp; IF($A$4=""*"",,""C="" &amp; $A$4 &amp; "" AND"") &amp; "" B LIKE '%"" &amp; $B17 &amp; ""%' AND J='"" &amp; D$1 &amp; ""') label Count(A) ''""),0)"),1.0)</f>
        <v>1</v>
      </c>
      <c r="E17" s="108">
        <f>IFERROR(__xludf.DUMMYFUNCTION("IFNA(QUERY('1. Karten'!$A:$Q,""select count(A) where ("" &amp; IF($A$4=""*"",,""C="" &amp; $A$4 &amp; "" AND"") &amp; "" B LIKE '%"" &amp; $B17 &amp; ""%' AND J='"" &amp; E$1 &amp; ""') label Count(A) ''""),0)"),1.0)</f>
        <v>1</v>
      </c>
      <c r="F17" s="109">
        <f>IFERROR(__xludf.DUMMYFUNCTION("IFNA(QUERY('1. Karten'!$A:$Q,""select count(A) where ("" &amp; IF($A$4=""*"",,""C="" &amp; $A$4 &amp; "" AND"") &amp; "" B LIKE '%"" &amp; $B17 &amp; ""%' AND J='"" &amp; F$1 &amp; ""') label Count(A) ''""),0)"),1.0)</f>
        <v>1</v>
      </c>
    </row>
    <row r="18">
      <c r="A18" s="125" t="s">
        <v>1743</v>
      </c>
      <c r="B18" s="132" t="s">
        <v>1253</v>
      </c>
      <c r="C18" s="133">
        <f>IFERROR(__xludf.DUMMYFUNCTION("IFNA(QUERY('1. Karten'!$A:$Q,""select count(A) where ("" &amp; IF($A$4=""*"",,""C="" &amp; $A$4 &amp; "" AND"") &amp; "" B LIKE '%"" &amp; $B18 &amp; ""%') label Count(A) ''""),0)"),3.0)</f>
        <v>3</v>
      </c>
      <c r="D18" s="118">
        <f>IFERROR(__xludf.DUMMYFUNCTION("IFNA(QUERY('1. Karten'!$A:$Q,""select count(A) where ("" &amp; IF($A$4=""*"",,""C="" &amp; $A$4 &amp; "" AND"") &amp; "" B LIKE '%"" &amp; $B18 &amp; ""%' AND J='"" &amp; D$1 &amp; ""') label Count(A) ''""),0)"),1.0)</f>
        <v>1</v>
      </c>
      <c r="E18" s="118">
        <f>IFERROR(__xludf.DUMMYFUNCTION("IFNA(QUERY('1. Karten'!$A:$Q,""select count(A) where ("" &amp; IF($A$4=""*"",,""C="" &amp; $A$4 &amp; "" AND"") &amp; "" B LIKE '%"" &amp; $B18 &amp; ""%' AND J='"" &amp; E$1 &amp; ""') label Count(A) ''""),0)"),1.0)</f>
        <v>1</v>
      </c>
      <c r="F18" s="119">
        <f>IFERROR(__xludf.DUMMYFUNCTION("IFNA(QUERY('1. Karten'!$A:$Q,""select count(A) where ("" &amp; IF($A$4=""*"",,""C="" &amp; $A$4 &amp; "" AND"") &amp; "" B LIKE '%"" &amp; $B18 &amp; ""%' AND J='"" &amp; F$1 &amp; ""') label Count(A) ''""),0)"),1.0)</f>
        <v>1</v>
      </c>
      <c r="G18" s="20" t="s">
        <v>1744</v>
      </c>
    </row>
    <row r="19">
      <c r="A19" s="116" t="s">
        <v>1745</v>
      </c>
      <c r="B19" s="134"/>
      <c r="C19" s="135">
        <f>IFERROR(__xludf.DUMMYFUNCTION("IFNA(QUERY('1. Karten'!$A:$Q,""select count(A) where (C="" &amp; $A$4 &amp; "") label Count(A) ''""),0)"),182.0)</f>
        <v>182</v>
      </c>
      <c r="D19" s="135">
        <f>IFERROR(__xludf.DUMMYFUNCTION("IFNA(QUERY('1. Karten'!$A:$Q,""select count(A) where (C="" &amp; $A$4 &amp; "" AND J='"" &amp; D$1 &amp; ""') label Count(A) ''""),0)"),83.0)</f>
        <v>83</v>
      </c>
      <c r="E19" s="135">
        <f>IFERROR(__xludf.DUMMYFUNCTION("IFNA(QUERY('1. Karten'!$A:$Q,""select count(A) where (C="" &amp; $A$4 &amp; "" AND J='"" &amp; E$1 &amp; ""') label Count(A) ''""),0)"),56.0)</f>
        <v>56</v>
      </c>
      <c r="F19" s="135">
        <f>IFERROR(__xludf.DUMMYFUNCTION("IFNA(QUERY('1. Karten'!$A:$Q,""select count(A) where (C="" &amp; $A$4 &amp; "" AND J='"" &amp; F$1 &amp; ""') label Count(A) ''""),0)"),36.0)</f>
        <v>36</v>
      </c>
    </row>
    <row r="20">
      <c r="A20" s="136">
        <f>3*$D$19 + 2*$E$19 + $F$19</f>
        <v>397</v>
      </c>
      <c r="C20" s="137">
        <v>1.0</v>
      </c>
      <c r="D20" s="138" t="str">
        <f t="shared" ref="D20:F20" si="1">ROUND(D$19/$C$19*100,2) &amp; "%"</f>
        <v>45,6%</v>
      </c>
      <c r="E20" s="138" t="str">
        <f t="shared" si="1"/>
        <v>30,77%</v>
      </c>
      <c r="F20" s="138" t="str">
        <f t="shared" si="1"/>
        <v>19,78%</v>
      </c>
      <c r="I20" s="139" t="s">
        <v>1746</v>
      </c>
      <c r="J20" s="140" t="s">
        <v>1747</v>
      </c>
      <c r="K20" s="141" t="s">
        <v>1748</v>
      </c>
      <c r="L20" s="142" t="s">
        <v>1749</v>
      </c>
      <c r="M20" s="143" t="s">
        <v>1750</v>
      </c>
      <c r="N20" s="144" t="s">
        <v>1751</v>
      </c>
    </row>
    <row r="21">
      <c r="A21" s="116" t="s">
        <v>1752</v>
      </c>
      <c r="B21" s="145" t="s">
        <v>33</v>
      </c>
      <c r="C21" s="145" t="s">
        <v>69</v>
      </c>
      <c r="D21" s="145" t="s">
        <v>39</v>
      </c>
      <c r="E21" s="146" t="s">
        <v>1753</v>
      </c>
      <c r="F21" s="145" t="s">
        <v>1754</v>
      </c>
      <c r="H21" s="147" t="str">
        <f>IFERROR(__xludf.DUMMYFUNCTION("QUERY(UNIQUE(FLATTEN(MAP(UNIQUE(IFNA(QUERY('1. Karten'!$A$2:$Q1000,""select D where (C="" &amp; $A$4 &amp; "")"")),""""),LAMBDA(x,(SPLIT(x,"" "")))))),""SELECT * WHERE (Col1 IS NOT NULL) AND (Col1 matches '^\w+$')"")"),"Angel")</f>
        <v>Angel</v>
      </c>
      <c r="I21" s="148">
        <f>IFERROR(__xludf.DUMMYFUNCTION("IFNA(QUERY('1. Karten'!$A:$Q,""select count(A) where (C="" &amp; $A$4 &amp; "" AND D LIKE '%"" &amp; $H21 &amp; ""%') label Count(A) ''""),0)"),18.0)</f>
        <v>18</v>
      </c>
      <c r="J21" s="149">
        <f>IFERROR(__xludf.DUMMYFUNCTION("IFNA(QUERY('1. Karten'!$A:$Q,""select count(A) where (C="" &amp; $A$4 &amp; "" AND D LIKE '%"" &amp; $H21 &amp; ""%' AND B LIKE '%"" &amp; REGEXEXTRACT(J$20,""[^#\s]+"") &amp; ""%') label Count(A) ''""),0)"),15.0)</f>
        <v>15</v>
      </c>
      <c r="K21" s="149">
        <f>IFERROR(__xludf.DUMMYFUNCTION("IFNA(QUERY('1. Karten'!$A:$Q,""select count(A) where (C="" &amp; $A$4 &amp; "" AND D LIKE '%"" &amp; $H21 &amp; ""%' AND B LIKE '%"" &amp; REGEXEXTRACT(K$20,""[^#\s]+"") &amp; ""%') label Count(A) ''""),0)"),1.0)</f>
        <v>1</v>
      </c>
      <c r="L21" s="149">
        <f>IFERROR(__xludf.DUMMYFUNCTION("IFNA(QUERY('1. Karten'!$A:$Q,""select count(A) where (C="" &amp; $A$4 &amp; "" AND D LIKE '%"" &amp; $H21 &amp; ""%' AND B LIKE '%"" &amp; REGEXEXTRACT(L$20,""[^#\s]+"") &amp; ""%') label Count(A) ''""),0)"),2.0)</f>
        <v>2</v>
      </c>
      <c r="M21" s="149">
        <f>IFERROR(__xludf.DUMMYFUNCTION("IFNA(QUERY('1. Karten'!$A:$Q,""select count(A) where (C="" &amp; $A$4 &amp; "" AND D LIKE '%"" &amp; $H21 &amp; ""%' AND B LIKE '%"" &amp; REGEXEXTRACT(M$20,""[^#\s]+"") &amp; ""%') label Count(A) ''""),0)"),1.0)</f>
        <v>1</v>
      </c>
      <c r="N21" s="149">
        <f>IFERROR(__xludf.DUMMYFUNCTION("IFNA(QUERY('1. Karten'!$A:$Q,""select count(A) where (C="" &amp; $A$4 &amp; "" AND D LIKE '%"" &amp; $H21 &amp; ""%' AND B LIKE '%"" &amp; REGEXEXTRACT(N$20,""[^#\s]+"") &amp; ""%') label Count(A) ''""),0)"),4.0)</f>
        <v>4</v>
      </c>
    </row>
    <row r="22">
      <c r="A22" s="150" t="s">
        <v>15</v>
      </c>
      <c r="B22" s="108">
        <f>IFERROR(__xludf.DUMMYFUNCTION("IFNA(QUERY('1. Karten'!$A:$Q,""select count(A) where (C="" &amp; $A$4 &amp; "" AND F LIKE '%"" &amp; $A22 &amp; ""%' AND J='"" &amp; B$21 &amp; ""') label Count(A) ''""),0)"),3.0)</f>
        <v>3</v>
      </c>
      <c r="C22" s="108">
        <f>IFERROR(__xludf.DUMMYFUNCTION("IFNA(QUERY('1. Karten'!$A:$Q,""select count(A) where (C="" &amp; $A$4 &amp; "" AND F LIKE '%"" &amp; $A22 &amp; ""%' AND J='"" &amp; C$21 &amp; ""') label Count(A) ''""),0)"),1.0)</f>
        <v>1</v>
      </c>
      <c r="D22" s="108">
        <f>IFERROR(__xludf.DUMMYFUNCTION("IFNA(QUERY('1. Karten'!$A:$Q,""select count(A) where (C="" &amp; $A$4 &amp; "" AND F LIKE '%"" &amp; $A22 &amp; ""%' AND J='"" &amp; D$21 &amp; ""') label Count(A) ''""),0)"),1.0)</f>
        <v>1</v>
      </c>
      <c r="E22" s="151">
        <f t="shared" ref="E22:E34" si="2">SUM($B22:$D22)</f>
        <v>5</v>
      </c>
      <c r="F22" s="152">
        <f t="shared" ref="F22:F34" si="3">($E22/$A$2)</f>
        <v>0.02747252747</v>
      </c>
      <c r="H22" s="153" t="str">
        <f>IFERROR(__xludf.DUMMYFUNCTION("""COMPUTED_VALUE"""),"Warrior")</f>
        <v>Warrior</v>
      </c>
      <c r="I22" s="148">
        <f>IFERROR(__xludf.DUMMYFUNCTION("IFNA(QUERY('1. Karten'!$A:$Q,""select count(A) where (C="" &amp; $A$4 &amp; "" AND D LIKE '%"" &amp; $H22 &amp; ""%') label Count(A) ''""),0)"),22.0)</f>
        <v>22</v>
      </c>
      <c r="J22" s="149">
        <f>IFERROR(__xludf.DUMMYFUNCTION("IFNA(QUERY('1. Karten'!$A:$Q,""select count(A) where (C="" &amp; $A$4 &amp; "" AND D LIKE '%"" &amp; $H22 &amp; ""%' AND B LIKE '%"" &amp; REGEXEXTRACT(J$20,""[^#\s]+"") &amp; ""%') label Count(A) ''""),0)"),7.0)</f>
        <v>7</v>
      </c>
      <c r="K22" s="149">
        <f>IFERROR(__xludf.DUMMYFUNCTION("IFNA(QUERY('1. Karten'!$A:$Q,""select count(A) where (C="" &amp; $A$4 &amp; "" AND D LIKE '%"" &amp; $H22 &amp; ""%' AND B LIKE '%"" &amp; REGEXEXTRACT(K$20,""[^#\s]+"") &amp; ""%') label Count(A) ''""),0)"),1.0)</f>
        <v>1</v>
      </c>
      <c r="L22" s="149">
        <f>IFERROR(__xludf.DUMMYFUNCTION("IFNA(QUERY('1. Karten'!$A:$Q,""select count(A) where (C="" &amp; $A$4 &amp; "" AND D LIKE '%"" &amp; $H22 &amp; ""%' AND B LIKE '%"" &amp; REGEXEXTRACT(L$20,""[^#\s]+"") &amp; ""%') label Count(A) ''""),0)"),4.0)</f>
        <v>4</v>
      </c>
      <c r="M22" s="149">
        <f>IFERROR(__xludf.DUMMYFUNCTION("IFNA(QUERY('1. Karten'!$A:$Q,""select count(A) where (C="" &amp; $A$4 &amp; "" AND D LIKE '%"" &amp; $H22 &amp; ""%' AND B LIKE '%"" &amp; REGEXEXTRACT(M$20,""[^#\s]+"") &amp; ""%') label Count(A) ''""),0)"),13.0)</f>
        <v>13</v>
      </c>
      <c r="N22" s="149">
        <f>IFERROR(__xludf.DUMMYFUNCTION("IFNA(QUERY('1. Karten'!$A:$Q,""select count(A) where (C="" &amp; $A$4 &amp; "" AND D LIKE '%"" &amp; $H22 &amp; ""%' AND B LIKE '%"" &amp; REGEXEXTRACT(N$20,""[^#\s]+"") &amp; ""%') label Count(A) ''""),0)"),3.0)</f>
        <v>3</v>
      </c>
    </row>
    <row r="23">
      <c r="A23" s="150" t="s">
        <v>11</v>
      </c>
      <c r="B23" s="108">
        <f>IFERROR(__xludf.DUMMYFUNCTION("IFNA(QUERY('1. Karten'!$A:$Q,""select count(A) where (C="" &amp; $A$4 &amp; "" AND F LIKE '%"" &amp; $A23 &amp; ""%' AND J='"" &amp; B$21 &amp; ""') label Count(A) ''""),0)"),2.0)</f>
        <v>2</v>
      </c>
      <c r="C23" s="108">
        <f>IFERROR(__xludf.DUMMYFUNCTION("IFNA(QUERY('1. Karten'!$A:$Q,""select count(A) where (C="" &amp; $A$4 &amp; "" AND F LIKE '%"" &amp; $A23 &amp; ""%' AND J='"" &amp; C$21 &amp; ""') label Count(A) ''""),0)"),1.0)</f>
        <v>1</v>
      </c>
      <c r="D23" s="108">
        <f>IFERROR(__xludf.DUMMYFUNCTION("IFNA(QUERY('1. Karten'!$A:$Q,""select count(A) where (C="" &amp; $A$4 &amp; "" AND F LIKE '%"" &amp; $A23 &amp; ""%' AND J='"" &amp; D$21 &amp; ""') label Count(A) ''""),0)"),1.0)</f>
        <v>1</v>
      </c>
      <c r="E23" s="151">
        <f t="shared" si="2"/>
        <v>4</v>
      </c>
      <c r="F23" s="152">
        <f t="shared" si="3"/>
        <v>0.02197802198</v>
      </c>
      <c r="H23" s="153" t="str">
        <f>IFERROR(__xludf.DUMMYFUNCTION("""COMPUTED_VALUE"""),"Construct")</f>
        <v>Construct</v>
      </c>
      <c r="I23" s="148">
        <f>IFERROR(__xludf.DUMMYFUNCTION("IFNA(QUERY('1. Karten'!$A:$Q,""select count(A) where (C="" &amp; $A$4 &amp; "" AND D LIKE '%"" &amp; $H23 &amp; ""%') label Count(A) ''""),0)"),27.0)</f>
        <v>27</v>
      </c>
      <c r="J23" s="149">
        <f>IFERROR(__xludf.DUMMYFUNCTION("IFNA(QUERY('1. Karten'!$A:$Q,""select count(A) where (C="" &amp; $A$4 &amp; "" AND D LIKE '%"" &amp; $H23 &amp; ""%' AND B LIKE '%"" &amp; REGEXEXTRACT(J$20,""[^#\s]+"") &amp; ""%') label Count(A) ''""),0)"),15.0)</f>
        <v>15</v>
      </c>
      <c r="K23" s="149">
        <f>IFERROR(__xludf.DUMMYFUNCTION("IFNA(QUERY('1. Karten'!$A:$Q,""select count(A) where (C="" &amp; $A$4 &amp; "" AND D LIKE '%"" &amp; $H23 &amp; ""%' AND B LIKE '%"" &amp; REGEXEXTRACT(K$20,""[^#\s]+"") &amp; ""%') label Count(A) ''""),0)"),2.0)</f>
        <v>2</v>
      </c>
      <c r="L23" s="149">
        <f>IFERROR(__xludf.DUMMYFUNCTION("IFNA(QUERY('1. Karten'!$A:$Q,""select count(A) where (C="" &amp; $A$4 &amp; "" AND D LIKE '%"" &amp; $H23 &amp; ""%' AND B LIKE '%"" &amp; REGEXEXTRACT(L$20,""[^#\s]+"") &amp; ""%') label Count(A) ''""),0)"),1.0)</f>
        <v>1</v>
      </c>
      <c r="M23" s="149">
        <f>IFERROR(__xludf.DUMMYFUNCTION("IFNA(QUERY('1. Karten'!$A:$Q,""select count(A) where (C="" &amp; $A$4 &amp; "" AND D LIKE '%"" &amp; $H23 &amp; ""%' AND B LIKE '%"" &amp; REGEXEXTRACT(M$20,""[^#\s]+"") &amp; ""%') label Count(A) ''""),0)"),6.0)</f>
        <v>6</v>
      </c>
      <c r="N23" s="149">
        <f>IFERROR(__xludf.DUMMYFUNCTION("IFNA(QUERY('1. Karten'!$A:$Q,""select count(A) where (C="" &amp; $A$4 &amp; "" AND D LIKE '%"" &amp; $H23 &amp; ""%' AND B LIKE '%"" &amp; REGEXEXTRACT(N$20,""[^#\s]+"") &amp; ""%') label Count(A) ''""),0)"),1.0)</f>
        <v>1</v>
      </c>
    </row>
    <row r="24">
      <c r="A24" s="150" t="s">
        <v>14</v>
      </c>
      <c r="B24" s="108">
        <f>IFERROR(__xludf.DUMMYFUNCTION("IFNA(QUERY('1. Karten'!$A:$Q,""select count(A) where (C="" &amp; $A$4 &amp; "" AND F LIKE '%"" &amp; $A24 &amp; ""%' AND J='"" &amp; B$21 &amp; ""') label Count(A) ''""),0)"),2.0)</f>
        <v>2</v>
      </c>
      <c r="C24" s="108">
        <f>IFERROR(__xludf.DUMMYFUNCTION("IFNA(QUERY('1. Karten'!$A:$Q,""select count(A) where (C="" &amp; $A$4 &amp; "" AND F LIKE '%"" &amp; $A24 &amp; ""%' AND J='"" &amp; C$21 &amp; ""') label Count(A) ''""),0)"),2.0)</f>
        <v>2</v>
      </c>
      <c r="D24" s="108">
        <f>IFERROR(__xludf.DUMMYFUNCTION("IFNA(QUERY('1. Karten'!$A:$Q,""select count(A) where (C="" &amp; $A$4 &amp; "" AND F LIKE '%"" &amp; $A24 &amp; ""%' AND J='"" &amp; D$21 &amp; ""') label Count(A) ''""),0)"),1.0)</f>
        <v>1</v>
      </c>
      <c r="E24" s="151">
        <f t="shared" si="2"/>
        <v>5</v>
      </c>
      <c r="F24" s="152">
        <f t="shared" si="3"/>
        <v>0.02747252747</v>
      </c>
      <c r="H24" s="153" t="str">
        <f>IFERROR(__xludf.DUMMYFUNCTION("""COMPUTED_VALUE"""),"Dragon")</f>
        <v>Dragon</v>
      </c>
      <c r="I24" s="148">
        <f>IFERROR(__xludf.DUMMYFUNCTION("IFNA(QUERY('1. Karten'!$A:$Q,""select count(A) where (C="" &amp; $A$4 &amp; "" AND D LIKE '%"" &amp; $H24 &amp; ""%') label Count(A) ''""),0)"),22.0)</f>
        <v>22</v>
      </c>
      <c r="J24" s="149">
        <f>IFERROR(__xludf.DUMMYFUNCTION("IFNA(QUERY('1. Karten'!$A:$Q,""select count(A) where (C="" &amp; $A$4 &amp; "" AND D LIKE '%"" &amp; $H24 &amp; ""%' AND B LIKE '%"" &amp; REGEXEXTRACT(J$20,""[^#\s]+"") &amp; ""%') label Count(A) ''""),0)"),2.0)</f>
        <v>2</v>
      </c>
      <c r="K24" s="149">
        <f>IFERROR(__xludf.DUMMYFUNCTION("IFNA(QUERY('1. Karten'!$A:$Q,""select count(A) where (C="" &amp; $A$4 &amp; "" AND D LIKE '%"" &amp; $H24 &amp; ""%' AND B LIKE '%"" &amp; REGEXEXTRACT(K$20,""[^#\s]+"") &amp; ""%') label Count(A) ''""),0)"),3.0)</f>
        <v>3</v>
      </c>
      <c r="L24" s="149">
        <f>IFERROR(__xludf.DUMMYFUNCTION("IFNA(QUERY('1. Karten'!$A:$Q,""select count(A) where (C="" &amp; $A$4 &amp; "" AND D LIKE '%"" &amp; $H24 &amp; ""%' AND B LIKE '%"" &amp; REGEXEXTRACT(L$20,""[^#\s]+"") &amp; ""%') label Count(A) ''""),0)"),16.0)</f>
        <v>16</v>
      </c>
      <c r="M24" s="149">
        <f>IFERROR(__xludf.DUMMYFUNCTION("IFNA(QUERY('1. Karten'!$A:$Q,""select count(A) where (C="" &amp; $A$4 &amp; "" AND D LIKE '%"" &amp; $H24 &amp; ""%' AND B LIKE '%"" &amp; REGEXEXTRACT(M$20,""[^#\s]+"") &amp; ""%') label Count(A) ''""),0)"),3.0)</f>
        <v>3</v>
      </c>
      <c r="N24" s="149">
        <f>IFERROR(__xludf.DUMMYFUNCTION("IFNA(QUERY('1. Karten'!$A:$Q,""select count(A) where (C="" &amp; $A$4 &amp; "" AND D LIKE '%"" &amp; $H24 &amp; ""%' AND B LIKE '%"" &amp; REGEXEXTRACT(N$20,""[^#\s]+"") &amp; ""%') label Count(A) ''""),0)"),1.0)</f>
        <v>1</v>
      </c>
    </row>
    <row r="25">
      <c r="A25" s="150" t="s">
        <v>12</v>
      </c>
      <c r="B25" s="108">
        <f>IFERROR(__xludf.DUMMYFUNCTION("IFNA(QUERY('1. Karten'!$A:$Q,""select count(A) where (C="" &amp; $A$4 &amp; "" AND F LIKE '%"" &amp; $A25 &amp; ""%' AND J='"" &amp; B$21 &amp; ""') label Count(A) ''""),0)"),2.0)</f>
        <v>2</v>
      </c>
      <c r="C25" s="108">
        <f>IFERROR(__xludf.DUMMYFUNCTION("IFNA(QUERY('1. Karten'!$A:$Q,""select count(A) where (C="" &amp; $A$4 &amp; "" AND F LIKE '%"" &amp; $A25 &amp; ""%' AND J='"" &amp; C$21 &amp; ""') label Count(A) ''""),0)"),0.0)</f>
        <v>0</v>
      </c>
      <c r="D25" s="108">
        <f>IFERROR(__xludf.DUMMYFUNCTION("IFNA(QUERY('1. Karten'!$A:$Q,""select count(A) where (C="" &amp; $A$4 &amp; "" AND F LIKE '%"" &amp; $A25 &amp; ""%' AND J='"" &amp; D$21 &amp; ""') label Count(A) ''""),0)"),1.0)</f>
        <v>1</v>
      </c>
      <c r="E25" s="151">
        <f t="shared" si="2"/>
        <v>3</v>
      </c>
      <c r="F25" s="152">
        <f t="shared" si="3"/>
        <v>0.01648351648</v>
      </c>
      <c r="H25" s="153" t="str">
        <f>IFERROR(__xludf.DUMMYFUNCTION("""COMPUTED_VALUE"""),"Undead")</f>
        <v>Undead</v>
      </c>
      <c r="I25" s="148">
        <f>IFERROR(__xludf.DUMMYFUNCTION("IFNA(QUERY('1. Karten'!$A:$Q,""select count(A) where (C="" &amp; $A$4 &amp; "" AND D LIKE '%"" &amp; $H25 &amp; ""%') label Count(A) ''""),0)"),20.0)</f>
        <v>20</v>
      </c>
      <c r="J25" s="149">
        <f>IFERROR(__xludf.DUMMYFUNCTION("IFNA(QUERY('1. Karten'!$A:$Q,""select count(A) where (C="" &amp; $A$4 &amp; "" AND D LIKE '%"" &amp; $H25 &amp; ""%' AND B LIKE '%"" &amp; REGEXEXTRACT(J$20,""[^#\s]+"") &amp; ""%') label Count(A) ''""),0)"),3.0)</f>
        <v>3</v>
      </c>
      <c r="K25" s="149">
        <f>IFERROR(__xludf.DUMMYFUNCTION("IFNA(QUERY('1. Karten'!$A:$Q,""select count(A) where (C="" &amp; $A$4 &amp; "" AND D LIKE '%"" &amp; $H25 &amp; ""%' AND B LIKE '%"" &amp; REGEXEXTRACT(K$20,""[^#\s]+"") &amp; ""%') label Count(A) ''""),0)"),1.0)</f>
        <v>1</v>
      </c>
      <c r="L25" s="149">
        <f>IFERROR(__xludf.DUMMYFUNCTION("IFNA(QUERY('1. Karten'!$A:$Q,""select count(A) where (C="" &amp; $A$4 &amp; "" AND D LIKE '%"" &amp; $H25 &amp; ""%' AND B LIKE '%"" &amp; REGEXEXTRACT(L$20,""[^#\s]+"") &amp; ""%') label Count(A) ''""),0)"),2.0)</f>
        <v>2</v>
      </c>
      <c r="M25" s="149">
        <f>IFERROR(__xludf.DUMMYFUNCTION("IFNA(QUERY('1. Karten'!$A:$Q,""select count(A) where (C="" &amp; $A$4 &amp; "" AND D LIKE '%"" &amp; $H25 &amp; ""%' AND B LIKE '%"" &amp; REGEXEXTRACT(M$20,""[^#\s]+"") &amp; ""%') label Count(A) ''""),0)"),2.0)</f>
        <v>2</v>
      </c>
      <c r="N25" s="149">
        <f>IFERROR(__xludf.DUMMYFUNCTION("IFNA(QUERY('1. Karten'!$A:$Q,""select count(A) where (C="" &amp; $A$4 &amp; "" AND D LIKE '%"" &amp; $H25 &amp; ""%' AND B LIKE '%"" &amp; REGEXEXTRACT(N$20,""[^#\s]+"") &amp; ""%') label Count(A) ''""),0)"),16.0)</f>
        <v>16</v>
      </c>
    </row>
    <row r="26">
      <c r="A26" s="150" t="s">
        <v>13</v>
      </c>
      <c r="B26" s="108">
        <f>IFERROR(__xludf.DUMMYFUNCTION("IFNA(QUERY('1. Karten'!$A:$Q,""select count(A) where (C="" &amp; $A$4 &amp; "" AND F LIKE '%"" &amp; $A26 &amp; ""%' AND J='"" &amp; B$21 &amp; ""') label Count(A) ''""),0)"),4.0)</f>
        <v>4</v>
      </c>
      <c r="C26" s="108">
        <f>IFERROR(__xludf.DUMMYFUNCTION("IFNA(QUERY('1. Karten'!$A:$Q,""select count(A) where (C="" &amp; $A$4 &amp; "" AND F LIKE '%"" &amp; $A26 &amp; ""%' AND J='"" &amp; C$21 &amp; ""') label Count(A) ''""),0)"),2.0)</f>
        <v>2</v>
      </c>
      <c r="D26" s="108">
        <f>IFERROR(__xludf.DUMMYFUNCTION("IFNA(QUERY('1. Karten'!$A:$Q,""select count(A) where (C="" &amp; $A$4 &amp; "" AND F LIKE '%"" &amp; $A26 &amp; ""%' AND J='"" &amp; D$21 &amp; ""') label Count(A) ''""),0)"),1.0)</f>
        <v>1</v>
      </c>
      <c r="E26" s="151">
        <f t="shared" si="2"/>
        <v>7</v>
      </c>
      <c r="F26" s="152">
        <f t="shared" si="3"/>
        <v>0.03846153846</v>
      </c>
      <c r="H26" s="153" t="str">
        <f>IFERROR(__xludf.DUMMYFUNCTION("""COMPUTED_VALUE"""),"Wizard")</f>
        <v>Wizard</v>
      </c>
      <c r="I26" s="148">
        <f>IFERROR(__xludf.DUMMYFUNCTION("IFNA(QUERY('1. Karten'!$A:$Q,""select count(A) where (C="" &amp; $A$4 &amp; "" AND D LIKE '%"" &amp; $H26 &amp; ""%') label Count(A) ''""),0)"),19.0)</f>
        <v>19</v>
      </c>
      <c r="J26" s="149">
        <f>IFERROR(__xludf.DUMMYFUNCTION("IFNA(QUERY('1. Karten'!$A:$Q,""select count(A) where (C="" &amp; $A$4 &amp; "" AND D LIKE '%"" &amp; $H26 &amp; ""%' AND B LIKE '%"" &amp; REGEXEXTRACT(J$20,""[^#\s]+"") &amp; ""%') label Count(A) ''""),0)"),4.0)</f>
        <v>4</v>
      </c>
      <c r="K26" s="149">
        <f>IFERROR(__xludf.DUMMYFUNCTION("IFNA(QUERY('1. Karten'!$A:$Q,""select count(A) where (C="" &amp; $A$4 &amp; "" AND D LIKE '%"" &amp; $H26 &amp; ""%' AND B LIKE '%"" &amp; REGEXEXTRACT(K$20,""[^#\s]+"") &amp; ""%') label Count(A) ''""),0)"),3.0)</f>
        <v>3</v>
      </c>
      <c r="L26" s="149">
        <f>IFERROR(__xludf.DUMMYFUNCTION("IFNA(QUERY('1. Karten'!$A:$Q,""select count(A) where (C="" &amp; $A$4 &amp; "" AND D LIKE '%"" &amp; $H26 &amp; ""%' AND B LIKE '%"" &amp; REGEXEXTRACT(L$20,""[^#\s]+"") &amp; ""%') label Count(A) ''""),0)"),8.0)</f>
        <v>8</v>
      </c>
      <c r="M26" s="149">
        <f>IFERROR(__xludf.DUMMYFUNCTION("IFNA(QUERY('1. Karten'!$A:$Q,""select count(A) where (C="" &amp; $A$4 &amp; "" AND D LIKE '%"" &amp; $H26 &amp; ""%' AND B LIKE '%"" &amp; REGEXEXTRACT(M$20,""[^#\s]+"") &amp; ""%') label Count(A) ''""),0)"),4.0)</f>
        <v>4</v>
      </c>
      <c r="N26" s="149">
        <f>IFERROR(__xludf.DUMMYFUNCTION("IFNA(QUERY('1. Karten'!$A:$Q,""select count(A) where (C="" &amp; $A$4 &amp; "" AND D LIKE '%"" &amp; $H26 &amp; ""%' AND B LIKE '%"" &amp; REGEXEXTRACT(N$20,""[^#\s]+"") &amp; ""%') label Count(A) ''""),0)"),5.0)</f>
        <v>5</v>
      </c>
    </row>
    <row r="27">
      <c r="A27" s="154" t="s">
        <v>1755</v>
      </c>
      <c r="B27" s="108">
        <f>IFERROR(__xludf.DUMMYFUNCTION("IFNA(QUERY('1. Karten'!$A:$Q,""select count(A) where (C="" &amp; $A$4 &amp; "" AND F LIKE '%"" &amp; $A27 &amp; ""%' AND J='"" &amp; B$21 &amp; ""') label Count(A) ''""),0)"),11.0)</f>
        <v>11</v>
      </c>
      <c r="C27" s="108">
        <f>IFERROR(__xludf.DUMMYFUNCTION("IFNA(QUERY('1. Karten'!$A:$Q,""select count(A) where (C="" &amp; $A$4 &amp; "" AND F LIKE '%"" &amp; $A27 &amp; ""%' AND J='"" &amp; C$21 &amp; ""') label Count(A) ''""),0)"),14.0)</f>
        <v>14</v>
      </c>
      <c r="D27" s="108">
        <f>IFERROR(__xludf.DUMMYFUNCTION("IFNA(QUERY('1. Karten'!$A:$Q,""select count(A) where (C="" &amp; $A$4 &amp; "" AND F LIKE '%"" &amp; $A27 &amp; ""%' AND J='"" &amp; D$21 &amp; ""') label Count(A) ''""),0)"),4.0)</f>
        <v>4</v>
      </c>
      <c r="E27" s="151">
        <f t="shared" si="2"/>
        <v>29</v>
      </c>
      <c r="F27" s="155">
        <f t="shared" si="3"/>
        <v>0.1593406593</v>
      </c>
      <c r="H27" s="153" t="str">
        <f>IFERROR(__xludf.DUMMYFUNCTION("""COMPUTED_VALUE"""),"Animal")</f>
        <v>Animal</v>
      </c>
      <c r="I27" s="148">
        <f>IFERROR(__xludf.DUMMYFUNCTION("IFNA(QUERY('1. Karten'!$A:$Q,""select count(A) where (C="" &amp; $A$4 &amp; "" AND D LIKE '%"" &amp; $H27 &amp; ""%') label Count(A) ''""),0)"),38.0)</f>
        <v>38</v>
      </c>
      <c r="J27" s="149">
        <f>IFERROR(__xludf.DUMMYFUNCTION("IFNA(QUERY('1. Karten'!$A:$Q,""select count(A) where (C="" &amp; $A$4 &amp; "" AND D LIKE '%"" &amp; $H27 &amp; ""%' AND B LIKE '%"" &amp; REGEXEXTRACT(J$20,""[^#\s]+"") &amp; ""%') label Count(A) ''""),0)"),11.0)</f>
        <v>11</v>
      </c>
      <c r="K27" s="149">
        <f>IFERROR(__xludf.DUMMYFUNCTION("IFNA(QUERY('1. Karten'!$A:$Q,""select count(A) where (C="" &amp; $A$4 &amp; "" AND D LIKE '%"" &amp; $H27 &amp; ""%' AND B LIKE '%"" &amp; REGEXEXTRACT(K$20,""[^#\s]+"") &amp; ""%') label Count(A) ''""),0)"),12.0)</f>
        <v>12</v>
      </c>
      <c r="L27" s="149">
        <f>IFERROR(__xludf.DUMMYFUNCTION("IFNA(QUERY('1. Karten'!$A:$Q,""select count(A) where (C="" &amp; $A$4 &amp; "" AND D LIKE '%"" &amp; $H27 &amp; ""%' AND B LIKE '%"" &amp; REGEXEXTRACT(L$20,""[^#\s]+"") &amp; ""%') label Count(A) ''""),0)"),4.0)</f>
        <v>4</v>
      </c>
      <c r="M27" s="149">
        <f>IFERROR(__xludf.DUMMYFUNCTION("IFNA(QUERY('1. Karten'!$A:$Q,""select count(A) where (C="" &amp; $A$4 &amp; "" AND D LIKE '%"" &amp; $H27 &amp; ""%' AND B LIKE '%"" &amp; REGEXEXTRACT(M$20,""[^#\s]+"") &amp; ""%') label Count(A) ''""),0)"),9.0)</f>
        <v>9</v>
      </c>
      <c r="N27" s="149">
        <f>IFERROR(__xludf.DUMMYFUNCTION("IFNA(QUERY('1. Karten'!$A:$Q,""select count(A) where (C="" &amp; $A$4 &amp; "" AND D LIKE '%"" &amp; $H27 &amp; ""%' AND B LIKE '%"" &amp; REGEXEXTRACT(N$20,""[^#\s]+"") &amp; ""%') label Count(A) ''""),0)"),5.0)</f>
        <v>5</v>
      </c>
    </row>
    <row r="28">
      <c r="A28" s="156" t="s">
        <v>1756</v>
      </c>
      <c r="B28" s="108">
        <f>IFERROR(__xludf.DUMMYFUNCTION("IFNA(QUERY('1. Karten'!$A:$Q,""select count(A) where (C="" &amp; $A$4 &amp; "" AND F LIKE '%"" &amp; $A28 &amp; ""%' AND J='"" &amp; B$21 &amp; ""') label Count(A) ''""),0)"),9.0)</f>
        <v>9</v>
      </c>
      <c r="C28" s="108">
        <f>IFERROR(__xludf.DUMMYFUNCTION("IFNA(QUERY('1. Karten'!$A:$Q,""select count(A) where (C="" &amp; $A$4 &amp; "" AND F LIKE '%"" &amp; $A28 &amp; ""%' AND J='"" &amp; C$21 &amp; ""') label Count(A) ''""),0)"),12.0)</f>
        <v>12</v>
      </c>
      <c r="D28" s="108">
        <f>IFERROR(__xludf.DUMMYFUNCTION("IFNA(QUERY('1. Karten'!$A:$Q,""select count(A) where (C="" &amp; $A$4 &amp; "" AND F LIKE '%"" &amp; $A28 &amp; ""%' AND J='"" &amp; D$21 &amp; ""') label Count(A) ''""),0)"),9.0)</f>
        <v>9</v>
      </c>
      <c r="E28" s="157">
        <f t="shared" si="2"/>
        <v>30</v>
      </c>
      <c r="F28" s="158">
        <f t="shared" si="3"/>
        <v>0.1648351648</v>
      </c>
      <c r="H28" s="153" t="str">
        <f>IFERROR(__xludf.DUMMYFUNCTION("""COMPUTED_VALUE"""),"Human")</f>
        <v>Human</v>
      </c>
      <c r="I28" s="148">
        <f>IFERROR(__xludf.DUMMYFUNCTION("IFNA(QUERY('1. Karten'!$A:$Q,""select count(A) where (C="" &amp; $A$4 &amp; "" AND D LIKE '%"" &amp; $H28 &amp; ""%') label Count(A) ''""),0)"),28.0)</f>
        <v>28</v>
      </c>
      <c r="J28" s="149">
        <f>IFERROR(__xludf.DUMMYFUNCTION("IFNA(QUERY('1. Karten'!$A:$Q,""select count(A) where (C="" &amp; $A$4 &amp; "" AND D LIKE '%"" &amp; $H28 &amp; ""%' AND B LIKE '%"" &amp; REGEXEXTRACT(J$20,""[^#\s]+"") &amp; ""%') label Count(A) ''""),0)"),2.0)</f>
        <v>2</v>
      </c>
      <c r="K28" s="149">
        <f>IFERROR(__xludf.DUMMYFUNCTION("IFNA(QUERY('1. Karten'!$A:$Q,""select count(A) where (C="" &amp; $A$4 &amp; "" AND D LIKE '%"" &amp; $H28 &amp; ""%' AND B LIKE '%"" &amp; REGEXEXTRACT(K$20,""[^#\s]+"") &amp; ""%') label Count(A) ''""),0)"),1.0)</f>
        <v>1</v>
      </c>
      <c r="L28" s="149">
        <f>IFERROR(__xludf.DUMMYFUNCTION("IFNA(QUERY('1. Karten'!$A:$Q,""select count(A) where (C="" &amp; $A$4 &amp; "" AND D LIKE '%"" &amp; $H28 &amp; ""%' AND B LIKE '%"" &amp; REGEXEXTRACT(L$20,""[^#\s]+"") &amp; ""%') label Count(A) ''""),0)"),9.0)</f>
        <v>9</v>
      </c>
      <c r="M28" s="149">
        <f>IFERROR(__xludf.DUMMYFUNCTION("IFNA(QUERY('1. Karten'!$A:$Q,""select count(A) where (C="" &amp; $A$4 &amp; "" AND D LIKE '%"" &amp; $H28 &amp; ""%' AND B LIKE '%"" &amp; REGEXEXTRACT(M$20,""[^#\s]+"") &amp; ""%') label Count(A) ''""),0)"),18.0)</f>
        <v>18</v>
      </c>
      <c r="N28" s="149">
        <f>IFERROR(__xludf.DUMMYFUNCTION("IFNA(QUERY('1. Karten'!$A:$Q,""select count(A) where (C="" &amp; $A$4 &amp; "" AND D LIKE '%"" &amp; $H28 &amp; ""%' AND B LIKE '%"" &amp; REGEXEXTRACT(N$20,""[^#\s]+"") &amp; ""%') label Count(A) ''""),0)"),3.0)</f>
        <v>3</v>
      </c>
    </row>
    <row r="29">
      <c r="A29" s="159" t="s">
        <v>1757</v>
      </c>
      <c r="B29" s="108">
        <f>IFERROR(__xludf.DUMMYFUNCTION("IFNA(QUERY('1. Karten'!$A:$Q,""select count(A) where (C="" &amp; $A$4 &amp; "" AND F LIKE '%"" &amp; $A29 &amp; ""%' AND J='"" &amp; B$21 &amp; ""') label Count(A) ''""),0)"),2.0)</f>
        <v>2</v>
      </c>
      <c r="C29" s="108">
        <f>IFERROR(__xludf.DUMMYFUNCTION("IFNA(QUERY('1. Karten'!$A:$Q,""select count(A) where (C="" &amp; $A$4 &amp; "" AND F LIKE '%"" &amp; $A29 &amp; ""%' AND J='"" &amp; C$21 &amp; ""') label Count(A) ''""),0)"),14.0)</f>
        <v>14</v>
      </c>
      <c r="D29" s="108">
        <f>IFERROR(__xludf.DUMMYFUNCTION("IFNA(QUERY('1. Karten'!$A:$Q,""select count(A) where (C="" &amp; $A$4 &amp; "" AND F LIKE '%"" &amp; $A29 &amp; ""%' AND J='"" &amp; D$21 &amp; ""') label Count(A) ''""),0)"),7.0)</f>
        <v>7</v>
      </c>
      <c r="E29" s="160">
        <f t="shared" si="2"/>
        <v>23</v>
      </c>
      <c r="F29" s="161">
        <f t="shared" si="3"/>
        <v>0.1263736264</v>
      </c>
      <c r="H29" s="153" t="str">
        <f>IFERROR(__xludf.DUMMYFUNCTION("""COMPUTED_VALUE"""),"Hunter")</f>
        <v>Hunter</v>
      </c>
      <c r="I29" s="148">
        <f>IFERROR(__xludf.DUMMYFUNCTION("IFNA(QUERY('1. Karten'!$A:$Q,""select count(A) where (C="" &amp; $A$4 &amp; "" AND D LIKE '%"" &amp; $H29 &amp; ""%') label Count(A) ''""),0)"),23.0)</f>
        <v>23</v>
      </c>
      <c r="J29" s="149">
        <f>IFERROR(__xludf.DUMMYFUNCTION("IFNA(QUERY('1. Karten'!$A:$Q,""select count(A) where (C="" &amp; $A$4 &amp; "" AND D LIKE '%"" &amp; $H29 &amp; ""%' AND B LIKE '%"" &amp; REGEXEXTRACT(J$20,""[^#\s]+"") &amp; ""%') label Count(A) ''""),0)"),2.0)</f>
        <v>2</v>
      </c>
      <c r="K29" s="149">
        <f>IFERROR(__xludf.DUMMYFUNCTION("IFNA(QUERY('1. Karten'!$A:$Q,""select count(A) where (C="" &amp; $A$4 &amp; "" AND D LIKE '%"" &amp; $H29 &amp; ""%' AND B LIKE '%"" &amp; REGEXEXTRACT(K$20,""[^#\s]+"") &amp; ""%') label Count(A) ''""),0)"),9.0)</f>
        <v>9</v>
      </c>
      <c r="L29" s="149">
        <f>IFERROR(__xludf.DUMMYFUNCTION("IFNA(QUERY('1. Karten'!$A:$Q,""select count(A) where (C="" &amp; $A$4 &amp; "" AND D LIKE '%"" &amp; $H29 &amp; ""%' AND B LIKE '%"" &amp; REGEXEXTRACT(L$20,""[^#\s]+"") &amp; ""%') label Count(A) ''""),0)"),3.0)</f>
        <v>3</v>
      </c>
      <c r="M29" s="149">
        <f>IFERROR(__xludf.DUMMYFUNCTION("IFNA(QUERY('1. Karten'!$A:$Q,""select count(A) where (C="" &amp; $A$4 &amp; "" AND D LIKE '%"" &amp; $H29 &amp; ""%' AND B LIKE '%"" &amp; REGEXEXTRACT(M$20,""[^#\s]+"") &amp; ""%') label Count(A) ''""),0)"),6.0)</f>
        <v>6</v>
      </c>
      <c r="N29" s="149">
        <f>IFERROR(__xludf.DUMMYFUNCTION("IFNA(QUERY('1. Karten'!$A:$Q,""select count(A) where (C="" &amp; $A$4 &amp; "" AND D LIKE '%"" &amp; $H29 &amp; ""%' AND B LIKE '%"" &amp; REGEXEXTRACT(N$20,""[^#\s]+"") &amp; ""%') label Count(A) ''""),0)"),4.0)</f>
        <v>4</v>
      </c>
    </row>
    <row r="30">
      <c r="A30" s="150" t="s">
        <v>1758</v>
      </c>
      <c r="B30" s="108">
        <f>IFERROR(__xludf.DUMMYFUNCTION("IFNA(QUERY('1. Karten'!$A:$Q,""select count(A) where (C="" &amp; $A$4 &amp; "" AND F LIKE '%"" &amp; $A30 &amp; ""%' AND J='"" &amp; B$21 &amp; ""') label Count(A) ''""),0)"),1.0)</f>
        <v>1</v>
      </c>
      <c r="C30" s="108">
        <f>IFERROR(__xludf.DUMMYFUNCTION("IFNA(QUERY('1. Karten'!$A:$Q,""select count(A) where (C="" &amp; $A$4 &amp; "" AND F LIKE '%"" &amp; $A30 &amp; ""%' AND J='"" &amp; C$21 &amp; ""') label Count(A) ''""),0)"),5.0)</f>
        <v>5</v>
      </c>
      <c r="D30" s="108">
        <f>IFERROR(__xludf.DUMMYFUNCTION("IFNA(QUERY('1. Karten'!$A:$Q,""select count(A) where (C="" &amp; $A$4 &amp; "" AND F LIKE '%"" &amp; $A30 &amp; ""%' AND J='"" &amp; D$21 &amp; ""') label Count(A) ''""),0)"),3.0)</f>
        <v>3</v>
      </c>
      <c r="E30" s="151">
        <f t="shared" si="2"/>
        <v>9</v>
      </c>
      <c r="F30" s="152">
        <f t="shared" si="3"/>
        <v>0.04945054945</v>
      </c>
      <c r="H30" s="153" t="str">
        <f>IFERROR(__xludf.DUMMYFUNCTION("""COMPUTED_VALUE"""),"Spirit")</f>
        <v>Spirit</v>
      </c>
      <c r="I30" s="148">
        <f>IFERROR(__xludf.DUMMYFUNCTION("IFNA(QUERY('1. Karten'!$A:$Q,""select count(A) where (C="" &amp; $A$4 &amp; "" AND D LIKE '%"" &amp; $H30 &amp; ""%') label Count(A) ''""),0)"),26.0)</f>
        <v>26</v>
      </c>
      <c r="J30" s="149">
        <f>IFERROR(__xludf.DUMMYFUNCTION("IFNA(QUERY('1. Karten'!$A:$Q,""select count(A) where (C="" &amp; $A$4 &amp; "" AND D LIKE '%"" &amp; $H30 &amp; ""%' AND B LIKE '%"" &amp; REGEXEXTRACT(J$20,""[^#\s]+"") &amp; ""%') label Count(A) ''""),0)"),5.0)</f>
        <v>5</v>
      </c>
      <c r="K30" s="149">
        <f>IFERROR(__xludf.DUMMYFUNCTION("IFNA(QUERY('1. Karten'!$A:$Q,""select count(A) where (C="" &amp; $A$4 &amp; "" AND D LIKE '%"" &amp; $H30 &amp; ""%' AND B LIKE '%"" &amp; REGEXEXTRACT(K$20,""[^#\s]+"") &amp; ""%') label Count(A) ''""),0)"),5.0)</f>
        <v>5</v>
      </c>
      <c r="L30" s="149">
        <f>IFERROR(__xludf.DUMMYFUNCTION("IFNA(QUERY('1. Karten'!$A:$Q,""select count(A) where (C="" &amp; $A$4 &amp; "" AND D LIKE '%"" &amp; $H30 &amp; ""%' AND B LIKE '%"" &amp; REGEXEXTRACT(L$20,""[^#\s]+"") &amp; ""%') label Count(A) ''""),0)"),14.0)</f>
        <v>14</v>
      </c>
      <c r="M30" s="149">
        <f>IFERROR(__xludf.DUMMYFUNCTION("IFNA(QUERY('1. Karten'!$A:$Q,""select count(A) where (C="" &amp; $A$4 &amp; "" AND D LIKE '%"" &amp; $H30 &amp; ""%' AND B LIKE '%"" &amp; REGEXEXTRACT(M$20,""[^#\s]+"") &amp; ""%') label Count(A) ''""),0)"),2.0)</f>
        <v>2</v>
      </c>
      <c r="N30" s="149">
        <f>IFERROR(__xludf.DUMMYFUNCTION("IFNA(QUERY('1. Karten'!$A:$Q,""select count(A) where (C="" &amp; $A$4 &amp; "" AND D LIKE '%"" &amp; $H30 &amp; ""%' AND B LIKE '%"" &amp; REGEXEXTRACT(N$20,""[^#\s]+"") &amp; ""%') label Count(A) ''""),0)"),2.0)</f>
        <v>2</v>
      </c>
    </row>
    <row r="31">
      <c r="A31" s="162" t="s">
        <v>1759</v>
      </c>
      <c r="B31" s="108">
        <f>IFERROR(__xludf.DUMMYFUNCTION("IFNA(QUERY('1. Karten'!$A:$Q,""select count(A) where (C="" &amp; $A$4 &amp; "" AND F LIKE '%"" &amp; $A31 &amp; ""%' AND J='"" &amp; B$21 &amp; ""') label Count(A) ''""),0)"),2.0)</f>
        <v>2</v>
      </c>
      <c r="C31" s="108">
        <f>IFERROR(__xludf.DUMMYFUNCTION("IFNA(QUERY('1. Karten'!$A:$Q,""select count(A) where (C="" &amp; $A$4 &amp; "" AND F LIKE '%"" &amp; $A31 &amp; ""%' AND J='"" &amp; C$21 &amp; ""') label Count(A) ''""),0)"),5.0)</f>
        <v>5</v>
      </c>
      <c r="D31" s="108">
        <f>IFERROR(__xludf.DUMMYFUNCTION("IFNA(QUERY('1. Karten'!$A:$Q,""select count(A) where (C="" &amp; $A$4 &amp; "" AND F LIKE '%"" &amp; $A31 &amp; ""%' AND J='"" &amp; D$21 &amp; ""') label Count(A) ''""),0)"),3.0)</f>
        <v>3</v>
      </c>
      <c r="E31" s="163">
        <f t="shared" si="2"/>
        <v>10</v>
      </c>
      <c r="F31" s="164">
        <f t="shared" si="3"/>
        <v>0.05494505495</v>
      </c>
      <c r="H31" s="153" t="str">
        <f>IFERROR(__xludf.DUMMYFUNCTION("""COMPUTED_VALUE"""),"Plant")</f>
        <v>Plant</v>
      </c>
      <c r="I31" s="148">
        <f>IFERROR(__xludf.DUMMYFUNCTION("IFNA(QUERY('1. Karten'!$A:$Q,""select count(A) where (C="" &amp; $A$4 &amp; "" AND D LIKE '%"" &amp; $H31 &amp; ""%') label Count(A) ''""),0)"),16.0)</f>
        <v>16</v>
      </c>
      <c r="J31" s="149">
        <f>IFERROR(__xludf.DUMMYFUNCTION("IFNA(QUERY('1. Karten'!$A:$Q,""select count(A) where (C="" &amp; $A$4 &amp; "" AND D LIKE '%"" &amp; $H31 &amp; ""%' AND B LIKE '%"" &amp; REGEXEXTRACT(J$20,""[^#\s]+"") &amp; ""%') label Count(A) ''""),0)"),1.0)</f>
        <v>1</v>
      </c>
      <c r="K31" s="149">
        <f>IFERROR(__xludf.DUMMYFUNCTION("IFNA(QUERY('1. Karten'!$A:$Q,""select count(A) where (C="" &amp; $A$4 &amp; "" AND D LIKE '%"" &amp; $H31 &amp; ""%' AND B LIKE '%"" &amp; REGEXEXTRACT(K$20,""[^#\s]+"") &amp; ""%') label Count(A) ''""),0)"),11.0)</f>
        <v>11</v>
      </c>
      <c r="L31" s="149">
        <f>IFERROR(__xludf.DUMMYFUNCTION("IFNA(QUERY('1. Karten'!$A:$Q,""select count(A) where (C="" &amp; $A$4 &amp; "" AND D LIKE '%"" &amp; $H31 &amp; ""%' AND B LIKE '%"" &amp; REGEXEXTRACT(L$20,""[^#\s]+"") &amp; ""%') label Count(A) ''""),0)"),1.0)</f>
        <v>1</v>
      </c>
      <c r="M31" s="149">
        <f>IFERROR(__xludf.DUMMYFUNCTION("IFNA(QUERY('1. Karten'!$A:$Q,""select count(A) where (C="" &amp; $A$4 &amp; "" AND D LIKE '%"" &amp; $H31 &amp; ""%' AND B LIKE '%"" &amp; REGEXEXTRACT(M$20,""[^#\s]+"") &amp; ""%') label Count(A) ''""),0)"),1.0)</f>
        <v>1</v>
      </c>
      <c r="N31" s="149">
        <f>IFERROR(__xludf.DUMMYFUNCTION("IFNA(QUERY('1. Karten'!$A:$Q,""select count(A) where (C="" &amp; $A$4 &amp; "" AND D LIKE '%"" &amp; $H31 &amp; ""%' AND B LIKE '%"" &amp; REGEXEXTRACT(N$20,""[^#\s]+"") &amp; ""%') label Count(A) ''""),0)"),3.0)</f>
        <v>3</v>
      </c>
    </row>
    <row r="32">
      <c r="A32" s="150" t="s">
        <v>31</v>
      </c>
      <c r="B32" s="108">
        <f>IFERROR(__xludf.DUMMYFUNCTION("IFNA(QUERY('1. Karten'!$A:$Q,""select count(A) where (C="" &amp; $A$4 &amp; "" AND F LIKE '%"" &amp; $A32 &amp; ""%' AND J='"" &amp; B$21 &amp; ""') label Count(A) ''""),0)"),0.0)</f>
        <v>0</v>
      </c>
      <c r="C32" s="108">
        <f>IFERROR(__xludf.DUMMYFUNCTION("IFNA(QUERY('1. Karten'!$A:$Q,""select count(A) where (C="" &amp; $A$4 &amp; "" AND F LIKE '%"" &amp; $A32 &amp; ""%' AND J='"" &amp; C$21 &amp; ""') label Count(A) ''""),0)"),0.0)</f>
        <v>0</v>
      </c>
      <c r="D32" s="108">
        <f>IFERROR(__xludf.DUMMYFUNCTION("IFNA(QUERY('1. Karten'!$A:$Q,""select count(A) where (C="" &amp; $A$4 &amp; "" AND F LIKE '%"" &amp; $A32 &amp; ""%' AND J='"" &amp; D$21 &amp; ""') label Count(A) ''""),0)"),0.0)</f>
        <v>0</v>
      </c>
      <c r="E32" s="151">
        <f t="shared" si="2"/>
        <v>0</v>
      </c>
      <c r="F32" s="152">
        <f t="shared" si="3"/>
        <v>0</v>
      </c>
      <c r="H32" s="153" t="str">
        <f>IFERROR(__xludf.DUMMYFUNCTION("""COMPUTED_VALUE"""),"Insect")</f>
        <v>Insect</v>
      </c>
      <c r="I32" s="148">
        <f>IFERROR(__xludf.DUMMYFUNCTION("IFNA(QUERY('1. Karten'!$A:$Q,""select count(A) where (C="" &amp; $A$4 &amp; "" AND D LIKE '%"" &amp; $H32 &amp; ""%') label Count(A) ''""),0)"),12.0)</f>
        <v>12</v>
      </c>
      <c r="J32" s="149">
        <f>IFERROR(__xludf.DUMMYFUNCTION("IFNA(QUERY('1. Karten'!$A:$Q,""select count(A) where (C="" &amp; $A$4 &amp; "" AND D LIKE '%"" &amp; $H32 &amp; ""%' AND B LIKE '%"" &amp; REGEXEXTRACT(J$20,""[^#\s]+"") &amp; ""%') label Count(A) ''""),0)"),1.0)</f>
        <v>1</v>
      </c>
      <c r="K32" s="149">
        <f>IFERROR(__xludf.DUMMYFUNCTION("IFNA(QUERY('1. Karten'!$A:$Q,""select count(A) where (C="" &amp; $A$4 &amp; "" AND D LIKE '%"" &amp; $H32 &amp; ""%' AND B LIKE '%"" &amp; REGEXEXTRACT(K$20,""[^#\s]+"") &amp; ""%') label Count(A) ''""),0)"),5.0)</f>
        <v>5</v>
      </c>
      <c r="L32" s="149">
        <f>IFERROR(__xludf.DUMMYFUNCTION("IFNA(QUERY('1. Karten'!$A:$Q,""select count(A) where (C="" &amp; $A$4 &amp; "" AND D LIKE '%"" &amp; $H32 &amp; ""%' AND B LIKE '%"" &amp; REGEXEXTRACT(L$20,""[^#\s]+"") &amp; ""%') label Count(A) ''""),0)"),2.0)</f>
        <v>2</v>
      </c>
      <c r="M32" s="149">
        <f>IFERROR(__xludf.DUMMYFUNCTION("IFNA(QUERY('1. Karten'!$A:$Q,""select count(A) where (C="" &amp; $A$4 &amp; "" AND D LIKE '%"" &amp; $H32 &amp; ""%' AND B LIKE '%"" &amp; REGEXEXTRACT(M$20,""[^#\s]+"") &amp; ""%') label Count(A) ''""),0)"),1.0)</f>
        <v>1</v>
      </c>
      <c r="N32" s="149">
        <f>IFERROR(__xludf.DUMMYFUNCTION("IFNA(QUERY('1. Karten'!$A:$Q,""select count(A) where (C="" &amp; $A$4 &amp; "" AND D LIKE '%"" &amp; $H32 &amp; ""%' AND B LIKE '%"" &amp; REGEXEXTRACT(N$20,""[^#\s]+"") &amp; ""%') label Count(A) ''""),0)"),4.0)</f>
        <v>4</v>
      </c>
    </row>
    <row r="33">
      <c r="A33" s="150" t="s">
        <v>1760</v>
      </c>
      <c r="B33" s="108">
        <f>IFERROR(__xludf.DUMMYFUNCTION("IFNA(QUERY('1. Karten'!$A:$Q,""select count(A) where (C="" &amp; $A$4 &amp; "" AND F LIKE '%"" &amp; $A33 &amp; ""%' AND J='"" &amp; B$21 &amp; ""') label Count(A) ''""),0)"),0.0)</f>
        <v>0</v>
      </c>
      <c r="C33" s="108">
        <f>IFERROR(__xludf.DUMMYFUNCTION("IFNA(QUERY('1. Karten'!$A:$Q,""select count(A) where (C="" &amp; $A$4 &amp; "" AND F LIKE '%"" &amp; $A33 &amp; ""%' AND J='"" &amp; C$21 &amp; ""') label Count(A) ''""),0)"),3.0)</f>
        <v>3</v>
      </c>
      <c r="D33" s="108">
        <f>IFERROR(__xludf.DUMMYFUNCTION("IFNA(QUERY('1. Karten'!$A:$Q,""select count(A) where (C="" &amp; $A$4 &amp; "" AND F LIKE '%"" &amp; $A33 &amp; ""%' AND J='"" &amp; D$21 &amp; ""') label Count(A) ''""),0)"),1.0)</f>
        <v>1</v>
      </c>
      <c r="E33" s="151">
        <f t="shared" si="2"/>
        <v>4</v>
      </c>
      <c r="F33" s="152">
        <f t="shared" si="3"/>
        <v>0.02197802198</v>
      </c>
      <c r="H33" s="153" t="str">
        <f>IFERROR(__xludf.DUMMYFUNCTION("""COMPUTED_VALUE"""),"Bannerbearer")</f>
        <v>Bannerbearer</v>
      </c>
      <c r="I33" s="148">
        <f>IFERROR(__xludf.DUMMYFUNCTION("IFNA(QUERY('1. Karten'!$A:$Q,""select count(A) where (C="" &amp; $A$4 &amp; "" AND D LIKE '%"" &amp; $H33 &amp; ""%') label Count(A) ''""),0)"),10.0)</f>
        <v>10</v>
      </c>
      <c r="J33" s="149">
        <f>IFERROR(__xludf.DUMMYFUNCTION("IFNA(QUERY('1. Karten'!$A:$Q,""select count(A) where (C="" &amp; $A$4 &amp; "" AND D LIKE '%"" &amp; $H33 &amp; ""%' AND B LIKE '%"" &amp; REGEXEXTRACT(J$20,""[^#\s]+"") &amp; ""%') label Count(A) ''""),0)"),4.0)</f>
        <v>4</v>
      </c>
      <c r="K33" s="149">
        <f>IFERROR(__xludf.DUMMYFUNCTION("IFNA(QUERY('1. Karten'!$A:$Q,""select count(A) where (C="" &amp; $A$4 &amp; "" AND D LIKE '%"" &amp; $H33 &amp; ""%' AND B LIKE '%"" &amp; REGEXEXTRACT(K$20,""[^#\s]+"") &amp; ""%') label Count(A) ''""),0)"),4.0)</f>
        <v>4</v>
      </c>
      <c r="L33" s="149">
        <f>IFERROR(__xludf.DUMMYFUNCTION("IFNA(QUERY('1. Karten'!$A:$Q,""select count(A) where (C="" &amp; $A$4 &amp; "" AND D LIKE '%"" &amp; $H33 &amp; ""%' AND B LIKE '%"" &amp; REGEXEXTRACT(L$20,""[^#\s]+"") &amp; ""%') label Count(A) ''""),0)"),4.0)</f>
        <v>4</v>
      </c>
      <c r="M33" s="149">
        <f>IFERROR(__xludf.DUMMYFUNCTION("IFNA(QUERY('1. Karten'!$A:$Q,""select count(A) where (C="" &amp; $A$4 &amp; "" AND D LIKE '%"" &amp; $H33 &amp; ""%' AND B LIKE '%"" &amp; REGEXEXTRACT(M$20,""[^#\s]+"") &amp; ""%') label Count(A) ''""),0)"),4.0)</f>
        <v>4</v>
      </c>
      <c r="N33" s="149">
        <f>IFERROR(__xludf.DUMMYFUNCTION("IFNA(QUERY('1. Karten'!$A:$Q,""select count(A) where (C="" &amp; $A$4 &amp; "" AND D LIKE '%"" &amp; $H33 &amp; ""%' AND B LIKE '%"" &amp; REGEXEXTRACT(N$20,""[^#\s]+"") &amp; ""%') label Count(A) ''""),0)"),4.0)</f>
        <v>4</v>
      </c>
    </row>
    <row r="34">
      <c r="A34" s="150" t="s">
        <v>1761</v>
      </c>
      <c r="B34" s="108">
        <f>IFERROR(__xludf.DUMMYFUNCTION("IFNA(QUERY('1. Karten'!$A:$Q,""select count(A) where (C="" &amp; $A$4 &amp; "" AND F LIKE '%"" &amp; $A34 &amp; ""%' AND J='"" &amp; B$21 &amp; ""') label Count(A) ''""),0)"),6.0)</f>
        <v>6</v>
      </c>
      <c r="C34" s="108">
        <f>IFERROR(__xludf.DUMMYFUNCTION("IFNA(QUERY('1. Karten'!$A:$Q,""select count(A) where (C="" &amp; $A$4 &amp; "" AND F LIKE '%"" &amp; $A34 &amp; ""%' AND J='"" &amp; C$21 &amp; ""') label Count(A) ''""),0)"),3.0)</f>
        <v>3</v>
      </c>
      <c r="D34" s="108">
        <f>IFERROR(__xludf.DUMMYFUNCTION("IFNA(QUERY('1. Karten'!$A:$Q,""select count(A) where (C="" &amp; $A$4 &amp; "" AND F LIKE '%"" &amp; $A34 &amp; ""%' AND J='"" &amp; D$21 &amp; ""') label Count(A) ''""),0)"),0.0)</f>
        <v>0</v>
      </c>
      <c r="E34" s="157">
        <f t="shared" si="2"/>
        <v>9</v>
      </c>
      <c r="F34" s="152">
        <f t="shared" si="3"/>
        <v>0.04945054945</v>
      </c>
      <c r="H34" s="153" t="str">
        <f>IFERROR(__xludf.DUMMYFUNCTION("""COMPUTED_VALUE"""),"Dinosaur")</f>
        <v>Dinosaur</v>
      </c>
      <c r="I34" s="148">
        <f>IFERROR(__xludf.DUMMYFUNCTION("IFNA(QUERY('1. Karten'!$A:$Q,""select count(A) where (C="" &amp; $A$4 &amp; "" AND D LIKE '%"" &amp; $H34 &amp; ""%') label Count(A) ''""),0)"),18.0)</f>
        <v>18</v>
      </c>
      <c r="J34" s="149">
        <f>IFERROR(__xludf.DUMMYFUNCTION("IFNA(QUERY('1. Karten'!$A:$Q,""select count(A) where (C="" &amp; $A$4 &amp; "" AND D LIKE '%"" &amp; $H34 &amp; ""%' AND B LIKE '%"" &amp; REGEXEXTRACT(J$20,""[^#\s]+"") &amp; ""%') label Count(A) ''""),0)"),2.0)</f>
        <v>2</v>
      </c>
      <c r="K34" s="149">
        <f>IFERROR(__xludf.DUMMYFUNCTION("IFNA(QUERY('1. Karten'!$A:$Q,""select count(A) where (C="" &amp; $A$4 &amp; "" AND D LIKE '%"" &amp; $H34 &amp; ""%' AND B LIKE '%"" &amp; REGEXEXTRACT(K$20,""[^#\s]+"") &amp; ""%') label Count(A) ''""),0)"),14.0)</f>
        <v>14</v>
      </c>
      <c r="L34" s="149">
        <f>IFERROR(__xludf.DUMMYFUNCTION("IFNA(QUERY('1. Karten'!$A:$Q,""select count(A) where (C="" &amp; $A$4 &amp; "" AND D LIKE '%"" &amp; $H34 &amp; ""%' AND B LIKE '%"" &amp; REGEXEXTRACT(L$20,""[^#\s]+"") &amp; ""%') label Count(A) ''""),0)"),1.0)</f>
        <v>1</v>
      </c>
      <c r="M34" s="149">
        <f>IFERROR(__xludf.DUMMYFUNCTION("IFNA(QUERY('1. Karten'!$A:$Q,""select count(A) where (C="" &amp; $A$4 &amp; "" AND D LIKE '%"" &amp; $H34 &amp; ""%' AND B LIKE '%"" &amp; REGEXEXTRACT(M$20,""[^#\s]+"") &amp; ""%') label Count(A) ''""),0)"),2.0)</f>
        <v>2</v>
      </c>
      <c r="N34" s="149">
        <f>IFERROR(__xludf.DUMMYFUNCTION("IFNA(QUERY('1. Karten'!$A:$Q,""select count(A) where (C="" &amp; $A$4 &amp; "" AND D LIKE '%"" &amp; $H34 &amp; ""%' AND B LIKE '%"" &amp; REGEXEXTRACT(N$20,""[^#\s]+"") &amp; ""%') label Count(A) ''""),0)"),1.0)</f>
        <v>1</v>
      </c>
    </row>
    <row r="35">
      <c r="H35" s="165" t="str">
        <f>IFERROR(__xludf.DUMMYFUNCTION("""COMPUTED_VALUE"""),"Demon")</f>
        <v>Demon</v>
      </c>
      <c r="I35" s="148">
        <f>IFERROR(__xludf.DUMMYFUNCTION("IFNA(QUERY('1. Karten'!$A:$Q,""select count(A) where (C="" &amp; $A$4 &amp; "" AND D LIKE '%"" &amp; $H35 &amp; ""%') label Count(A) ''""),0)"),21.0)</f>
        <v>21</v>
      </c>
      <c r="J35" s="149">
        <f>IFERROR(__xludf.DUMMYFUNCTION("IFNA(QUERY('1. Karten'!$A:$Q,""select count(A) where (C="" &amp; $A$4 &amp; "" AND D LIKE '%"" &amp; $H35 &amp; ""%' AND B LIKE '%"" &amp; REGEXEXTRACT(J$20,""[^#\s]+"") &amp; ""%') label Count(A) ''""),0)"),1.0)</f>
        <v>1</v>
      </c>
      <c r="K35" s="149">
        <f>IFERROR(__xludf.DUMMYFUNCTION("IFNA(QUERY('1. Karten'!$A:$Q,""select count(A) where (C="" &amp; $A$4 &amp; "" AND D LIKE '%"" &amp; $H35 &amp; ""%' AND B LIKE '%"" &amp; REGEXEXTRACT(K$20,""[^#\s]+"") &amp; ""%') label Count(A) ''""),0)"),4.0)</f>
        <v>4</v>
      </c>
      <c r="L35" s="149">
        <f>IFERROR(__xludf.DUMMYFUNCTION("IFNA(QUERY('1. Karten'!$A:$Q,""select count(A) where (C="" &amp; $A$4 &amp; "" AND D LIKE '%"" &amp; $H35 &amp; ""%' AND B LIKE '%"" &amp; REGEXEXTRACT(L$20,""[^#\s]+"") &amp; ""%') label Count(A) ''""),0)"),2.0)</f>
        <v>2</v>
      </c>
      <c r="M35" s="149">
        <f>IFERROR(__xludf.DUMMYFUNCTION("IFNA(QUERY('1. Karten'!$A:$Q,""select count(A) where (C="" &amp; $A$4 &amp; "" AND D LIKE '%"" &amp; $H35 &amp; ""%' AND B LIKE '%"" &amp; REGEXEXTRACT(M$20,""[^#\s]+"") &amp; ""%') label Count(A) ''""),0)"),1.0)</f>
        <v>1</v>
      </c>
      <c r="N35" s="149">
        <f>IFERROR(__xludf.DUMMYFUNCTION("IFNA(QUERY('1. Karten'!$A:$Q,""select count(A) where (C="" &amp; $A$4 &amp; "" AND D LIKE '%"" &amp; $H35 &amp; ""%' AND B LIKE '%"" &amp; REGEXEXTRACT(N$20,""[^#\s]+"") &amp; ""%') label Count(A) ''""),0)"),18.0)</f>
        <v>18</v>
      </c>
    </row>
    <row r="36">
      <c r="A36" s="116" t="s">
        <v>1762</v>
      </c>
      <c r="B36" s="145" t="s">
        <v>33</v>
      </c>
      <c r="C36" s="145" t="s">
        <v>69</v>
      </c>
      <c r="D36" s="145" t="s">
        <v>39</v>
      </c>
      <c r="E36" s="146" t="s">
        <v>1753</v>
      </c>
      <c r="H36" s="165"/>
      <c r="I36" s="166">
        <f>IFERROR(__xludf.DUMMYFUNCTION("IFNA(QUERY('1. Karten'!$A:$Q,""select count(A) where (C="" &amp; $A$4 &amp; "" AND D LIKE '%"" &amp; $H36 &amp; ""%') label Count(A) ''""),0)"),182.0)</f>
        <v>182</v>
      </c>
      <c r="J36" s="149">
        <f>IFERROR(__xludf.DUMMYFUNCTION("IFNA(QUERY('1. Karten'!$A:$Q,""select count(A) where (C="" &amp; $A$4 &amp; "" AND D LIKE '%"" &amp; $H36 &amp; ""%' AND B LIKE '%"" &amp; REGEXEXTRACT(J$20,""[^#\s]+"") &amp; ""%') label Count(A) ''""),0)"),40.0)</f>
        <v>40</v>
      </c>
      <c r="K36" s="149">
        <f>IFERROR(__xludf.DUMMYFUNCTION("IFNA(QUERY('1. Karten'!$A:$Q,""select count(A) where (C="" &amp; $A$4 &amp; "" AND D LIKE '%"" &amp; $H36 &amp; ""%' AND B LIKE '%"" &amp; REGEXEXTRACT(K$20,""[^#\s]+"") &amp; ""%') label Count(A) ''""),0)"),41.0)</f>
        <v>41</v>
      </c>
      <c r="L36" s="149">
        <f>IFERROR(__xludf.DUMMYFUNCTION("IFNA(QUERY('1. Karten'!$A:$Q,""select count(A) where (C="" &amp; $A$4 &amp; "" AND D LIKE '%"" &amp; $H36 &amp; ""%' AND B LIKE '%"" &amp; REGEXEXTRACT(L$20,""[^#\s]+"") &amp; ""%') label Count(A) ''""),0)"),42.0)</f>
        <v>42</v>
      </c>
      <c r="M36" s="149">
        <f>IFERROR(__xludf.DUMMYFUNCTION("IFNA(QUERY('1. Karten'!$A:$Q,""select count(A) where (C="" &amp; $A$4 &amp; "" AND D LIKE '%"" &amp; $H36 &amp; ""%' AND B LIKE '%"" &amp; REGEXEXTRACT(M$20,""[^#\s]+"") &amp; ""%') label Count(A) ''""),0)"),40.0)</f>
        <v>40</v>
      </c>
      <c r="N36" s="149">
        <f>IFERROR(__xludf.DUMMYFUNCTION("IFNA(QUERY('1. Karten'!$A:$Q,""select count(A) where (C="" &amp; $A$4 &amp; "" AND D LIKE '%"" &amp; $H36 &amp; ""%' AND B LIKE '%"" &amp; REGEXEXTRACT(N$20,""[^#\s]+"") &amp; ""%') label Count(A) ''""),0)"),38.0)</f>
        <v>38</v>
      </c>
    </row>
    <row r="37">
      <c r="A37" s="167" t="str">
        <f>IFERROR(__xludf.DUMMYFUNCTION("QUERY(UNIQUE(FLATTEN(MAP(UNIQUE(IFNA(QUERY('1. Karten'!$A$2:$Q1000,""select D where (C="" &amp; $A$4 &amp; "")"")),""""),LAMBDA(x,(SPLIT(x,"" "")))))),""SELECT * WHERE (Col1 IS NOT NULL) AND (Col1 matches '^\w+$')"")"),"Angel")</f>
        <v>Angel</v>
      </c>
      <c r="B37" s="108">
        <f>IFERROR(__xludf.DUMMYFUNCTION("IF(ISBLANK($A37),"""",IFNA(QUERY('1. Karten'!$A:$Q,""select count(A) where (C="" &amp; $A$4 &amp; "" AND D LIKE '%"" &amp; $A37 &amp; ""%' AND J='"" &amp; B$36 &amp; ""') label Count(A) ''""),0))"),5.0)</f>
        <v>5</v>
      </c>
      <c r="C37" s="108">
        <f>IFERROR(__xludf.DUMMYFUNCTION("IF(ISBLANK($A37),"""",IFNA(QUERY('1. Karten'!$A:$Q,""select count(A) where (C="" &amp; $A$4 &amp; "" AND D LIKE '%"" &amp; $A37 &amp; ""%' AND J='"" &amp; C$36 &amp; ""') label Count(A) ''""),0))"),6.0)</f>
        <v>6</v>
      </c>
      <c r="D37" s="108">
        <f>IFERROR(__xludf.DUMMYFUNCTION("IF(ISBLANK($A37),"""",IFNA(QUERY('1. Karten'!$A:$Q,""select count(A) where (C="" &amp; $A$4 &amp; "" AND D LIKE '%"" &amp; $A37 &amp; ""%' AND J='"" &amp; D$36 &amp; ""') label Count(A) ''""),0))"),7.0)</f>
        <v>7</v>
      </c>
      <c r="E37" s="151">
        <f t="shared" ref="E37:E63" si="4">IF(ISBLANK($A37),"",SUM($B37:$D37))</f>
        <v>18</v>
      </c>
      <c r="F37" s="152">
        <f t="shared" ref="F37:F63" si="5">IF(ISBLANK($A37),"",($E37/$A$2))</f>
        <v>0.0989010989</v>
      </c>
      <c r="H37" s="168"/>
    </row>
    <row r="38">
      <c r="A38" s="167" t="str">
        <f>IFERROR(__xludf.DUMMYFUNCTION("""COMPUTED_VALUE"""),"Warrior")</f>
        <v>Warrior</v>
      </c>
      <c r="B38" s="108">
        <f>IFERROR(__xludf.DUMMYFUNCTION("IF(ISBLANK($A38),"""",IFNA(QUERY('1. Karten'!$A:$Q,""select count(A) where (C="" &amp; $A$4 &amp; "" AND D LIKE '%"" &amp; $A38 &amp; ""%' AND J='"" &amp; B$36 &amp; ""') label Count(A) ''""),0))"),13.0)</f>
        <v>13</v>
      </c>
      <c r="C38" s="108">
        <f>IFERROR(__xludf.DUMMYFUNCTION("IF(ISBLANK($A38),"""",IFNA(QUERY('1. Karten'!$A:$Q,""select count(A) where (C="" &amp; $A$4 &amp; "" AND D LIKE '%"" &amp; $A38 &amp; ""%' AND J='"" &amp; C$36 &amp; ""') label Count(A) ''""),0))"),5.0)</f>
        <v>5</v>
      </c>
      <c r="D38" s="108">
        <f>IFERROR(__xludf.DUMMYFUNCTION("IF(ISBLANK($A38),"""",IFNA(QUERY('1. Karten'!$A:$Q,""select count(A) where (C="" &amp; $A$4 &amp; "" AND D LIKE '%"" &amp; $A38 &amp; ""%' AND J='"" &amp; D$36 &amp; ""') label Count(A) ''""),0))"),4.0)</f>
        <v>4</v>
      </c>
      <c r="E38" s="151">
        <f t="shared" si="4"/>
        <v>22</v>
      </c>
      <c r="F38" s="152">
        <f t="shared" si="5"/>
        <v>0.1208791209</v>
      </c>
    </row>
    <row r="39">
      <c r="A39" s="167" t="str">
        <f>IFERROR(__xludf.DUMMYFUNCTION("""COMPUTED_VALUE"""),"Construct")</f>
        <v>Construct</v>
      </c>
      <c r="B39" s="108">
        <f>IFERROR(__xludf.DUMMYFUNCTION("IF(ISBLANK($A39),"""",IFNA(QUERY('1. Karten'!$A:$Q,""select count(A) where (C="" &amp; $A$4 &amp; "" AND D LIKE '%"" &amp; $A39 &amp; ""%' AND J='"" &amp; B$36 &amp; ""') label Count(A) ''""),0))"),14.0)</f>
        <v>14</v>
      </c>
      <c r="C39" s="108">
        <f>IFERROR(__xludf.DUMMYFUNCTION("IF(ISBLANK($A39),"""",IFNA(QUERY('1. Karten'!$A:$Q,""select count(A) where (C="" &amp; $A$4 &amp; "" AND D LIKE '%"" &amp; $A39 &amp; ""%' AND J='"" &amp; C$36 &amp; ""') label Count(A) ''""),0))"),9.0)</f>
        <v>9</v>
      </c>
      <c r="D39" s="108">
        <f>IFERROR(__xludf.DUMMYFUNCTION("IF(ISBLANK($A39),"""",IFNA(QUERY('1. Karten'!$A:$Q,""select count(A) where (C="" &amp; $A$4 &amp; "" AND D LIKE '%"" &amp; $A39 &amp; ""%' AND J='"" &amp; D$36 &amp; ""') label Count(A) ''""),0))"),3.0)</f>
        <v>3</v>
      </c>
      <c r="E39" s="151">
        <f t="shared" si="4"/>
        <v>26</v>
      </c>
      <c r="F39" s="152">
        <f t="shared" si="5"/>
        <v>0.1428571429</v>
      </c>
    </row>
    <row r="40">
      <c r="A40" s="167" t="str">
        <f>IFERROR(__xludf.DUMMYFUNCTION("""COMPUTED_VALUE"""),"Dragon")</f>
        <v>Dragon</v>
      </c>
      <c r="B40" s="108">
        <f>IFERROR(__xludf.DUMMYFUNCTION("IF(ISBLANK($A40),"""",IFNA(QUERY('1. Karten'!$A:$Q,""select count(A) where (C="" &amp; $A$4 &amp; "" AND D LIKE '%"" &amp; $A40 &amp; ""%' AND J='"" &amp; B$36 &amp; ""') label Count(A) ''""),0))"),8.0)</f>
        <v>8</v>
      </c>
      <c r="C40" s="108">
        <f>IFERROR(__xludf.DUMMYFUNCTION("IF(ISBLANK($A40),"""",IFNA(QUERY('1. Karten'!$A:$Q,""select count(A) where (C="" &amp; $A$4 &amp; "" AND D LIKE '%"" &amp; $A40 &amp; ""%' AND J='"" &amp; C$36 &amp; ""') label Count(A) ''""),0))"),6.0)</f>
        <v>6</v>
      </c>
      <c r="D40" s="108">
        <f>IFERROR(__xludf.DUMMYFUNCTION("IF(ISBLANK($A40),"""",IFNA(QUERY('1. Karten'!$A:$Q,""select count(A) where (C="" &amp; $A$4 &amp; "" AND D LIKE '%"" &amp; $A40 &amp; ""%' AND J='"" &amp; D$36 &amp; ""') label Count(A) ''""),0))"),6.0)</f>
        <v>6</v>
      </c>
      <c r="E40" s="151">
        <f t="shared" si="4"/>
        <v>20</v>
      </c>
      <c r="F40" s="152">
        <f t="shared" si="5"/>
        <v>0.1098901099</v>
      </c>
    </row>
    <row r="41">
      <c r="A41" s="167" t="str">
        <f>IFERROR(__xludf.DUMMYFUNCTION("""COMPUTED_VALUE"""),"Undead")</f>
        <v>Undead</v>
      </c>
      <c r="B41" s="108">
        <f>IFERROR(__xludf.DUMMYFUNCTION("IF(ISBLANK($A41),"""",IFNA(QUERY('1. Karten'!$A:$Q,""select count(A) where (C="" &amp; $A$4 &amp; "" AND D LIKE '%"" &amp; $A41 &amp; ""%' AND J='"" &amp; B$36 &amp; ""') label Count(A) ''""),0))"),11.0)</f>
        <v>11</v>
      </c>
      <c r="C41" s="108">
        <f>IFERROR(__xludf.DUMMYFUNCTION("IF(ISBLANK($A41),"""",IFNA(QUERY('1. Karten'!$A:$Q,""select count(A) where (C="" &amp; $A$4 &amp; "" AND D LIKE '%"" &amp; $A41 &amp; ""%' AND J='"" &amp; C$36 &amp; ""') label Count(A) ''""),0))"),7.0)</f>
        <v>7</v>
      </c>
      <c r="D41" s="108">
        <f>IFERROR(__xludf.DUMMYFUNCTION("IF(ISBLANK($A41),"""",IFNA(QUERY('1. Karten'!$A:$Q,""select count(A) where (C="" &amp; $A$4 &amp; "" AND D LIKE '%"" &amp; $A41 &amp; ""%' AND J='"" &amp; D$36 &amp; ""') label Count(A) ''""),0))"),1.0)</f>
        <v>1</v>
      </c>
      <c r="E41" s="151">
        <f t="shared" si="4"/>
        <v>19</v>
      </c>
      <c r="F41" s="152">
        <f t="shared" si="5"/>
        <v>0.1043956044</v>
      </c>
    </row>
    <row r="42">
      <c r="A42" s="167" t="str">
        <f>IFERROR(__xludf.DUMMYFUNCTION("""COMPUTED_VALUE"""),"Wizard")</f>
        <v>Wizard</v>
      </c>
      <c r="B42" s="108">
        <f>IFERROR(__xludf.DUMMYFUNCTION("IF(ISBLANK($A42),"""",IFNA(QUERY('1. Karten'!$A:$Q,""select count(A) where (C="" &amp; $A$4 &amp; "" AND D LIKE '%"" &amp; $A42 &amp; ""%' AND J='"" &amp; B$36 &amp; ""') label Count(A) ''""),0))"),5.0)</f>
        <v>5</v>
      </c>
      <c r="C42" s="108">
        <f>IFERROR(__xludf.DUMMYFUNCTION("IF(ISBLANK($A42),"""",IFNA(QUERY('1. Karten'!$A:$Q,""select count(A) where (C="" &amp; $A$4 &amp; "" AND D LIKE '%"" &amp; $A42 &amp; ""%' AND J='"" &amp; C$36 &amp; ""') label Count(A) ''""),0))"),10.0)</f>
        <v>10</v>
      </c>
      <c r="D42" s="108">
        <f>IFERROR(__xludf.DUMMYFUNCTION("IF(ISBLANK($A42),"""",IFNA(QUERY('1. Karten'!$A:$Q,""select count(A) where (C="" &amp; $A$4 &amp; "" AND D LIKE '%"" &amp; $A42 &amp; ""%' AND J='"" &amp; D$36 &amp; ""') label Count(A) ''""),0))"),4.0)</f>
        <v>4</v>
      </c>
      <c r="E42" s="151">
        <f t="shared" si="4"/>
        <v>19</v>
      </c>
      <c r="F42" s="152">
        <f t="shared" si="5"/>
        <v>0.1043956044</v>
      </c>
    </row>
    <row r="43">
      <c r="A43" s="167" t="str">
        <f>IFERROR(__xludf.DUMMYFUNCTION("""COMPUTED_VALUE"""),"Animal")</f>
        <v>Animal</v>
      </c>
      <c r="B43" s="108">
        <f>IFERROR(__xludf.DUMMYFUNCTION("IF(ISBLANK($A43),"""",IFNA(QUERY('1. Karten'!$A:$Q,""select count(A) where (C="" &amp; $A$4 &amp; "" AND D LIKE '%"" &amp; $A43 &amp; ""%' AND J='"" &amp; B$36 &amp; ""') label Count(A) ''""),0))"),18.0)</f>
        <v>18</v>
      </c>
      <c r="C43" s="108">
        <f>IFERROR(__xludf.DUMMYFUNCTION("IF(ISBLANK($A43),"""",IFNA(QUERY('1. Karten'!$A:$Q,""select count(A) where (C="" &amp; $A$4 &amp; "" AND D LIKE '%"" &amp; $A43 &amp; ""%' AND J='"" &amp; C$36 &amp; ""') label Count(A) ''""),0))"),9.0)</f>
        <v>9</v>
      </c>
      <c r="D43" s="108">
        <f>IFERROR(__xludf.DUMMYFUNCTION("IF(ISBLANK($A43),"""",IFNA(QUERY('1. Karten'!$A:$Q,""select count(A) where (C="" &amp; $A$4 &amp; "" AND D LIKE '%"" &amp; $A43 &amp; ""%' AND J='"" &amp; D$36 &amp; ""') label Count(A) ''""),0))"),6.0)</f>
        <v>6</v>
      </c>
      <c r="E43" s="151">
        <f t="shared" si="4"/>
        <v>33</v>
      </c>
      <c r="F43" s="152">
        <f t="shared" si="5"/>
        <v>0.1813186813</v>
      </c>
    </row>
    <row r="44">
      <c r="A44" s="167" t="str">
        <f>IFERROR(__xludf.DUMMYFUNCTION("""COMPUTED_VALUE"""),"Human")</f>
        <v>Human</v>
      </c>
      <c r="B44" s="108">
        <f>IFERROR(__xludf.DUMMYFUNCTION("IF(ISBLANK($A44),"""",IFNA(QUERY('1. Karten'!$A:$Q,""select count(A) where (C="" &amp; $A$4 &amp; "" AND D LIKE '%"" &amp; $A44 &amp; ""%' AND J='"" &amp; B$36 &amp; ""') label Count(A) ''""),0))"),12.0)</f>
        <v>12</v>
      </c>
      <c r="C44" s="108">
        <f>IFERROR(__xludf.DUMMYFUNCTION("IF(ISBLANK($A44),"""",IFNA(QUERY('1. Karten'!$A:$Q,""select count(A) where (C="" &amp; $A$4 &amp; "" AND D LIKE '%"" &amp; $A44 &amp; ""%' AND J='"" &amp; C$36 &amp; ""') label Count(A) ''""),0))"),10.0)</f>
        <v>10</v>
      </c>
      <c r="D44" s="108">
        <f>IFERROR(__xludf.DUMMYFUNCTION("IF(ISBLANK($A44),"""",IFNA(QUERY('1. Karten'!$A:$Q,""select count(A) where (C="" &amp; $A$4 &amp; "" AND D LIKE '%"" &amp; $A44 &amp; ""%' AND J='"" &amp; D$36 &amp; ""') label Count(A) ''""),0))"),5.0)</f>
        <v>5</v>
      </c>
      <c r="E44" s="151">
        <f t="shared" si="4"/>
        <v>27</v>
      </c>
      <c r="F44" s="152">
        <f t="shared" si="5"/>
        <v>0.1483516484</v>
      </c>
    </row>
    <row r="45">
      <c r="A45" s="167" t="str">
        <f>IFERROR(__xludf.DUMMYFUNCTION("""COMPUTED_VALUE"""),"Hunter")</f>
        <v>Hunter</v>
      </c>
      <c r="B45" s="108">
        <f>IFERROR(__xludf.DUMMYFUNCTION("IF(ISBLANK($A45),"""",IFNA(QUERY('1. Karten'!$A:$Q,""select count(A) where (C="" &amp; $A$4 &amp; "" AND D LIKE '%"" &amp; $A45 &amp; ""%' AND J='"" &amp; B$36 &amp; ""') label Count(A) ''""),0))"),9.0)</f>
        <v>9</v>
      </c>
      <c r="C45" s="108">
        <f>IFERROR(__xludf.DUMMYFUNCTION("IF(ISBLANK($A45),"""",IFNA(QUERY('1. Karten'!$A:$Q,""select count(A) where (C="" &amp; $A$4 &amp; "" AND D LIKE '%"" &amp; $A45 &amp; ""%' AND J='"" &amp; C$36 &amp; ""') label Count(A) ''""),0))"),9.0)</f>
        <v>9</v>
      </c>
      <c r="D45" s="108">
        <f>IFERROR(__xludf.DUMMYFUNCTION("IF(ISBLANK($A45),"""",IFNA(QUERY('1. Karten'!$A:$Q,""select count(A) where (C="" &amp; $A$4 &amp; "" AND D LIKE '%"" &amp; $A45 &amp; ""%' AND J='"" &amp; D$36 &amp; ""') label Count(A) ''""),0))"),4.0)</f>
        <v>4</v>
      </c>
      <c r="E45" s="151">
        <f t="shared" si="4"/>
        <v>22</v>
      </c>
      <c r="F45" s="152">
        <f t="shared" si="5"/>
        <v>0.1208791209</v>
      </c>
    </row>
    <row r="46">
      <c r="A46" s="167" t="str">
        <f>IFERROR(__xludf.DUMMYFUNCTION("""COMPUTED_VALUE"""),"Spirit")</f>
        <v>Spirit</v>
      </c>
      <c r="B46" s="108">
        <f>IFERROR(__xludf.DUMMYFUNCTION("IF(ISBLANK($A46),"""",IFNA(QUERY('1. Karten'!$A:$Q,""select count(A) where (C="" &amp; $A$4 &amp; "" AND D LIKE '%"" &amp; $A46 &amp; ""%' AND J='"" &amp; B$36 &amp; ""') label Count(A) ''""),0))"),12.0)</f>
        <v>12</v>
      </c>
      <c r="C46" s="108">
        <f>IFERROR(__xludf.DUMMYFUNCTION("IF(ISBLANK($A46),"""",IFNA(QUERY('1. Karten'!$A:$Q,""select count(A) where (C="" &amp; $A$4 &amp; "" AND D LIKE '%"" &amp; $A46 &amp; ""%' AND J='"" &amp; C$36 &amp; ""') label Count(A) ''""),0))"),9.0)</f>
        <v>9</v>
      </c>
      <c r="D46" s="108">
        <f>IFERROR(__xludf.DUMMYFUNCTION("IF(ISBLANK($A46),"""",IFNA(QUERY('1. Karten'!$A:$Q,""select count(A) where (C="" &amp; $A$4 &amp; "" AND D LIKE '%"" &amp; $A46 &amp; ""%' AND J='"" &amp; D$36 &amp; ""') label Count(A) ''""),0))"),3.0)</f>
        <v>3</v>
      </c>
      <c r="E46" s="151">
        <f t="shared" si="4"/>
        <v>24</v>
      </c>
      <c r="F46" s="152">
        <f t="shared" si="5"/>
        <v>0.1318681319</v>
      </c>
    </row>
    <row r="47">
      <c r="A47" s="167" t="str">
        <f>IFERROR(__xludf.DUMMYFUNCTION("""COMPUTED_VALUE"""),"Plant")</f>
        <v>Plant</v>
      </c>
      <c r="B47" s="108">
        <f>IFERROR(__xludf.DUMMYFUNCTION("IF(ISBLANK($A47),"""",IFNA(QUERY('1. Karten'!$A:$Q,""select count(A) where (C="" &amp; $A$4 &amp; "" AND D LIKE '%"" &amp; $A47 &amp; ""%' AND J='"" &amp; B$36 &amp; ""') label Count(A) ''""),0))"),11.0)</f>
        <v>11</v>
      </c>
      <c r="C47" s="108">
        <f>IFERROR(__xludf.DUMMYFUNCTION("IF(ISBLANK($A47),"""",IFNA(QUERY('1. Karten'!$A:$Q,""select count(A) where (C="" &amp; $A$4 &amp; "" AND D LIKE '%"" &amp; $A47 &amp; ""%' AND J='"" &amp; C$36 &amp; ""') label Count(A) ''""),0))"),2.0)</f>
        <v>2</v>
      </c>
      <c r="D47" s="108">
        <f>IFERROR(__xludf.DUMMYFUNCTION("IF(ISBLANK($A47),"""",IFNA(QUERY('1. Karten'!$A:$Q,""select count(A) where (C="" &amp; $A$4 &amp; "" AND D LIKE '%"" &amp; $A47 &amp; ""%' AND J='"" &amp; D$36 &amp; ""') label Count(A) ''""),0))"),2.0)</f>
        <v>2</v>
      </c>
      <c r="E47" s="151">
        <f t="shared" si="4"/>
        <v>15</v>
      </c>
      <c r="F47" s="152">
        <f t="shared" si="5"/>
        <v>0.08241758242</v>
      </c>
    </row>
    <row r="48">
      <c r="A48" s="167" t="str">
        <f>IFERROR(__xludf.DUMMYFUNCTION("""COMPUTED_VALUE"""),"Insect")</f>
        <v>Insect</v>
      </c>
      <c r="B48" s="108">
        <f>IFERROR(__xludf.DUMMYFUNCTION("IF(ISBLANK($A48),"""",IFNA(QUERY('1. Karten'!$A:$Q,""select count(A) where (C="" &amp; $A$4 &amp; "" AND D LIKE '%"" &amp; $A48 &amp; ""%' AND J='"" &amp; B$36 &amp; ""') label Count(A) ''""),0))"),4.0)</f>
        <v>4</v>
      </c>
      <c r="C48" s="108">
        <f>IFERROR(__xludf.DUMMYFUNCTION("IF(ISBLANK($A48),"""",IFNA(QUERY('1. Karten'!$A:$Q,""select count(A) where (C="" &amp; $A$4 &amp; "" AND D LIKE '%"" &amp; $A48 &amp; ""%' AND J='"" &amp; C$36 &amp; ""') label Count(A) ''""),0))"),6.0)</f>
        <v>6</v>
      </c>
      <c r="D48" s="108">
        <f>IFERROR(__xludf.DUMMYFUNCTION("IF(ISBLANK($A48),"""",IFNA(QUERY('1. Karten'!$A:$Q,""select count(A) where (C="" &amp; $A$4 &amp; "" AND D LIKE '%"" &amp; $A48 &amp; ""%' AND J='"" &amp; D$36 &amp; ""') label Count(A) ''""),0))"),2.0)</f>
        <v>2</v>
      </c>
      <c r="E48" s="151">
        <f t="shared" si="4"/>
        <v>12</v>
      </c>
      <c r="F48" s="152">
        <f t="shared" si="5"/>
        <v>0.06593406593</v>
      </c>
    </row>
    <row r="49">
      <c r="A49" s="167" t="str">
        <f>IFERROR(__xludf.DUMMYFUNCTION("""COMPUTED_VALUE"""),"Bannerbearer")</f>
        <v>Bannerbearer</v>
      </c>
      <c r="B49" s="108">
        <f>IFERROR(__xludf.DUMMYFUNCTION("IF(ISBLANK($A49),"""",IFNA(QUERY('1. Karten'!$A:$Q,""select count(A) where (C="" &amp; $A$4 &amp; "" AND D LIKE '%"" &amp; $A49 &amp; ""%' AND J='"" &amp; B$36 &amp; ""') label Count(A) ''""),0))"),10.0)</f>
        <v>10</v>
      </c>
      <c r="C49" s="108">
        <f>IFERROR(__xludf.DUMMYFUNCTION("IF(ISBLANK($A49),"""",IFNA(QUERY('1. Karten'!$A:$Q,""select count(A) where (C="" &amp; $A$4 &amp; "" AND D LIKE '%"" &amp; $A49 &amp; ""%' AND J='"" &amp; C$36 &amp; ""') label Count(A) ''""),0))"),0.0)</f>
        <v>0</v>
      </c>
      <c r="D49" s="108">
        <f>IFERROR(__xludf.DUMMYFUNCTION("IF(ISBLANK($A49),"""",IFNA(QUERY('1. Karten'!$A:$Q,""select count(A) where (C="" &amp; $A$4 &amp; "" AND D LIKE '%"" &amp; $A49 &amp; ""%' AND J='"" &amp; D$36 &amp; ""') label Count(A) ''""),0))"),0.0)</f>
        <v>0</v>
      </c>
      <c r="E49" s="151">
        <f t="shared" si="4"/>
        <v>10</v>
      </c>
      <c r="F49" s="152">
        <f t="shared" si="5"/>
        <v>0.05494505495</v>
      </c>
    </row>
    <row r="50">
      <c r="A50" s="167" t="str">
        <f>IFERROR(__xludf.DUMMYFUNCTION("""COMPUTED_VALUE"""),"Dinosaur")</f>
        <v>Dinosaur</v>
      </c>
      <c r="B50" s="108">
        <f>IFERROR(__xludf.DUMMYFUNCTION("IF(ISBLANK($A50),"""",IFNA(QUERY('1. Karten'!$A:$Q,""select count(A) where (C="" &amp; $A$4 &amp; "" AND D LIKE '%"" &amp; $A50 &amp; ""%' AND J='"" &amp; B$36 &amp; ""') label Count(A) ''""),0))"),7.0)</f>
        <v>7</v>
      </c>
      <c r="C50" s="108">
        <f>IFERROR(__xludf.DUMMYFUNCTION("IF(ISBLANK($A50),"""",IFNA(QUERY('1. Karten'!$A:$Q,""select count(A) where (C="" &amp; $A$4 &amp; "" AND D LIKE '%"" &amp; $A50 &amp; ""%' AND J='"" &amp; C$36 &amp; ""') label Count(A) ''""),0))"),6.0)</f>
        <v>6</v>
      </c>
      <c r="D50" s="108">
        <f>IFERROR(__xludf.DUMMYFUNCTION("IF(ISBLANK($A50),"""",IFNA(QUERY('1. Karten'!$A:$Q,""select count(A) where (C="" &amp; $A$4 &amp; "" AND D LIKE '%"" &amp; $A50 &amp; ""%' AND J='"" &amp; D$36 &amp; ""') label Count(A) ''""),0))"),5.0)</f>
        <v>5</v>
      </c>
      <c r="E50" s="151">
        <f t="shared" si="4"/>
        <v>18</v>
      </c>
      <c r="F50" s="152">
        <f t="shared" si="5"/>
        <v>0.0989010989</v>
      </c>
    </row>
    <row r="51">
      <c r="A51" s="169" t="str">
        <f>IFERROR(__xludf.DUMMYFUNCTION("""COMPUTED_VALUE"""),"Demon")</f>
        <v>Demon</v>
      </c>
      <c r="B51" s="108">
        <f>IFERROR(__xludf.DUMMYFUNCTION("IF(ISBLANK($A51),"""",IFNA(QUERY('1. Karten'!$A:$Q,""select count(A) where (C="" &amp; $A$4 &amp; "" AND D LIKE '%"" &amp; $A51 &amp; ""%' AND J='"" &amp; B$36 &amp; ""') label Count(A) ''""),0))"),9.0)</f>
        <v>9</v>
      </c>
      <c r="C51" s="108">
        <f>IFERROR(__xludf.DUMMYFUNCTION("IF(ISBLANK($A51),"""",IFNA(QUERY('1. Karten'!$A:$Q,""select count(A) where (C="" &amp; $A$4 &amp; "" AND D LIKE '%"" &amp; $A51 &amp; ""%' AND J='"" &amp; C$36 &amp; ""') label Count(A) ''""),0))"),4.0)</f>
        <v>4</v>
      </c>
      <c r="D51" s="108">
        <f>IFERROR(__xludf.DUMMYFUNCTION("IF(ISBLANK($A51),"""",IFNA(QUERY('1. Karten'!$A:$Q,""select count(A) where (C="" &amp; $A$4 &amp; "" AND D LIKE '%"" &amp; $A51 &amp; ""%' AND J='"" &amp; D$36 &amp; ""') label Count(A) ''""),0))"),8.0)</f>
        <v>8</v>
      </c>
      <c r="E51" s="151">
        <f t="shared" si="4"/>
        <v>21</v>
      </c>
      <c r="F51" s="152">
        <f t="shared" si="5"/>
        <v>0.1153846154</v>
      </c>
    </row>
    <row r="52">
      <c r="A52" s="169"/>
      <c r="B52" s="108" t="str">
        <f>IFERROR(__xludf.DUMMYFUNCTION("IF(ISBLANK($A52),"""",IFNA(QUERY('1. Karten'!$A:$Q,""select count(A) where (C="" &amp; $A$4 &amp; "" AND D LIKE '%"" &amp; $A52 &amp; ""%' AND J='"" &amp; B$36 &amp; ""') label Count(A) ''""),0))"),"")</f>
        <v/>
      </c>
      <c r="C52" s="108" t="str">
        <f>IFERROR(__xludf.DUMMYFUNCTION("IF(ISBLANK($A52),"""",IFNA(QUERY('1. Karten'!$A:$Q,""select count(A) where (C="" &amp; $A$4 &amp; "" AND D LIKE '%"" &amp; $A52 &amp; ""%' AND J='"" &amp; C$36 &amp; ""') label Count(A) ''""),0))"),"")</f>
        <v/>
      </c>
      <c r="D52" s="108" t="str">
        <f>IFERROR(__xludf.DUMMYFUNCTION("IF(ISBLANK($A52),"""",IFNA(QUERY('1. Karten'!$A:$Q,""select count(A) where (C="" &amp; $A$4 &amp; "" AND D LIKE '%"" &amp; $A52 &amp; ""%' AND J='"" &amp; D$36 &amp; ""') label Count(A) ''""),0))"),"")</f>
        <v/>
      </c>
      <c r="E52" s="151" t="str">
        <f t="shared" si="4"/>
        <v/>
      </c>
      <c r="F52" s="152" t="str">
        <f t="shared" si="5"/>
        <v/>
      </c>
    </row>
    <row r="53">
      <c r="B53" s="108" t="str">
        <f>IFERROR(__xludf.DUMMYFUNCTION("IF(ISBLANK($A53),"""",IFNA(QUERY('1. Karten'!$A:$Q,""select count(A) where (C="" &amp; $A$4 &amp; "" AND D LIKE '%"" &amp; $A53 &amp; ""%' AND J='"" &amp; B$36 &amp; ""') label Count(A) ''""),0))"),"")</f>
        <v/>
      </c>
      <c r="C53" s="108" t="str">
        <f>IFERROR(__xludf.DUMMYFUNCTION("IF(ISBLANK($A53),"""",IFNA(QUERY('1. Karten'!$A:$Q,""select count(A) where (C="" &amp; $A$4 &amp; "" AND D LIKE '%"" &amp; $A53 &amp; ""%' AND J='"" &amp; C$36 &amp; ""') label Count(A) ''""),0))"),"")</f>
        <v/>
      </c>
      <c r="D53" s="108" t="str">
        <f>IFERROR(__xludf.DUMMYFUNCTION("IF(ISBLANK($A53),"""",IFNA(QUERY('1. Karten'!$A:$Q,""select count(A) where (C="" &amp; $A$4 &amp; "" AND D LIKE '%"" &amp; $A53 &amp; ""%' AND J='"" &amp; D$36 &amp; ""') label Count(A) ''""),0))"),"")</f>
        <v/>
      </c>
      <c r="E53" s="151" t="str">
        <f t="shared" si="4"/>
        <v/>
      </c>
      <c r="F53" s="152" t="str">
        <f t="shared" si="5"/>
        <v/>
      </c>
    </row>
    <row r="54">
      <c r="B54" s="108" t="str">
        <f>IFERROR(__xludf.DUMMYFUNCTION("IF(ISBLANK($A54),"""",IFNA(QUERY('1. Karten'!$A:$Q,""select count(A) where (C="" &amp; $A$4 &amp; "" AND D LIKE '%"" &amp; $A54 &amp; ""%' AND J='"" &amp; B$36 &amp; ""') label Count(A) ''""),0))"),"")</f>
        <v/>
      </c>
      <c r="C54" s="108" t="str">
        <f>IFERROR(__xludf.DUMMYFUNCTION("IF(ISBLANK($A54),"""",IFNA(QUERY('1. Karten'!$A:$Q,""select count(A) where (C="" &amp; $A$4 &amp; "" AND D LIKE '%"" &amp; $A54 &amp; ""%' AND J='"" &amp; C$36 &amp; ""') label Count(A) ''""),0))"),"")</f>
        <v/>
      </c>
      <c r="D54" s="108" t="str">
        <f>IFERROR(__xludf.DUMMYFUNCTION("IF(ISBLANK($A54),"""",IFNA(QUERY('1. Karten'!$A:$Q,""select count(A) where (C="" &amp; $A$4 &amp; "" AND D LIKE '%"" &amp; $A54 &amp; ""%' AND J='"" &amp; D$36 &amp; ""') label Count(A) ''""),0))"),"")</f>
        <v/>
      </c>
      <c r="E54" s="151" t="str">
        <f t="shared" si="4"/>
        <v/>
      </c>
      <c r="F54" s="152" t="str">
        <f t="shared" si="5"/>
        <v/>
      </c>
    </row>
    <row r="55">
      <c r="B55" s="108" t="str">
        <f>IFERROR(__xludf.DUMMYFUNCTION("IF(ISBLANK($A55),"""",IFNA(QUERY('1. Karten'!$A:$Q,""select count(A) where (C="" &amp; $A$4 &amp; "" AND D LIKE '%"" &amp; $A55 &amp; ""%' AND J='"" &amp; B$36 &amp; ""') label Count(A) ''""),0))"),"")</f>
        <v/>
      </c>
      <c r="C55" s="108" t="str">
        <f>IFERROR(__xludf.DUMMYFUNCTION("IF(ISBLANK($A55),"""",IFNA(QUERY('1. Karten'!$A:$Q,""select count(A) where (C="" &amp; $A$4 &amp; "" AND D LIKE '%"" &amp; $A55 &amp; ""%' AND J='"" &amp; C$36 &amp; ""') label Count(A) ''""),0))"),"")</f>
        <v/>
      </c>
      <c r="D55" s="108" t="str">
        <f>IFERROR(__xludf.DUMMYFUNCTION("IF(ISBLANK($A55),"""",IFNA(QUERY('1. Karten'!$A:$Q,""select count(A) where (C="" &amp; $A$4 &amp; "" AND D LIKE '%"" &amp; $A55 &amp; ""%' AND J='"" &amp; D$36 &amp; ""') label Count(A) ''""),0))"),"")</f>
        <v/>
      </c>
      <c r="E55" s="151" t="str">
        <f t="shared" si="4"/>
        <v/>
      </c>
      <c r="F55" s="152" t="str">
        <f t="shared" si="5"/>
        <v/>
      </c>
    </row>
    <row r="56">
      <c r="B56" s="108" t="str">
        <f>IFERROR(__xludf.DUMMYFUNCTION("IF(ISBLANK($A56),"""",IFNA(QUERY('1. Karten'!$A:$Q,""select count(A) where (C="" &amp; $A$4 &amp; "" AND D LIKE '%"" &amp; $A56 &amp; ""%' AND J='"" &amp; B$36 &amp; ""') label Count(A) ''""),0))"),"")</f>
        <v/>
      </c>
      <c r="C56" s="108" t="str">
        <f>IFERROR(__xludf.DUMMYFUNCTION("IF(ISBLANK($A56),"""",IFNA(QUERY('1. Karten'!$A:$Q,""select count(A) where (C="" &amp; $A$4 &amp; "" AND D LIKE '%"" &amp; $A56 &amp; ""%' AND J='"" &amp; C$36 &amp; ""') label Count(A) ''""),0))"),"")</f>
        <v/>
      </c>
      <c r="D56" s="108" t="str">
        <f>IFERROR(__xludf.DUMMYFUNCTION("IF(ISBLANK($A56),"""",IFNA(QUERY('1. Karten'!$A:$Q,""select count(A) where (C="" &amp; $A$4 &amp; "" AND D LIKE '%"" &amp; $A56 &amp; ""%' AND J='"" &amp; D$36 &amp; ""') label Count(A) ''""),0))"),"")</f>
        <v/>
      </c>
      <c r="E56" s="151" t="str">
        <f t="shared" si="4"/>
        <v/>
      </c>
      <c r="F56" s="152" t="str">
        <f t="shared" si="5"/>
        <v/>
      </c>
    </row>
    <row r="57">
      <c r="B57" s="108" t="str">
        <f>IFERROR(__xludf.DUMMYFUNCTION("IF(ISBLANK($A57),"""",IFNA(QUERY('1. Karten'!$A:$Q,""select count(A) where (C="" &amp; $A$4 &amp; "" AND D LIKE '%"" &amp; $A57 &amp; ""%' AND J='"" &amp; B$36 &amp; ""') label Count(A) ''""),0))"),"")</f>
        <v/>
      </c>
      <c r="C57" s="108" t="str">
        <f>IFERROR(__xludf.DUMMYFUNCTION("IF(ISBLANK($A57),"""",IFNA(QUERY('1. Karten'!$A:$Q,""select count(A) where (C="" &amp; $A$4 &amp; "" AND D LIKE '%"" &amp; $A57 &amp; ""%' AND J='"" &amp; C$36 &amp; ""') label Count(A) ''""),0))"),"")</f>
        <v/>
      </c>
      <c r="D57" s="108" t="str">
        <f>IFERROR(__xludf.DUMMYFUNCTION("IF(ISBLANK($A57),"""",IFNA(QUERY('1. Karten'!$A:$Q,""select count(A) where (C="" &amp; $A$4 &amp; "" AND D LIKE '%"" &amp; $A57 &amp; ""%' AND J='"" &amp; D$36 &amp; ""') label Count(A) ''""),0))"),"")</f>
        <v/>
      </c>
      <c r="E57" s="151" t="str">
        <f t="shared" si="4"/>
        <v/>
      </c>
      <c r="F57" s="152" t="str">
        <f t="shared" si="5"/>
        <v/>
      </c>
    </row>
    <row r="58">
      <c r="B58" s="108" t="str">
        <f>IFERROR(__xludf.DUMMYFUNCTION("IF(ISBLANK($A58),"""",IFNA(QUERY('1. Karten'!$A:$Q,""select count(A) where (C="" &amp; $A$4 &amp; "" AND D LIKE '%"" &amp; $A58 &amp; ""%' AND J='"" &amp; B$36 &amp; ""') label Count(A) ''""),0))"),"")</f>
        <v/>
      </c>
      <c r="C58" s="108" t="str">
        <f>IFERROR(__xludf.DUMMYFUNCTION("IF(ISBLANK($A58),"""",IFNA(QUERY('1. Karten'!$A:$Q,""select count(A) where (C="" &amp; $A$4 &amp; "" AND D LIKE '%"" &amp; $A58 &amp; ""%' AND J='"" &amp; C$36 &amp; ""') label Count(A) ''""),0))"),"")</f>
        <v/>
      </c>
      <c r="D58" s="108" t="str">
        <f>IFERROR(__xludf.DUMMYFUNCTION("IF(ISBLANK($A58),"""",IFNA(QUERY('1. Karten'!$A:$Q,""select count(A) where (C="" &amp; $A$4 &amp; "" AND D LIKE '%"" &amp; $A58 &amp; ""%' AND J='"" &amp; D$36 &amp; ""') label Count(A) ''""),0))"),"")</f>
        <v/>
      </c>
      <c r="E58" s="151" t="str">
        <f t="shared" si="4"/>
        <v/>
      </c>
      <c r="F58" s="152" t="str">
        <f t="shared" si="5"/>
        <v/>
      </c>
    </row>
    <row r="59">
      <c r="B59" s="108" t="str">
        <f>IFERROR(__xludf.DUMMYFUNCTION("IF(ISBLANK($A59),"""",IFNA(QUERY('1. Karten'!$A:$Q,""select count(A) where (C="" &amp; $A$4 &amp; "" AND D LIKE '%"" &amp; $A59 &amp; ""%' AND J='"" &amp; B$36 &amp; ""') label Count(A) ''""),0))"),"")</f>
        <v/>
      </c>
      <c r="C59" s="108" t="str">
        <f>IFERROR(__xludf.DUMMYFUNCTION("IF(ISBLANK($A59),"""",IFNA(QUERY('1. Karten'!$A:$Q,""select count(A) where (C="" &amp; $A$4 &amp; "" AND D LIKE '%"" &amp; $A59 &amp; ""%' AND J='"" &amp; C$36 &amp; ""') label Count(A) ''""),0))"),"")</f>
        <v/>
      </c>
      <c r="D59" s="108" t="str">
        <f>IFERROR(__xludf.DUMMYFUNCTION("IF(ISBLANK($A59),"""",IFNA(QUERY('1. Karten'!$A:$Q,""select count(A) where (C="" &amp; $A$4 &amp; "" AND D LIKE '%"" &amp; $A59 &amp; ""%' AND J='"" &amp; D$36 &amp; ""') label Count(A) ''""),0))"),"")</f>
        <v/>
      </c>
      <c r="E59" s="151" t="str">
        <f t="shared" si="4"/>
        <v/>
      </c>
      <c r="F59" s="152" t="str">
        <f t="shared" si="5"/>
        <v/>
      </c>
    </row>
    <row r="60">
      <c r="B60" s="108" t="str">
        <f>IFERROR(__xludf.DUMMYFUNCTION("IF(ISBLANK($A60),"""",IFNA(QUERY('1. Karten'!$A:$Q,""select count(A) where (C="" &amp; $A$4 &amp; "" AND D LIKE '%"" &amp; $A60 &amp; ""%' AND J='"" &amp; B$36 &amp; ""') label Count(A) ''""),0))"),"")</f>
        <v/>
      </c>
      <c r="C60" s="108" t="str">
        <f>IFERROR(__xludf.DUMMYFUNCTION("IF(ISBLANK($A60),"""",IFNA(QUERY('1. Karten'!$A:$Q,""select count(A) where (C="" &amp; $A$4 &amp; "" AND D LIKE '%"" &amp; $A60 &amp; ""%' AND J='"" &amp; C$36 &amp; ""') label Count(A) ''""),0))"),"")</f>
        <v/>
      </c>
      <c r="D60" s="108" t="str">
        <f>IFERROR(__xludf.DUMMYFUNCTION("IF(ISBLANK($A60),"""",IFNA(QUERY('1. Karten'!$A:$Q,""select count(A) where (C="" &amp; $A$4 &amp; "" AND D LIKE '%"" &amp; $A60 &amp; ""%' AND J='"" &amp; D$36 &amp; ""') label Count(A) ''""),0))"),"")</f>
        <v/>
      </c>
      <c r="E60" s="151" t="str">
        <f t="shared" si="4"/>
        <v/>
      </c>
      <c r="F60" s="152" t="str">
        <f t="shared" si="5"/>
        <v/>
      </c>
    </row>
    <row r="61">
      <c r="B61" s="108" t="str">
        <f>IFERROR(__xludf.DUMMYFUNCTION("IF(ISBLANK($A61),"""",IFNA(QUERY('1. Karten'!$A:$Q,""select count(A) where (C="" &amp; $A$4 &amp; "" AND D LIKE '%"" &amp; $A61 &amp; ""%' AND J='"" &amp; B$36 &amp; ""') label Count(A) ''""),0))"),"")</f>
        <v/>
      </c>
      <c r="C61" s="108" t="str">
        <f>IFERROR(__xludf.DUMMYFUNCTION("IF(ISBLANK($A61),"""",IFNA(QUERY('1. Karten'!$A:$Q,""select count(A) where (C="" &amp; $A$4 &amp; "" AND D LIKE '%"" &amp; $A61 &amp; ""%' AND J='"" &amp; C$36 &amp; ""') label Count(A) ''""),0))"),"")</f>
        <v/>
      </c>
      <c r="D61" s="108" t="str">
        <f>IFERROR(__xludf.DUMMYFUNCTION("IF(ISBLANK($A61),"""",IFNA(QUERY('1. Karten'!$A:$Q,""select count(A) where (C="" &amp; $A$4 &amp; "" AND D LIKE '%"" &amp; $A61 &amp; ""%' AND J='"" &amp; D$36 &amp; ""') label Count(A) ''""),0))"),"")</f>
        <v/>
      </c>
      <c r="E61" s="151" t="str">
        <f t="shared" si="4"/>
        <v/>
      </c>
      <c r="F61" s="152" t="str">
        <f t="shared" si="5"/>
        <v/>
      </c>
    </row>
    <row r="62">
      <c r="B62" s="108" t="str">
        <f>IFERROR(__xludf.DUMMYFUNCTION("IF(ISBLANK($A62),"""",IFNA(QUERY('1. Karten'!$A:$Q,""select count(A) where (C="" &amp; $A$4 &amp; "" AND D LIKE '%"" &amp; $A62 &amp; ""%' AND J='"" &amp; B$36 &amp; ""') label Count(A) ''""),0))"),"")</f>
        <v/>
      </c>
      <c r="C62" s="108" t="str">
        <f>IFERROR(__xludf.DUMMYFUNCTION("IF(ISBLANK($A62),"""",IFNA(QUERY('1. Karten'!$A:$Q,""select count(A) where (C="" &amp; $A$4 &amp; "" AND D LIKE '%"" &amp; $A62 &amp; ""%' AND J='"" &amp; C$36 &amp; ""') label Count(A) ''""),0))"),"")</f>
        <v/>
      </c>
      <c r="D62" s="108" t="str">
        <f>IFERROR(__xludf.DUMMYFUNCTION("IF(ISBLANK($A62),"""",IFNA(QUERY('1. Karten'!$A:$Q,""select count(A) where (C="" &amp; $A$4 &amp; "" AND D LIKE '%"" &amp; $A62 &amp; ""%' AND J='"" &amp; D$36 &amp; ""') label Count(A) ''""),0))"),"")</f>
        <v/>
      </c>
      <c r="E62" s="151" t="str">
        <f t="shared" si="4"/>
        <v/>
      </c>
      <c r="F62" s="152" t="str">
        <f t="shared" si="5"/>
        <v/>
      </c>
    </row>
    <row r="63">
      <c r="B63" s="108" t="str">
        <f>IFERROR(__xludf.DUMMYFUNCTION("IF(ISBLANK($A63),"""",IFNA(QUERY('1. Karten'!$A:$Q,""select count(A) where (C="" &amp; $A$4 &amp; "" AND D LIKE '%"" &amp; $A63 &amp; ""%' AND J='"" &amp; B$36 &amp; ""') label Count(A) ''""),0))"),"")</f>
        <v/>
      </c>
      <c r="C63" s="108" t="str">
        <f>IFERROR(__xludf.DUMMYFUNCTION("IF(ISBLANK($A63),"""",IFNA(QUERY('1. Karten'!$A:$Q,""select count(A) where (C="" &amp; $A$4 &amp; "" AND D LIKE '%"" &amp; $A63 &amp; ""%' AND J='"" &amp; C$36 &amp; ""') label Count(A) ''""),0))"),"")</f>
        <v/>
      </c>
      <c r="D63" s="108" t="str">
        <f>IFERROR(__xludf.DUMMYFUNCTION("IF(ISBLANK($A63),"""",IFNA(QUERY('1. Karten'!$A:$Q,""select count(A) where (C="" &amp; $A$4 &amp; "" AND D LIKE '%"" &amp; $A63 &amp; ""%' AND J='"" &amp; D$36 &amp; ""') label Count(A) ''""),0))"),"")</f>
        <v/>
      </c>
      <c r="E63" s="151" t="str">
        <f t="shared" si="4"/>
        <v/>
      </c>
      <c r="F63" s="152"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1763</v>
      </c>
      <c r="G1" s="5" t="s">
        <v>1764</v>
      </c>
      <c r="H1" s="5" t="s">
        <v>1765</v>
      </c>
      <c r="I1" s="170" t="s">
        <v>6</v>
      </c>
      <c r="J1" s="171" t="s">
        <v>7</v>
      </c>
      <c r="K1" s="171" t="s">
        <v>8</v>
      </c>
      <c r="L1" s="172" t="s">
        <v>9</v>
      </c>
      <c r="M1" s="173" t="s">
        <v>10</v>
      </c>
      <c r="N1" s="20" t="s">
        <v>11</v>
      </c>
      <c r="O1" s="20" t="s">
        <v>12</v>
      </c>
      <c r="P1" s="20" t="s">
        <v>13</v>
      </c>
      <c r="Q1" s="20" t="s">
        <v>14</v>
      </c>
      <c r="R1" s="20" t="s">
        <v>15</v>
      </c>
      <c r="S1" s="20" t="s">
        <v>16</v>
      </c>
    </row>
    <row r="2">
      <c r="A2" s="14" t="s">
        <v>1766</v>
      </c>
      <c r="B2" s="14" t="s">
        <v>1767</v>
      </c>
      <c r="D2" s="14" t="s">
        <v>1768</v>
      </c>
      <c r="E2" s="14" t="s">
        <v>1769</v>
      </c>
      <c r="I2" s="14" t="s">
        <v>1770</v>
      </c>
      <c r="J2" s="14">
        <v>2.0</v>
      </c>
      <c r="K2" s="14" t="s">
        <v>1072</v>
      </c>
      <c r="L2" s="14" t="s">
        <v>33</v>
      </c>
      <c r="P2" s="14" t="s">
        <v>1771</v>
      </c>
      <c r="Q2" s="14" t="s">
        <v>1768</v>
      </c>
      <c r="R2" s="14" t="s">
        <v>1771</v>
      </c>
      <c r="S2" s="14">
        <v>3.0</v>
      </c>
    </row>
    <row r="3">
      <c r="A3" s="25" t="s">
        <v>1772</v>
      </c>
      <c r="B3" s="93" t="s">
        <v>13</v>
      </c>
      <c r="C3" s="12"/>
      <c r="D3" s="12" t="s">
        <v>1521</v>
      </c>
      <c r="E3" s="10" t="s">
        <v>1773</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1774</v>
      </c>
      <c r="J3" s="12">
        <v>0.0</v>
      </c>
      <c r="K3" s="12" t="s">
        <v>1775</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1776</v>
      </c>
      <c r="B4" s="92" t="s">
        <v>12</v>
      </c>
      <c r="C4" s="19"/>
      <c r="D4" s="19" t="s">
        <v>407</v>
      </c>
      <c r="E4" s="20" t="s">
        <v>1777</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1778</v>
      </c>
      <c r="H4" s="19">
        <v>0.0</v>
      </c>
      <c r="I4" s="19" t="s">
        <v>1307</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1779</v>
      </c>
      <c r="B5" s="11" t="s">
        <v>15</v>
      </c>
      <c r="C5" s="12">
        <v>1.0</v>
      </c>
      <c r="D5" s="12" t="s">
        <v>35</v>
      </c>
      <c r="E5" s="33" t="s">
        <v>84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74" t="s">
        <v>3</v>
      </c>
      <c r="E1" s="2" t="s">
        <v>4</v>
      </c>
      <c r="F1" s="5" t="s">
        <v>1763</v>
      </c>
      <c r="G1" s="5" t="s">
        <v>1764</v>
      </c>
      <c r="H1" s="5" t="s">
        <v>1765</v>
      </c>
      <c r="I1" s="6" t="s">
        <v>6</v>
      </c>
      <c r="J1" s="4" t="s">
        <v>7</v>
      </c>
      <c r="K1" s="4" t="s">
        <v>8</v>
      </c>
      <c r="L1" s="4" t="s">
        <v>9</v>
      </c>
      <c r="M1" s="8" t="s">
        <v>11</v>
      </c>
      <c r="N1" s="8" t="s">
        <v>12</v>
      </c>
      <c r="O1" s="8" t="s">
        <v>13</v>
      </c>
      <c r="P1" s="8" t="s">
        <v>14</v>
      </c>
      <c r="Q1" s="8" t="s">
        <v>15</v>
      </c>
      <c r="R1" s="8" t="s">
        <v>16</v>
      </c>
      <c r="S1" s="175"/>
      <c r="T1" s="175"/>
      <c r="U1" s="175"/>
      <c r="V1" s="175"/>
      <c r="W1" s="175"/>
      <c r="X1" s="175"/>
      <c r="Y1" s="175"/>
      <c r="Z1" s="175"/>
      <c r="AA1" s="175"/>
      <c r="AB1" s="175"/>
      <c r="AC1" s="175"/>
      <c r="AD1" s="175"/>
    </row>
    <row r="2">
      <c r="A2" s="20" t="s">
        <v>1780</v>
      </c>
      <c r="B2" s="20" t="s">
        <v>15</v>
      </c>
      <c r="C2" s="19">
        <v>3.0</v>
      </c>
      <c r="D2" s="20" t="s">
        <v>1781</v>
      </c>
      <c r="E2" s="20" t="s">
        <v>1782</v>
      </c>
      <c r="I2" s="50"/>
      <c r="J2" s="19">
        <v>4.0</v>
      </c>
      <c r="K2" s="19" t="s">
        <v>144</v>
      </c>
      <c r="L2" s="20" t="s">
        <v>69</v>
      </c>
    </row>
    <row r="3">
      <c r="A3" s="20" t="s">
        <v>1783</v>
      </c>
      <c r="B3" s="20" t="s">
        <v>13</v>
      </c>
      <c r="C3" s="19">
        <v>3.0</v>
      </c>
      <c r="D3" s="20" t="s">
        <v>1784</v>
      </c>
      <c r="E3" s="20" t="s">
        <v>1785</v>
      </c>
      <c r="I3" s="21" t="s">
        <v>1786</v>
      </c>
      <c r="J3" s="19">
        <v>3.0</v>
      </c>
      <c r="K3" s="19" t="s">
        <v>1787</v>
      </c>
      <c r="L3" s="20" t="s">
        <v>39</v>
      </c>
    </row>
    <row r="4">
      <c r="A4" s="20" t="s">
        <v>1788</v>
      </c>
      <c r="B4" s="20" t="s">
        <v>14</v>
      </c>
      <c r="C4" s="19">
        <v>3.0</v>
      </c>
      <c r="D4" s="20" t="s">
        <v>44</v>
      </c>
      <c r="E4" s="20" t="s">
        <v>1789</v>
      </c>
      <c r="I4" s="50"/>
      <c r="J4" s="19">
        <v>1.0</v>
      </c>
      <c r="K4" s="19" t="s">
        <v>1079</v>
      </c>
      <c r="L4" s="20" t="s">
        <v>33</v>
      </c>
    </row>
    <row r="5">
      <c r="A5" s="20" t="s">
        <v>1790</v>
      </c>
      <c r="B5" s="20" t="s">
        <v>11</v>
      </c>
      <c r="C5" s="19">
        <v>3.0</v>
      </c>
      <c r="D5" s="20" t="s">
        <v>670</v>
      </c>
      <c r="E5" s="20" t="s">
        <v>1791</v>
      </c>
      <c r="I5" s="50"/>
      <c r="J5" s="19">
        <v>3.0</v>
      </c>
      <c r="K5" s="19" t="s">
        <v>475</v>
      </c>
      <c r="L5" s="20" t="s">
        <v>33</v>
      </c>
    </row>
    <row r="6">
      <c r="A6" s="20" t="s">
        <v>1792</v>
      </c>
      <c r="B6" s="20" t="s">
        <v>1006</v>
      </c>
      <c r="C6" s="19">
        <v>3.0</v>
      </c>
      <c r="D6" s="20" t="s">
        <v>1793</v>
      </c>
      <c r="E6" s="20" t="s">
        <v>1794</v>
      </c>
      <c r="I6" s="21" t="s">
        <v>1795</v>
      </c>
      <c r="J6" s="19">
        <v>6.0</v>
      </c>
      <c r="K6" s="19" t="s">
        <v>1796</v>
      </c>
      <c r="L6" s="20" t="s">
        <v>69</v>
      </c>
    </row>
    <row r="7">
      <c r="A7" s="20" t="s">
        <v>1797</v>
      </c>
      <c r="B7" s="20" t="s">
        <v>372</v>
      </c>
      <c r="C7" s="19">
        <v>3.0</v>
      </c>
      <c r="D7" s="20" t="s">
        <v>1798</v>
      </c>
      <c r="E7" s="20" t="s">
        <v>1799</v>
      </c>
      <c r="I7" s="21" t="s">
        <v>1800</v>
      </c>
      <c r="J7" s="19">
        <v>5.0</v>
      </c>
      <c r="K7" s="19" t="s">
        <v>1801</v>
      </c>
      <c r="L7" s="20" t="s">
        <v>39</v>
      </c>
    </row>
    <row r="8">
      <c r="A8" s="20" t="s">
        <v>1802</v>
      </c>
      <c r="B8" s="20" t="s">
        <v>12</v>
      </c>
      <c r="C8" s="19">
        <v>3.0</v>
      </c>
      <c r="D8" s="20" t="s">
        <v>1803</v>
      </c>
      <c r="E8" s="20" t="s">
        <v>1804</v>
      </c>
      <c r="I8" s="21" t="s">
        <v>1805</v>
      </c>
      <c r="J8" s="19">
        <v>5.0</v>
      </c>
      <c r="K8" s="19" t="s">
        <v>1318</v>
      </c>
      <c r="L8" s="20" t="s">
        <v>69</v>
      </c>
    </row>
    <row r="9">
      <c r="A9" s="20" t="s">
        <v>1806</v>
      </c>
      <c r="B9" s="20" t="s">
        <v>15</v>
      </c>
      <c r="C9" s="19">
        <v>3.0</v>
      </c>
      <c r="D9" s="20" t="s">
        <v>104</v>
      </c>
      <c r="E9" s="20" t="s">
        <v>1807</v>
      </c>
      <c r="I9" s="21"/>
      <c r="J9" s="19">
        <v>2.0</v>
      </c>
      <c r="K9" s="19" t="s">
        <v>99</v>
      </c>
      <c r="L9" s="20" t="s">
        <v>33</v>
      </c>
    </row>
    <row r="10">
      <c r="A10" s="20" t="s">
        <v>1808</v>
      </c>
      <c r="B10" s="20" t="s">
        <v>11</v>
      </c>
      <c r="C10" s="19">
        <v>3.0</v>
      </c>
      <c r="D10" s="20" t="s">
        <v>1809</v>
      </c>
      <c r="E10" s="20" t="s">
        <v>1810</v>
      </c>
      <c r="I10" s="50"/>
      <c r="J10" s="19">
        <v>3.0</v>
      </c>
      <c r="K10" s="19" t="s">
        <v>426</v>
      </c>
      <c r="L10" s="20" t="s">
        <v>33</v>
      </c>
    </row>
    <row r="11">
      <c r="A11" s="20" t="s">
        <v>1811</v>
      </c>
      <c r="B11" s="20" t="s">
        <v>907</v>
      </c>
      <c r="C11" s="19">
        <v>3.0</v>
      </c>
      <c r="D11" s="20" t="s">
        <v>1768</v>
      </c>
      <c r="E11" s="20" t="s">
        <v>1812</v>
      </c>
      <c r="I11" s="50"/>
      <c r="J11" s="19">
        <v>3.0</v>
      </c>
      <c r="K11" s="19" t="s">
        <v>1813</v>
      </c>
      <c r="L11" s="20" t="s">
        <v>69</v>
      </c>
    </row>
    <row r="12">
      <c r="A12" s="20" t="s">
        <v>1814</v>
      </c>
      <c r="B12" s="20" t="s">
        <v>13</v>
      </c>
      <c r="C12" s="19">
        <v>3.0</v>
      </c>
      <c r="D12" s="20" t="s">
        <v>1815</v>
      </c>
      <c r="E12" s="20" t="s">
        <v>1816</v>
      </c>
      <c r="I12" s="21" t="s">
        <v>1817</v>
      </c>
      <c r="J12" s="100"/>
      <c r="K12" s="100"/>
    </row>
    <row r="13">
      <c r="A13" s="20" t="s">
        <v>1818</v>
      </c>
      <c r="B13" s="20" t="s">
        <v>12</v>
      </c>
      <c r="C13" s="19">
        <v>3.0</v>
      </c>
      <c r="D13" s="20" t="s">
        <v>1243</v>
      </c>
      <c r="E13" s="20" t="s">
        <v>1819</v>
      </c>
      <c r="I13" s="50"/>
      <c r="J13" s="19">
        <v>3.0</v>
      </c>
      <c r="K13" s="19" t="s">
        <v>1288</v>
      </c>
      <c r="L13" s="20" t="s">
        <v>33</v>
      </c>
    </row>
    <row r="14">
      <c r="A14" s="20" t="s">
        <v>1820</v>
      </c>
      <c r="B14" s="20" t="s">
        <v>13</v>
      </c>
      <c r="C14" s="19">
        <v>3.0</v>
      </c>
      <c r="D14" s="20" t="s">
        <v>1821</v>
      </c>
      <c r="E14" s="20" t="s">
        <v>1822</v>
      </c>
      <c r="I14" s="21" t="s">
        <v>1823</v>
      </c>
      <c r="J14" s="19">
        <v>4.0</v>
      </c>
      <c r="K14" s="19" t="s">
        <v>1545</v>
      </c>
      <c r="L14" s="20" t="s">
        <v>69</v>
      </c>
    </row>
    <row r="15">
      <c r="A15" s="20" t="s">
        <v>1824</v>
      </c>
      <c r="B15" s="20" t="s">
        <v>1825</v>
      </c>
      <c r="C15" s="19">
        <v>3.0</v>
      </c>
      <c r="D15" s="20" t="s">
        <v>35</v>
      </c>
      <c r="E15" s="20" t="s">
        <v>1826</v>
      </c>
      <c r="I15" s="21" t="s">
        <v>1827</v>
      </c>
      <c r="J15" s="19">
        <v>3.0</v>
      </c>
      <c r="K15" s="19" t="s">
        <v>1828</v>
      </c>
      <c r="L15" s="20" t="s">
        <v>33</v>
      </c>
    </row>
    <row r="16">
      <c r="A16" s="20" t="s">
        <v>1829</v>
      </c>
      <c r="B16" s="20" t="s">
        <v>11</v>
      </c>
      <c r="C16" s="19">
        <v>3.0</v>
      </c>
      <c r="D16" s="20" t="s">
        <v>1830</v>
      </c>
      <c r="E16" s="20" t="s">
        <v>1831</v>
      </c>
      <c r="I16" s="50"/>
      <c r="J16" s="19">
        <v>5.0</v>
      </c>
      <c r="K16" s="19" t="s">
        <v>431</v>
      </c>
      <c r="L16" s="20" t="s">
        <v>33</v>
      </c>
    </row>
    <row r="17">
      <c r="A17" s="20" t="s">
        <v>1832</v>
      </c>
      <c r="B17" s="18" t="s">
        <v>15</v>
      </c>
      <c r="C17" s="19"/>
      <c r="D17" s="19" t="s">
        <v>77</v>
      </c>
      <c r="E17" s="20" t="s">
        <v>1833</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1532</v>
      </c>
      <c r="J17" s="19">
        <v>0.0</v>
      </c>
      <c r="K17" s="19" t="s">
        <v>173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1834</v>
      </c>
      <c r="B18" s="20" t="s">
        <v>11</v>
      </c>
      <c r="C18" s="19">
        <v>3.0</v>
      </c>
      <c r="D18" s="20" t="s">
        <v>1835</v>
      </c>
      <c r="E18" s="20" t="s">
        <v>1836</v>
      </c>
      <c r="I18" s="50"/>
      <c r="J18" s="19">
        <v>2.0</v>
      </c>
      <c r="K18" s="19" t="s">
        <v>475</v>
      </c>
      <c r="L18" s="20" t="s">
        <v>69</v>
      </c>
    </row>
    <row r="19">
      <c r="A19" s="25" t="s">
        <v>1837</v>
      </c>
      <c r="B19" s="91" t="s">
        <v>12</v>
      </c>
      <c r="C19" s="12"/>
      <c r="D19" s="12" t="s">
        <v>77</v>
      </c>
      <c r="E19" s="10" t="s">
        <v>1838</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1839</v>
      </c>
      <c r="J19" s="12">
        <v>3.0</v>
      </c>
      <c r="K19" s="12" t="s">
        <v>1292</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1541</v>
      </c>
      <c r="B20" s="93" t="s">
        <v>13</v>
      </c>
      <c r="C20" s="12">
        <v>3.0</v>
      </c>
      <c r="D20" s="19" t="s">
        <v>1840</v>
      </c>
      <c r="E20" s="20" t="s">
        <v>1543</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1544</v>
      </c>
      <c r="J20" s="19">
        <v>2.0</v>
      </c>
      <c r="K20" s="19" t="s">
        <v>1545</v>
      </c>
      <c r="L20" s="12" t="s">
        <v>39</v>
      </c>
    </row>
    <row r="21">
      <c r="A21" s="10" t="s">
        <v>1841</v>
      </c>
      <c r="B21" s="11" t="s">
        <v>15</v>
      </c>
      <c r="C21" s="12">
        <v>3.0</v>
      </c>
      <c r="D21" s="12" t="s">
        <v>407</v>
      </c>
      <c r="E21" s="10" t="s">
        <v>1842</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1843</v>
      </c>
      <c r="J21" s="12">
        <v>3.0</v>
      </c>
      <c r="K21" s="12" t="s">
        <v>144</v>
      </c>
      <c r="L21" s="12" t="s">
        <v>33</v>
      </c>
    </row>
    <row r="22">
      <c r="A22" s="31" t="s">
        <v>1844</v>
      </c>
      <c r="B22" s="176" t="s">
        <v>15</v>
      </c>
      <c r="C22" s="66">
        <v>3.0</v>
      </c>
      <c r="D22" s="68" t="s">
        <v>1845</v>
      </c>
      <c r="E22" s="33" t="s">
        <v>1846</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7" t="s">
        <v>31</v>
      </c>
      <c r="J22" s="68">
        <v>5.0</v>
      </c>
      <c r="K22" s="66" t="s">
        <v>63</v>
      </c>
      <c r="L22" s="68" t="s">
        <v>33</v>
      </c>
    </row>
    <row r="23">
      <c r="A23" s="20" t="s">
        <v>1847</v>
      </c>
      <c r="B23" s="20" t="s">
        <v>372</v>
      </c>
      <c r="C23" s="19"/>
      <c r="D23" s="19" t="s">
        <v>1266</v>
      </c>
      <c r="E23" s="20" t="s">
        <v>1848</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1849</v>
      </c>
      <c r="H23" s="19">
        <v>5.0</v>
      </c>
      <c r="I23" s="19" t="s">
        <v>1850</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1851</v>
      </c>
      <c r="B24" s="48" t="s">
        <v>11</v>
      </c>
      <c r="C24" s="12">
        <v>3.0</v>
      </c>
      <c r="D24" s="12" t="s">
        <v>428</v>
      </c>
      <c r="E24" s="20" t="s">
        <v>1852</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1853</v>
      </c>
      <c r="H24" s="12">
        <v>4.0</v>
      </c>
      <c r="I24" s="12" t="s">
        <v>431</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1854</v>
      </c>
      <c r="B25" s="10" t="s">
        <v>292</v>
      </c>
      <c r="C25" s="12">
        <v>3.0</v>
      </c>
      <c r="D25" s="12" t="s">
        <v>141</v>
      </c>
      <c r="E25" s="10" t="s">
        <v>1855</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1856</v>
      </c>
      <c r="H25" s="12">
        <v>3.0</v>
      </c>
      <c r="I25" s="12" t="s">
        <v>311</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100"/>
      <c r="E26" s="20" t="s">
        <v>1857</v>
      </c>
      <c r="I26" s="50"/>
      <c r="J26" s="100"/>
      <c r="K26" s="100"/>
    </row>
    <row r="27">
      <c r="C27" s="100"/>
      <c r="D27" s="20" t="s">
        <v>1371</v>
      </c>
      <c r="I27" s="50"/>
      <c r="J27" s="100"/>
      <c r="K27" s="100"/>
    </row>
    <row r="28">
      <c r="C28" s="100"/>
      <c r="E28" s="20" t="s">
        <v>1858</v>
      </c>
      <c r="I28" s="50"/>
      <c r="J28" s="100"/>
      <c r="K28" s="100"/>
    </row>
    <row r="29">
      <c r="A29" s="20" t="s">
        <v>1859</v>
      </c>
      <c r="B29" s="20" t="s">
        <v>12</v>
      </c>
      <c r="C29" s="19">
        <v>3.0</v>
      </c>
      <c r="D29" s="20" t="s">
        <v>44</v>
      </c>
      <c r="E29" s="20" t="s">
        <v>1860</v>
      </c>
      <c r="I29" s="50"/>
      <c r="J29" s="19">
        <v>1.0</v>
      </c>
      <c r="K29" s="19" t="s">
        <v>1373</v>
      </c>
      <c r="L29" s="20" t="s">
        <v>33</v>
      </c>
    </row>
    <row r="30">
      <c r="C30" s="100"/>
      <c r="E30" s="20" t="s">
        <v>1861</v>
      </c>
      <c r="I30" s="50"/>
      <c r="J30" s="100"/>
      <c r="K30" s="100"/>
    </row>
    <row r="31">
      <c r="A31" s="20" t="s">
        <v>1862</v>
      </c>
      <c r="B31" s="20" t="s">
        <v>14</v>
      </c>
      <c r="C31" s="100"/>
      <c r="D31" s="20" t="s">
        <v>739</v>
      </c>
      <c r="E31" s="20" t="s">
        <v>1863</v>
      </c>
      <c r="I31" s="50"/>
      <c r="J31" s="100"/>
      <c r="K31" s="100"/>
    </row>
    <row r="32">
      <c r="A32" s="10" t="s">
        <v>1864</v>
      </c>
      <c r="B32" s="10" t="s">
        <v>14</v>
      </c>
      <c r="C32" s="12">
        <v>3.0</v>
      </c>
      <c r="D32" s="19" t="s">
        <v>308</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1071</v>
      </c>
      <c r="H32" s="19">
        <v>3.0</v>
      </c>
      <c r="I32" s="19" t="s">
        <v>1072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1865</v>
      </c>
      <c r="E33" s="20" t="s">
        <v>1866</v>
      </c>
      <c r="I33" s="50"/>
      <c r="J33" s="100"/>
      <c r="K33" s="100"/>
    </row>
    <row r="34">
      <c r="C34" s="100"/>
      <c r="E34" s="20" t="s">
        <v>1867</v>
      </c>
      <c r="I34" s="50"/>
      <c r="J34" s="100"/>
      <c r="K34" s="100"/>
    </row>
    <row r="35">
      <c r="C35" s="100"/>
      <c r="E35" s="20" t="s">
        <v>1868</v>
      </c>
      <c r="I35" s="50"/>
      <c r="J35" s="100"/>
      <c r="K35" s="100"/>
    </row>
    <row r="36">
      <c r="C36" s="100"/>
      <c r="E36" s="20" t="s">
        <v>1869</v>
      </c>
      <c r="I36" s="50"/>
      <c r="J36" s="100"/>
      <c r="K36" s="100"/>
    </row>
    <row r="37">
      <c r="A37" s="20" t="s">
        <v>1870</v>
      </c>
      <c r="C37" s="100"/>
      <c r="D37" s="20" t="s">
        <v>1871</v>
      </c>
      <c r="E37" s="20" t="s">
        <v>1872</v>
      </c>
      <c r="I37" s="50"/>
      <c r="J37" s="100"/>
      <c r="K37" s="100"/>
    </row>
    <row r="38">
      <c r="C38" s="100"/>
      <c r="E38" s="177" t="s">
        <v>1873</v>
      </c>
      <c r="I38" s="50"/>
      <c r="J38" s="100"/>
      <c r="K38" s="100"/>
    </row>
    <row r="39">
      <c r="A39" s="20" t="s">
        <v>1874</v>
      </c>
      <c r="C39" s="19">
        <v>3.0</v>
      </c>
      <c r="D39" s="20" t="s">
        <v>1875</v>
      </c>
      <c r="E39" s="20" t="s">
        <v>1876</v>
      </c>
      <c r="I39" s="50"/>
      <c r="J39" s="100"/>
      <c r="K39" s="100"/>
    </row>
    <row r="40">
      <c r="A40" s="20" t="s">
        <v>1877</v>
      </c>
      <c r="C40" s="19">
        <v>3.0</v>
      </c>
      <c r="D40" s="20" t="s">
        <v>1875</v>
      </c>
      <c r="E40" s="20" t="s">
        <v>1878</v>
      </c>
      <c r="I40" s="50"/>
      <c r="J40" s="100"/>
      <c r="K40" s="100"/>
    </row>
    <row r="41">
      <c r="A41" s="20" t="s">
        <v>1879</v>
      </c>
      <c r="C41" s="19">
        <v>3.0</v>
      </c>
      <c r="D41" s="20" t="s">
        <v>1875</v>
      </c>
      <c r="E41" s="20" t="s">
        <v>1880</v>
      </c>
      <c r="I41" s="50"/>
      <c r="J41" s="100"/>
      <c r="K41" s="100"/>
    </row>
    <row r="42">
      <c r="A42" s="20" t="s">
        <v>1881</v>
      </c>
      <c r="C42" s="19">
        <v>3.0</v>
      </c>
      <c r="D42" s="20" t="s">
        <v>1875</v>
      </c>
      <c r="E42" s="20" t="s">
        <v>1882</v>
      </c>
      <c r="I42" s="50"/>
      <c r="J42" s="100"/>
      <c r="K42" s="100"/>
    </row>
    <row r="43">
      <c r="A43" s="20" t="s">
        <v>1883</v>
      </c>
      <c r="C43" s="19">
        <v>3.0</v>
      </c>
      <c r="D43" s="20" t="s">
        <v>1875</v>
      </c>
      <c r="E43" s="20" t="s">
        <v>1884</v>
      </c>
      <c r="I43" s="50"/>
      <c r="J43" s="100"/>
      <c r="K43" s="100"/>
    </row>
    <row r="44">
      <c r="A44" s="20" t="s">
        <v>1885</v>
      </c>
      <c r="B44" s="20" t="s">
        <v>372</v>
      </c>
      <c r="C44" s="100"/>
      <c r="E44" s="20" t="s">
        <v>1886</v>
      </c>
      <c r="I44" s="50"/>
      <c r="J44" s="100"/>
      <c r="K44" s="19" t="s">
        <v>414</v>
      </c>
      <c r="L44" s="20" t="s">
        <v>69</v>
      </c>
    </row>
    <row r="45">
      <c r="C45" s="100"/>
      <c r="E45" s="20" t="s">
        <v>1887</v>
      </c>
      <c r="I45" s="50"/>
      <c r="J45" s="100"/>
      <c r="K45" s="100"/>
    </row>
    <row r="46">
      <c r="C46" s="100"/>
      <c r="I46" s="50"/>
      <c r="J46" s="100"/>
      <c r="K46" s="100"/>
    </row>
    <row r="47">
      <c r="C47" s="100"/>
      <c r="I47" s="50"/>
      <c r="J47" s="100"/>
      <c r="K47" s="100"/>
    </row>
    <row r="48">
      <c r="C48" s="100"/>
      <c r="I48" s="50"/>
      <c r="J48" s="100"/>
      <c r="K48" s="100"/>
    </row>
    <row r="49">
      <c r="C49" s="100"/>
      <c r="I49" s="50"/>
      <c r="J49" s="100"/>
      <c r="K49" s="100"/>
    </row>
    <row r="50">
      <c r="C50" s="100"/>
      <c r="I50" s="50"/>
      <c r="J50" s="100"/>
      <c r="K50" s="100"/>
    </row>
    <row r="51">
      <c r="C51" s="100"/>
      <c r="I51" s="50"/>
      <c r="J51" s="100"/>
      <c r="K51" s="100"/>
    </row>
    <row r="52">
      <c r="C52" s="100"/>
      <c r="I52" s="50"/>
      <c r="J52" s="100"/>
      <c r="K52" s="100"/>
    </row>
    <row r="53">
      <c r="C53" s="100"/>
      <c r="I53" s="50"/>
      <c r="J53" s="100"/>
      <c r="K53" s="100"/>
    </row>
    <row r="54">
      <c r="C54" s="100"/>
      <c r="I54" s="50"/>
      <c r="J54" s="100"/>
      <c r="K54" s="100"/>
    </row>
    <row r="55">
      <c r="C55" s="100"/>
      <c r="I55" s="50"/>
      <c r="J55" s="100"/>
      <c r="K55" s="100"/>
    </row>
    <row r="56">
      <c r="C56" s="100"/>
      <c r="I56" s="50"/>
      <c r="J56" s="100"/>
      <c r="K56" s="100"/>
    </row>
    <row r="57">
      <c r="C57" s="100"/>
      <c r="I57" s="50"/>
      <c r="J57" s="100"/>
      <c r="K57" s="100"/>
    </row>
    <row r="58">
      <c r="C58" s="100"/>
      <c r="I58" s="50"/>
      <c r="J58" s="100"/>
      <c r="K58" s="100"/>
    </row>
    <row r="59">
      <c r="C59" s="100"/>
      <c r="I59" s="50"/>
      <c r="J59" s="100"/>
      <c r="K59" s="100"/>
    </row>
    <row r="60">
      <c r="C60" s="100"/>
      <c r="I60" s="50"/>
      <c r="J60" s="100"/>
      <c r="K60" s="100"/>
    </row>
    <row r="61">
      <c r="C61" s="100"/>
      <c r="I61" s="50"/>
      <c r="J61" s="100"/>
      <c r="K61" s="100"/>
    </row>
    <row r="62">
      <c r="C62" s="100"/>
      <c r="I62" s="50"/>
      <c r="J62" s="100"/>
      <c r="K62" s="100"/>
    </row>
    <row r="63">
      <c r="C63" s="100"/>
      <c r="I63" s="50"/>
      <c r="J63" s="100"/>
      <c r="K63" s="100"/>
    </row>
    <row r="64">
      <c r="C64" s="100"/>
      <c r="I64" s="50"/>
      <c r="J64" s="100"/>
      <c r="K64" s="100"/>
    </row>
    <row r="65">
      <c r="C65" s="100"/>
      <c r="I65" s="50"/>
      <c r="J65" s="100"/>
      <c r="K65" s="100"/>
    </row>
    <row r="66">
      <c r="C66" s="100"/>
      <c r="I66" s="50"/>
      <c r="J66" s="100"/>
      <c r="K66" s="100"/>
    </row>
    <row r="67">
      <c r="C67" s="100"/>
      <c r="I67" s="50"/>
      <c r="J67" s="100"/>
      <c r="K67" s="100"/>
    </row>
    <row r="68">
      <c r="C68" s="100"/>
      <c r="I68" s="50"/>
      <c r="J68" s="100"/>
      <c r="K68" s="100"/>
    </row>
    <row r="69">
      <c r="C69" s="100"/>
      <c r="I69" s="50"/>
      <c r="J69" s="100"/>
      <c r="K69" s="100"/>
    </row>
    <row r="70">
      <c r="C70" s="100"/>
      <c r="I70" s="50"/>
      <c r="J70" s="100"/>
      <c r="K70" s="100"/>
    </row>
    <row r="71">
      <c r="C71" s="100"/>
      <c r="I71" s="50"/>
      <c r="J71" s="100"/>
      <c r="K71" s="100"/>
    </row>
    <row r="72">
      <c r="C72" s="100"/>
      <c r="I72" s="50"/>
      <c r="J72" s="100"/>
      <c r="K72" s="100"/>
    </row>
    <row r="73">
      <c r="C73" s="100"/>
      <c r="I73" s="50"/>
      <c r="J73" s="100"/>
      <c r="K73" s="100"/>
    </row>
    <row r="74">
      <c r="C74" s="100"/>
      <c r="I74" s="50"/>
      <c r="J74" s="100"/>
      <c r="K74" s="100"/>
    </row>
    <row r="75">
      <c r="C75" s="100"/>
      <c r="I75" s="50"/>
      <c r="J75" s="100"/>
      <c r="K75" s="100"/>
    </row>
    <row r="76">
      <c r="C76" s="100"/>
      <c r="I76" s="50"/>
      <c r="J76" s="100"/>
      <c r="K76" s="100"/>
    </row>
    <row r="77">
      <c r="C77" s="100"/>
      <c r="I77" s="50"/>
      <c r="J77" s="100"/>
      <c r="K77" s="100"/>
    </row>
    <row r="78">
      <c r="C78" s="100"/>
      <c r="I78" s="50"/>
      <c r="J78" s="100"/>
      <c r="K78" s="100"/>
    </row>
    <row r="79">
      <c r="C79" s="100"/>
      <c r="I79" s="50"/>
      <c r="J79" s="100"/>
      <c r="K79" s="100"/>
    </row>
    <row r="80">
      <c r="C80" s="100"/>
      <c r="I80" s="50"/>
      <c r="J80" s="100"/>
      <c r="K80" s="100"/>
    </row>
    <row r="81">
      <c r="C81" s="100"/>
      <c r="I81" s="50"/>
      <c r="J81" s="100"/>
      <c r="K81" s="100"/>
    </row>
    <row r="82">
      <c r="C82" s="100"/>
      <c r="I82" s="50"/>
      <c r="J82" s="100"/>
      <c r="K82" s="100"/>
    </row>
    <row r="83">
      <c r="C83" s="100"/>
      <c r="I83" s="50"/>
      <c r="J83" s="100"/>
      <c r="K83" s="100"/>
    </row>
    <row r="84">
      <c r="C84" s="100"/>
      <c r="I84" s="50"/>
      <c r="J84" s="100"/>
      <c r="K84" s="100"/>
    </row>
    <row r="85">
      <c r="C85" s="100"/>
      <c r="I85" s="50"/>
      <c r="J85" s="100"/>
      <c r="K85" s="100"/>
    </row>
    <row r="86">
      <c r="C86" s="100"/>
      <c r="I86" s="50"/>
      <c r="J86" s="100"/>
      <c r="K86" s="100"/>
    </row>
    <row r="87">
      <c r="C87" s="100"/>
      <c r="I87" s="50"/>
      <c r="J87" s="100"/>
      <c r="K87" s="100"/>
    </row>
    <row r="88">
      <c r="C88" s="100"/>
      <c r="I88" s="50"/>
      <c r="J88" s="100"/>
      <c r="K88" s="100"/>
    </row>
    <row r="89">
      <c r="C89" s="100"/>
      <c r="I89" s="50"/>
      <c r="J89" s="100"/>
      <c r="K89" s="100"/>
    </row>
    <row r="90">
      <c r="C90" s="100"/>
      <c r="I90" s="50"/>
      <c r="J90" s="100"/>
      <c r="K90" s="100"/>
    </row>
    <row r="91">
      <c r="C91" s="100"/>
      <c r="I91" s="50"/>
      <c r="J91" s="100"/>
      <c r="K91" s="100"/>
    </row>
    <row r="92">
      <c r="C92" s="100"/>
      <c r="I92" s="50"/>
      <c r="J92" s="100"/>
      <c r="K92" s="100"/>
    </row>
    <row r="93">
      <c r="C93" s="100"/>
      <c r="I93" s="50"/>
      <c r="J93" s="100"/>
      <c r="K93" s="100"/>
    </row>
    <row r="94">
      <c r="C94" s="100"/>
      <c r="I94" s="50"/>
      <c r="J94" s="100"/>
      <c r="K94" s="100"/>
    </row>
    <row r="95">
      <c r="C95" s="100"/>
      <c r="I95" s="50"/>
      <c r="J95" s="100"/>
      <c r="K95" s="100"/>
    </row>
    <row r="96">
      <c r="C96" s="100"/>
      <c r="I96" s="50"/>
      <c r="J96" s="100"/>
      <c r="K96" s="100"/>
    </row>
    <row r="97">
      <c r="C97" s="100"/>
      <c r="I97" s="50"/>
      <c r="J97" s="100"/>
      <c r="K97" s="100"/>
    </row>
    <row r="98">
      <c r="C98" s="100"/>
      <c r="I98" s="50"/>
      <c r="J98" s="100"/>
      <c r="K98" s="100"/>
    </row>
    <row r="99">
      <c r="C99" s="100"/>
      <c r="I99" s="50"/>
      <c r="J99" s="100"/>
      <c r="K99" s="100"/>
    </row>
    <row r="100">
      <c r="C100" s="100"/>
      <c r="I100" s="50"/>
      <c r="J100" s="100"/>
      <c r="K100" s="100"/>
    </row>
    <row r="101">
      <c r="C101" s="100"/>
      <c r="I101" s="50"/>
      <c r="J101" s="100"/>
      <c r="K101" s="100"/>
    </row>
    <row r="102">
      <c r="C102" s="100"/>
      <c r="I102" s="50"/>
      <c r="J102" s="100"/>
      <c r="K102" s="100"/>
    </row>
    <row r="103">
      <c r="C103" s="100"/>
      <c r="I103" s="50"/>
      <c r="J103" s="100"/>
      <c r="K103" s="100"/>
    </row>
    <row r="104">
      <c r="C104" s="100"/>
      <c r="I104" s="50"/>
      <c r="J104" s="100"/>
      <c r="K104" s="100"/>
    </row>
    <row r="105">
      <c r="C105" s="100"/>
      <c r="I105" s="50"/>
      <c r="J105" s="100"/>
      <c r="K105" s="100"/>
    </row>
    <row r="106">
      <c r="C106" s="100"/>
      <c r="I106" s="50"/>
      <c r="J106" s="100"/>
      <c r="K106" s="100"/>
    </row>
    <row r="107">
      <c r="C107" s="100"/>
      <c r="I107" s="50"/>
      <c r="J107" s="100"/>
      <c r="K107" s="100"/>
    </row>
    <row r="108">
      <c r="C108" s="100"/>
      <c r="I108" s="50"/>
      <c r="J108" s="100"/>
      <c r="K108" s="100"/>
    </row>
    <row r="109">
      <c r="C109" s="100"/>
      <c r="I109" s="50"/>
      <c r="J109" s="100"/>
      <c r="K109" s="100"/>
    </row>
    <row r="110">
      <c r="C110" s="100"/>
      <c r="I110" s="50"/>
      <c r="J110" s="100"/>
      <c r="K110" s="100"/>
    </row>
    <row r="111">
      <c r="C111" s="100"/>
      <c r="I111" s="50"/>
      <c r="J111" s="100"/>
      <c r="K111" s="100"/>
    </row>
    <row r="112">
      <c r="C112" s="100"/>
      <c r="I112" s="50"/>
      <c r="J112" s="100"/>
      <c r="K112" s="100"/>
    </row>
    <row r="113">
      <c r="C113" s="100"/>
      <c r="I113" s="50"/>
      <c r="J113" s="100"/>
      <c r="K113" s="100"/>
    </row>
    <row r="114">
      <c r="C114" s="100"/>
      <c r="I114" s="50"/>
      <c r="J114" s="100"/>
      <c r="K114" s="100"/>
    </row>
    <row r="115">
      <c r="C115" s="100"/>
      <c r="I115" s="50"/>
      <c r="J115" s="100"/>
      <c r="K115" s="100"/>
    </row>
    <row r="116">
      <c r="C116" s="100"/>
      <c r="I116" s="50"/>
      <c r="J116" s="100"/>
      <c r="K116" s="100"/>
    </row>
    <row r="117">
      <c r="C117" s="100"/>
      <c r="I117" s="50"/>
      <c r="J117" s="100"/>
      <c r="K117" s="100"/>
    </row>
    <row r="118">
      <c r="C118" s="100"/>
      <c r="I118" s="50"/>
      <c r="J118" s="100"/>
      <c r="K118" s="100"/>
    </row>
    <row r="119">
      <c r="C119" s="100"/>
      <c r="I119" s="50"/>
      <c r="J119" s="100"/>
      <c r="K119" s="100"/>
    </row>
    <row r="120">
      <c r="C120" s="100"/>
      <c r="I120" s="50"/>
      <c r="J120" s="100"/>
      <c r="K120" s="100"/>
    </row>
    <row r="121">
      <c r="C121" s="100"/>
      <c r="I121" s="50"/>
      <c r="J121" s="100"/>
      <c r="K121" s="100"/>
    </row>
    <row r="122">
      <c r="C122" s="100"/>
      <c r="I122" s="50"/>
      <c r="J122" s="100"/>
      <c r="K122" s="100"/>
    </row>
    <row r="123">
      <c r="C123" s="100"/>
      <c r="I123" s="50"/>
      <c r="J123" s="100"/>
      <c r="K123" s="100"/>
    </row>
    <row r="124">
      <c r="C124" s="100"/>
      <c r="I124" s="50"/>
      <c r="J124" s="100"/>
      <c r="K124" s="100"/>
    </row>
    <row r="125">
      <c r="C125" s="100"/>
      <c r="I125" s="50"/>
      <c r="J125" s="100"/>
      <c r="K125" s="100"/>
    </row>
    <row r="126">
      <c r="C126" s="100"/>
      <c r="I126" s="50"/>
      <c r="J126" s="100"/>
      <c r="K126" s="100"/>
    </row>
    <row r="127">
      <c r="C127" s="100"/>
      <c r="I127" s="50"/>
      <c r="J127" s="100"/>
      <c r="K127" s="100"/>
    </row>
    <row r="128">
      <c r="C128" s="100"/>
      <c r="I128" s="50"/>
      <c r="J128" s="100"/>
      <c r="K128" s="100"/>
    </row>
    <row r="129">
      <c r="C129" s="100"/>
      <c r="I129" s="50"/>
      <c r="J129" s="100"/>
      <c r="K129" s="100"/>
    </row>
    <row r="130">
      <c r="C130" s="100"/>
      <c r="I130" s="50"/>
      <c r="J130" s="100"/>
      <c r="K130" s="100"/>
    </row>
    <row r="131">
      <c r="C131" s="100"/>
      <c r="I131" s="50"/>
      <c r="J131" s="100"/>
      <c r="K131" s="100"/>
    </row>
    <row r="132">
      <c r="C132" s="100"/>
      <c r="I132" s="50"/>
      <c r="J132" s="100"/>
      <c r="K132" s="100"/>
    </row>
    <row r="133">
      <c r="C133" s="100"/>
      <c r="I133" s="50"/>
      <c r="J133" s="100"/>
      <c r="K133" s="100"/>
    </row>
    <row r="134">
      <c r="C134" s="100"/>
      <c r="I134" s="50"/>
      <c r="J134" s="100"/>
      <c r="K134" s="100"/>
    </row>
    <row r="135">
      <c r="C135" s="100"/>
      <c r="I135" s="50"/>
      <c r="J135" s="100"/>
      <c r="K135" s="100"/>
    </row>
    <row r="136">
      <c r="C136" s="100"/>
      <c r="I136" s="50"/>
      <c r="J136" s="100"/>
      <c r="K136" s="100"/>
    </row>
    <row r="137">
      <c r="C137" s="100"/>
      <c r="I137" s="50"/>
      <c r="J137" s="100"/>
      <c r="K137" s="100"/>
    </row>
    <row r="138">
      <c r="C138" s="100"/>
      <c r="I138" s="50"/>
      <c r="J138" s="100"/>
      <c r="K138" s="100"/>
    </row>
    <row r="139">
      <c r="C139" s="100"/>
      <c r="I139" s="50"/>
      <c r="J139" s="100"/>
      <c r="K139" s="100"/>
    </row>
    <row r="140">
      <c r="C140" s="100"/>
      <c r="I140" s="50"/>
      <c r="J140" s="100"/>
      <c r="K140" s="100"/>
    </row>
    <row r="141">
      <c r="C141" s="100"/>
      <c r="I141" s="50"/>
      <c r="J141" s="100"/>
      <c r="K141" s="100"/>
    </row>
    <row r="142">
      <c r="C142" s="100"/>
      <c r="I142" s="50"/>
      <c r="J142" s="100"/>
      <c r="K142" s="100"/>
    </row>
    <row r="143">
      <c r="C143" s="100"/>
      <c r="I143" s="50"/>
      <c r="J143" s="100"/>
      <c r="K143" s="100"/>
    </row>
    <row r="144">
      <c r="C144" s="100"/>
      <c r="I144" s="50"/>
      <c r="J144" s="100"/>
      <c r="K144" s="100"/>
    </row>
    <row r="145">
      <c r="C145" s="100"/>
      <c r="I145" s="50"/>
      <c r="J145" s="100"/>
      <c r="K145" s="100"/>
    </row>
    <row r="146">
      <c r="C146" s="100"/>
      <c r="I146" s="50"/>
      <c r="J146" s="100"/>
      <c r="K146" s="100"/>
    </row>
    <row r="147">
      <c r="C147" s="100"/>
      <c r="I147" s="50"/>
      <c r="J147" s="100"/>
      <c r="K147" s="100"/>
    </row>
    <row r="148">
      <c r="C148" s="100"/>
      <c r="I148" s="50"/>
      <c r="J148" s="100"/>
      <c r="K148" s="100"/>
    </row>
    <row r="149">
      <c r="C149" s="100"/>
      <c r="I149" s="50"/>
      <c r="J149" s="100"/>
      <c r="K149" s="100"/>
    </row>
    <row r="150">
      <c r="C150" s="100"/>
      <c r="I150" s="50"/>
      <c r="J150" s="100"/>
      <c r="K150" s="100"/>
    </row>
    <row r="151">
      <c r="C151" s="100"/>
      <c r="I151" s="50"/>
      <c r="J151" s="100"/>
      <c r="K151" s="100"/>
    </row>
    <row r="152">
      <c r="C152" s="100"/>
      <c r="I152" s="50"/>
      <c r="J152" s="100"/>
      <c r="K152" s="100"/>
    </row>
    <row r="153">
      <c r="C153" s="100"/>
      <c r="I153" s="50"/>
      <c r="J153" s="100"/>
      <c r="K153" s="100"/>
    </row>
    <row r="154">
      <c r="C154" s="100"/>
      <c r="I154" s="50"/>
      <c r="J154" s="100"/>
      <c r="K154" s="100"/>
    </row>
    <row r="155">
      <c r="C155" s="100"/>
      <c r="I155" s="50"/>
      <c r="J155" s="100"/>
      <c r="K155" s="100"/>
    </row>
    <row r="156">
      <c r="C156" s="100"/>
      <c r="I156" s="50"/>
      <c r="J156" s="100"/>
      <c r="K156" s="100"/>
    </row>
    <row r="157">
      <c r="C157" s="100"/>
      <c r="I157" s="50"/>
      <c r="J157" s="100"/>
      <c r="K157" s="100"/>
    </row>
    <row r="158">
      <c r="C158" s="100"/>
      <c r="I158" s="50"/>
      <c r="J158" s="100"/>
      <c r="K158" s="100"/>
    </row>
    <row r="159">
      <c r="C159" s="100"/>
      <c r="I159" s="50"/>
      <c r="J159" s="100"/>
      <c r="K159" s="100"/>
    </row>
    <row r="160">
      <c r="C160" s="100"/>
      <c r="I160" s="50"/>
      <c r="J160" s="100"/>
      <c r="K160" s="100"/>
    </row>
    <row r="161">
      <c r="C161" s="100"/>
      <c r="I161" s="50"/>
      <c r="J161" s="100"/>
      <c r="K161" s="100"/>
    </row>
    <row r="162">
      <c r="C162" s="100"/>
      <c r="I162" s="50"/>
      <c r="J162" s="100"/>
      <c r="K162" s="100"/>
    </row>
    <row r="163">
      <c r="C163" s="100"/>
      <c r="I163" s="50"/>
      <c r="J163" s="100"/>
      <c r="K163" s="100"/>
    </row>
    <row r="164">
      <c r="C164" s="100"/>
      <c r="I164" s="50"/>
      <c r="J164" s="100"/>
      <c r="K164" s="100"/>
    </row>
    <row r="165">
      <c r="C165" s="100"/>
      <c r="I165" s="50"/>
      <c r="J165" s="100"/>
      <c r="K165" s="100"/>
    </row>
    <row r="166">
      <c r="C166" s="100"/>
      <c r="I166" s="50"/>
      <c r="J166" s="100"/>
      <c r="K166" s="100"/>
    </row>
    <row r="167">
      <c r="C167" s="100"/>
      <c r="I167" s="50"/>
      <c r="J167" s="100"/>
      <c r="K167" s="100"/>
    </row>
    <row r="168">
      <c r="C168" s="100"/>
      <c r="I168" s="50"/>
      <c r="J168" s="100"/>
      <c r="K168" s="100"/>
    </row>
    <row r="169">
      <c r="C169" s="100"/>
      <c r="I169" s="50"/>
      <c r="J169" s="100"/>
      <c r="K169" s="100"/>
    </row>
    <row r="170">
      <c r="C170" s="100"/>
      <c r="I170" s="50"/>
      <c r="J170" s="100"/>
      <c r="K170" s="100"/>
    </row>
    <row r="171">
      <c r="C171" s="100"/>
      <c r="I171" s="50"/>
      <c r="J171" s="100"/>
      <c r="K171" s="100"/>
    </row>
    <row r="172">
      <c r="C172" s="100"/>
      <c r="I172" s="50"/>
      <c r="J172" s="100"/>
      <c r="K172" s="100"/>
    </row>
    <row r="173">
      <c r="C173" s="100"/>
      <c r="I173" s="50"/>
      <c r="J173" s="100"/>
      <c r="K173" s="100"/>
    </row>
    <row r="174">
      <c r="C174" s="100"/>
      <c r="I174" s="50"/>
      <c r="J174" s="100"/>
      <c r="K174" s="100"/>
    </row>
    <row r="175">
      <c r="C175" s="100"/>
      <c r="I175" s="50"/>
      <c r="J175" s="100"/>
      <c r="K175" s="100"/>
    </row>
    <row r="176">
      <c r="C176" s="100"/>
      <c r="I176" s="50"/>
      <c r="J176" s="100"/>
      <c r="K176" s="100"/>
    </row>
    <row r="177">
      <c r="C177" s="100"/>
      <c r="I177" s="50"/>
      <c r="J177" s="100"/>
      <c r="K177" s="100"/>
    </row>
    <row r="178">
      <c r="C178" s="100"/>
      <c r="I178" s="50"/>
      <c r="J178" s="100"/>
      <c r="K178" s="100"/>
    </row>
    <row r="179">
      <c r="C179" s="100"/>
      <c r="I179" s="50"/>
      <c r="J179" s="100"/>
      <c r="K179" s="100"/>
    </row>
    <row r="180">
      <c r="C180" s="100"/>
      <c r="I180" s="50"/>
      <c r="J180" s="100"/>
      <c r="K180" s="100"/>
    </row>
    <row r="181">
      <c r="C181" s="100"/>
      <c r="I181" s="50"/>
      <c r="J181" s="100"/>
      <c r="K181" s="100"/>
    </row>
    <row r="182">
      <c r="C182" s="100"/>
      <c r="I182" s="50"/>
      <c r="J182" s="100"/>
      <c r="K182" s="100"/>
    </row>
    <row r="183">
      <c r="C183" s="100"/>
      <c r="I183" s="50"/>
      <c r="J183" s="100"/>
      <c r="K183" s="100"/>
    </row>
    <row r="184">
      <c r="C184" s="100"/>
      <c r="I184" s="50"/>
      <c r="J184" s="100"/>
      <c r="K184" s="100"/>
    </row>
    <row r="185">
      <c r="C185" s="100"/>
      <c r="I185" s="50"/>
      <c r="J185" s="100"/>
      <c r="K185" s="100"/>
    </row>
    <row r="186">
      <c r="C186" s="100"/>
      <c r="I186" s="50"/>
      <c r="J186" s="100"/>
      <c r="K186" s="100"/>
    </row>
    <row r="187">
      <c r="C187" s="100"/>
      <c r="I187" s="50"/>
      <c r="J187" s="100"/>
      <c r="K187" s="100"/>
    </row>
    <row r="188">
      <c r="C188" s="100"/>
      <c r="I188" s="50"/>
      <c r="J188" s="100"/>
      <c r="K188" s="100"/>
    </row>
    <row r="189">
      <c r="C189" s="100"/>
      <c r="I189" s="50"/>
      <c r="J189" s="100"/>
      <c r="K189" s="100"/>
    </row>
    <row r="190">
      <c r="C190" s="100"/>
      <c r="I190" s="50"/>
      <c r="J190" s="100"/>
      <c r="K190" s="100"/>
    </row>
    <row r="191">
      <c r="C191" s="100"/>
      <c r="I191" s="50"/>
      <c r="J191" s="100"/>
      <c r="K191" s="100"/>
    </row>
    <row r="192">
      <c r="C192" s="100"/>
      <c r="I192" s="50"/>
      <c r="J192" s="100"/>
      <c r="K192" s="100"/>
    </row>
    <row r="193">
      <c r="C193" s="100"/>
      <c r="I193" s="50"/>
      <c r="J193" s="100"/>
      <c r="K193" s="100"/>
    </row>
    <row r="194">
      <c r="C194" s="100"/>
      <c r="I194" s="50"/>
      <c r="J194" s="100"/>
      <c r="K194" s="100"/>
    </row>
    <row r="195">
      <c r="C195" s="100"/>
      <c r="I195" s="50"/>
      <c r="J195" s="100"/>
      <c r="K195" s="100"/>
    </row>
    <row r="196">
      <c r="C196" s="100"/>
      <c r="I196" s="50"/>
      <c r="J196" s="100"/>
      <c r="K196" s="100"/>
    </row>
    <row r="197">
      <c r="C197" s="100"/>
      <c r="I197" s="50"/>
      <c r="J197" s="100"/>
      <c r="K197" s="100"/>
    </row>
    <row r="198">
      <c r="C198" s="100"/>
      <c r="I198" s="50"/>
      <c r="J198" s="100"/>
      <c r="K198" s="100"/>
    </row>
    <row r="199">
      <c r="C199" s="100"/>
      <c r="I199" s="50"/>
      <c r="J199" s="100"/>
      <c r="K199" s="100"/>
    </row>
    <row r="200">
      <c r="C200" s="100"/>
      <c r="I200" s="50"/>
      <c r="J200" s="100"/>
      <c r="K200" s="100"/>
    </row>
    <row r="201">
      <c r="C201" s="100"/>
      <c r="I201" s="50"/>
      <c r="J201" s="100"/>
      <c r="K201" s="100"/>
    </row>
    <row r="202">
      <c r="C202" s="100"/>
      <c r="I202" s="50"/>
      <c r="J202" s="100"/>
      <c r="K202" s="100"/>
    </row>
    <row r="203">
      <c r="C203" s="100"/>
      <c r="I203" s="50"/>
      <c r="J203" s="100"/>
      <c r="K203" s="100"/>
    </row>
    <row r="204">
      <c r="C204" s="100"/>
      <c r="I204" s="50"/>
      <c r="J204" s="100"/>
      <c r="K204" s="100"/>
    </row>
    <row r="205">
      <c r="C205" s="100"/>
      <c r="I205" s="50"/>
      <c r="J205" s="100"/>
      <c r="K205" s="100"/>
    </row>
    <row r="206">
      <c r="C206" s="100"/>
      <c r="I206" s="50"/>
      <c r="J206" s="100"/>
      <c r="K206" s="100"/>
    </row>
    <row r="207">
      <c r="C207" s="100"/>
      <c r="I207" s="50"/>
      <c r="J207" s="100"/>
      <c r="K207" s="100"/>
    </row>
    <row r="208">
      <c r="C208" s="100"/>
      <c r="I208" s="50"/>
      <c r="J208" s="100"/>
      <c r="K208" s="100"/>
    </row>
    <row r="209">
      <c r="C209" s="100"/>
      <c r="I209" s="50"/>
      <c r="J209" s="100"/>
      <c r="K209" s="100"/>
    </row>
    <row r="210">
      <c r="C210" s="100"/>
      <c r="I210" s="50"/>
      <c r="J210" s="100"/>
      <c r="K210" s="100"/>
    </row>
    <row r="211">
      <c r="C211" s="100"/>
      <c r="I211" s="50"/>
      <c r="J211" s="100"/>
      <c r="K211" s="100"/>
    </row>
    <row r="212">
      <c r="C212" s="100"/>
      <c r="I212" s="50"/>
      <c r="J212" s="100"/>
      <c r="K212" s="100"/>
    </row>
    <row r="213">
      <c r="C213" s="100"/>
      <c r="I213" s="50"/>
      <c r="J213" s="100"/>
      <c r="K213" s="100"/>
    </row>
    <row r="214">
      <c r="C214" s="100"/>
      <c r="I214" s="50"/>
      <c r="J214" s="100"/>
      <c r="K214" s="100"/>
    </row>
    <row r="215">
      <c r="C215" s="100"/>
      <c r="I215" s="50"/>
      <c r="J215" s="100"/>
      <c r="K215" s="100"/>
    </row>
    <row r="216">
      <c r="C216" s="100"/>
      <c r="I216" s="50"/>
      <c r="J216" s="100"/>
      <c r="K216" s="100"/>
    </row>
    <row r="217">
      <c r="C217" s="100"/>
      <c r="I217" s="50"/>
      <c r="J217" s="100"/>
      <c r="K217" s="100"/>
    </row>
    <row r="218">
      <c r="C218" s="100"/>
      <c r="I218" s="50"/>
      <c r="J218" s="100"/>
      <c r="K218" s="100"/>
    </row>
    <row r="219">
      <c r="C219" s="100"/>
      <c r="I219" s="50"/>
      <c r="J219" s="100"/>
      <c r="K219" s="100"/>
    </row>
    <row r="220">
      <c r="C220" s="100"/>
      <c r="I220" s="50"/>
      <c r="J220" s="100"/>
      <c r="K220" s="100"/>
    </row>
    <row r="221">
      <c r="C221" s="100"/>
      <c r="I221" s="50"/>
      <c r="J221" s="100"/>
      <c r="K221" s="100"/>
    </row>
    <row r="222">
      <c r="C222" s="100"/>
      <c r="I222" s="50"/>
      <c r="J222" s="100"/>
      <c r="K222" s="100"/>
    </row>
    <row r="223">
      <c r="C223" s="100"/>
      <c r="I223" s="50"/>
      <c r="J223" s="100"/>
      <c r="K223" s="100"/>
    </row>
    <row r="224">
      <c r="C224" s="100"/>
      <c r="I224" s="50"/>
      <c r="J224" s="100"/>
      <c r="K224" s="100"/>
    </row>
    <row r="225">
      <c r="C225" s="100"/>
      <c r="I225" s="50"/>
      <c r="J225" s="100"/>
      <c r="K225" s="100"/>
    </row>
    <row r="226">
      <c r="C226" s="100"/>
      <c r="I226" s="50"/>
      <c r="J226" s="100"/>
      <c r="K226" s="100"/>
    </row>
    <row r="227">
      <c r="C227" s="100"/>
      <c r="I227" s="50"/>
      <c r="J227" s="100"/>
      <c r="K227" s="100"/>
    </row>
    <row r="228">
      <c r="C228" s="100"/>
      <c r="I228" s="50"/>
      <c r="J228" s="100"/>
      <c r="K228" s="100"/>
    </row>
    <row r="229">
      <c r="C229" s="100"/>
      <c r="I229" s="50"/>
      <c r="J229" s="100"/>
      <c r="K229" s="100"/>
    </row>
    <row r="230">
      <c r="C230" s="100"/>
      <c r="I230" s="50"/>
      <c r="J230" s="100"/>
      <c r="K230" s="100"/>
    </row>
    <row r="231">
      <c r="C231" s="100"/>
      <c r="I231" s="50"/>
      <c r="J231" s="100"/>
      <c r="K231" s="100"/>
    </row>
    <row r="232">
      <c r="C232" s="100"/>
      <c r="I232" s="50"/>
      <c r="J232" s="100"/>
      <c r="K232" s="100"/>
    </row>
    <row r="233">
      <c r="C233" s="100"/>
      <c r="I233" s="50"/>
      <c r="J233" s="100"/>
      <c r="K233" s="100"/>
    </row>
    <row r="234">
      <c r="C234" s="100"/>
      <c r="I234" s="50"/>
      <c r="J234" s="100"/>
      <c r="K234" s="100"/>
    </row>
    <row r="235">
      <c r="C235" s="100"/>
      <c r="I235" s="50"/>
      <c r="J235" s="100"/>
      <c r="K235" s="100"/>
    </row>
    <row r="236">
      <c r="C236" s="100"/>
      <c r="I236" s="50"/>
      <c r="J236" s="100"/>
      <c r="K236" s="100"/>
    </row>
    <row r="237">
      <c r="C237" s="100"/>
      <c r="I237" s="50"/>
      <c r="J237" s="100"/>
      <c r="K237" s="100"/>
    </row>
    <row r="238">
      <c r="C238" s="100"/>
      <c r="I238" s="50"/>
      <c r="J238" s="100"/>
      <c r="K238" s="100"/>
    </row>
    <row r="239">
      <c r="C239" s="100"/>
      <c r="I239" s="50"/>
      <c r="J239" s="100"/>
      <c r="K239" s="100"/>
    </row>
    <row r="240">
      <c r="C240" s="100"/>
      <c r="I240" s="50"/>
      <c r="J240" s="100"/>
      <c r="K240" s="100"/>
    </row>
    <row r="241">
      <c r="C241" s="100"/>
      <c r="I241" s="50"/>
      <c r="J241" s="100"/>
      <c r="K241" s="100"/>
    </row>
    <row r="242">
      <c r="C242" s="100"/>
      <c r="I242" s="50"/>
      <c r="J242" s="100"/>
      <c r="K242" s="100"/>
    </row>
    <row r="243">
      <c r="C243" s="100"/>
      <c r="I243" s="50"/>
      <c r="J243" s="100"/>
      <c r="K243" s="100"/>
    </row>
    <row r="244">
      <c r="C244" s="100"/>
      <c r="I244" s="50"/>
      <c r="J244" s="100"/>
      <c r="K244" s="100"/>
    </row>
    <row r="245">
      <c r="C245" s="100"/>
      <c r="I245" s="50"/>
      <c r="J245" s="100"/>
      <c r="K245" s="100"/>
    </row>
    <row r="246">
      <c r="C246" s="100"/>
      <c r="I246" s="50"/>
      <c r="J246" s="100"/>
      <c r="K246" s="100"/>
    </row>
    <row r="247">
      <c r="C247" s="100"/>
      <c r="I247" s="50"/>
      <c r="J247" s="100"/>
      <c r="K247" s="100"/>
    </row>
    <row r="248">
      <c r="C248" s="100"/>
      <c r="I248" s="50"/>
      <c r="J248" s="100"/>
      <c r="K248" s="100"/>
    </row>
    <row r="249">
      <c r="C249" s="100"/>
      <c r="I249" s="50"/>
      <c r="J249" s="100"/>
      <c r="K249" s="100"/>
    </row>
    <row r="250">
      <c r="C250" s="100"/>
      <c r="I250" s="50"/>
      <c r="J250" s="100"/>
      <c r="K250" s="100"/>
    </row>
    <row r="251">
      <c r="C251" s="100"/>
      <c r="I251" s="50"/>
      <c r="J251" s="100"/>
      <c r="K251" s="100"/>
    </row>
    <row r="252">
      <c r="C252" s="100"/>
      <c r="I252" s="50"/>
      <c r="J252" s="100"/>
      <c r="K252" s="100"/>
    </row>
    <row r="253">
      <c r="C253" s="100"/>
      <c r="I253" s="50"/>
      <c r="J253" s="100"/>
      <c r="K253" s="100"/>
    </row>
    <row r="254">
      <c r="C254" s="100"/>
      <c r="I254" s="50"/>
      <c r="J254" s="100"/>
      <c r="K254" s="100"/>
    </row>
    <row r="255">
      <c r="C255" s="100"/>
      <c r="I255" s="50"/>
      <c r="J255" s="100"/>
      <c r="K255" s="100"/>
    </row>
    <row r="256">
      <c r="C256" s="100"/>
      <c r="I256" s="50"/>
      <c r="J256" s="100"/>
      <c r="K256" s="100"/>
    </row>
    <row r="257">
      <c r="C257" s="100"/>
      <c r="I257" s="50"/>
      <c r="J257" s="100"/>
      <c r="K257" s="100"/>
    </row>
    <row r="258">
      <c r="C258" s="100"/>
      <c r="I258" s="50"/>
      <c r="J258" s="100"/>
      <c r="K258" s="100"/>
    </row>
    <row r="259">
      <c r="C259" s="100"/>
      <c r="I259" s="50"/>
      <c r="J259" s="100"/>
      <c r="K259" s="100"/>
    </row>
    <row r="260">
      <c r="C260" s="100"/>
      <c r="I260" s="50"/>
      <c r="J260" s="100"/>
      <c r="K260" s="100"/>
    </row>
    <row r="261">
      <c r="C261" s="100"/>
      <c r="I261" s="50"/>
      <c r="J261" s="100"/>
      <c r="K261" s="100"/>
    </row>
    <row r="262">
      <c r="C262" s="100"/>
      <c r="I262" s="50"/>
      <c r="J262" s="100"/>
      <c r="K262" s="100"/>
    </row>
    <row r="263">
      <c r="C263" s="100"/>
      <c r="I263" s="50"/>
      <c r="J263" s="100"/>
      <c r="K263" s="100"/>
    </row>
    <row r="264">
      <c r="C264" s="100"/>
      <c r="I264" s="50"/>
      <c r="J264" s="100"/>
      <c r="K264" s="100"/>
    </row>
    <row r="265">
      <c r="C265" s="100"/>
      <c r="I265" s="50"/>
      <c r="J265" s="100"/>
      <c r="K265" s="100"/>
    </row>
    <row r="266">
      <c r="C266" s="100"/>
      <c r="I266" s="50"/>
      <c r="J266" s="100"/>
      <c r="K266" s="100"/>
    </row>
    <row r="267">
      <c r="C267" s="100"/>
      <c r="I267" s="50"/>
      <c r="J267" s="100"/>
      <c r="K267" s="100"/>
    </row>
    <row r="268">
      <c r="C268" s="100"/>
      <c r="I268" s="50"/>
      <c r="J268" s="100"/>
      <c r="K268" s="100"/>
    </row>
    <row r="269">
      <c r="C269" s="100"/>
      <c r="I269" s="50"/>
      <c r="J269" s="100"/>
      <c r="K269" s="100"/>
    </row>
    <row r="270">
      <c r="C270" s="100"/>
      <c r="I270" s="50"/>
      <c r="J270" s="100"/>
      <c r="K270" s="100"/>
    </row>
    <row r="271">
      <c r="C271" s="100"/>
      <c r="I271" s="50"/>
      <c r="J271" s="100"/>
      <c r="K271" s="100"/>
    </row>
    <row r="272">
      <c r="C272" s="100"/>
      <c r="I272" s="50"/>
      <c r="J272" s="100"/>
      <c r="K272" s="100"/>
    </row>
    <row r="273">
      <c r="C273" s="100"/>
      <c r="I273" s="50"/>
      <c r="J273" s="100"/>
      <c r="K273" s="100"/>
    </row>
    <row r="274">
      <c r="C274" s="100"/>
      <c r="I274" s="50"/>
      <c r="J274" s="100"/>
      <c r="K274" s="100"/>
    </row>
    <row r="275">
      <c r="C275" s="100"/>
      <c r="I275" s="50"/>
      <c r="J275" s="100"/>
      <c r="K275" s="100"/>
    </row>
    <row r="276">
      <c r="C276" s="100"/>
      <c r="I276" s="50"/>
      <c r="J276" s="100"/>
      <c r="K276" s="100"/>
    </row>
    <row r="277">
      <c r="C277" s="100"/>
      <c r="I277" s="50"/>
      <c r="J277" s="100"/>
      <c r="K277" s="100"/>
    </row>
    <row r="278">
      <c r="C278" s="100"/>
      <c r="I278" s="50"/>
      <c r="J278" s="100"/>
      <c r="K278" s="100"/>
    </row>
    <row r="279">
      <c r="C279" s="100"/>
      <c r="I279" s="50"/>
      <c r="J279" s="100"/>
      <c r="K279" s="100"/>
    </row>
    <row r="280">
      <c r="C280" s="100"/>
      <c r="I280" s="50"/>
      <c r="J280" s="100"/>
      <c r="K280" s="100"/>
    </row>
    <row r="281">
      <c r="C281" s="100"/>
      <c r="I281" s="50"/>
      <c r="J281" s="100"/>
      <c r="K281" s="100"/>
    </row>
    <row r="282">
      <c r="C282" s="100"/>
      <c r="I282" s="50"/>
      <c r="J282" s="100"/>
      <c r="K282" s="100"/>
    </row>
    <row r="283">
      <c r="C283" s="100"/>
      <c r="I283" s="50"/>
      <c r="J283" s="100"/>
      <c r="K283" s="100"/>
    </row>
    <row r="284">
      <c r="C284" s="100"/>
      <c r="I284" s="50"/>
      <c r="J284" s="100"/>
      <c r="K284" s="100"/>
    </row>
    <row r="285">
      <c r="C285" s="100"/>
      <c r="I285" s="50"/>
      <c r="J285" s="100"/>
      <c r="K285" s="100"/>
    </row>
    <row r="286">
      <c r="C286" s="100"/>
      <c r="I286" s="50"/>
      <c r="J286" s="100"/>
      <c r="K286" s="100"/>
    </row>
    <row r="287">
      <c r="C287" s="100"/>
      <c r="I287" s="50"/>
      <c r="J287" s="100"/>
      <c r="K287" s="100"/>
    </row>
    <row r="288">
      <c r="C288" s="100"/>
      <c r="I288" s="50"/>
      <c r="J288" s="100"/>
      <c r="K288" s="100"/>
    </row>
    <row r="289">
      <c r="C289" s="100"/>
      <c r="I289" s="50"/>
      <c r="J289" s="100"/>
      <c r="K289" s="100"/>
    </row>
    <row r="290">
      <c r="C290" s="100"/>
      <c r="I290" s="50"/>
      <c r="J290" s="100"/>
      <c r="K290" s="100"/>
    </row>
    <row r="291">
      <c r="C291" s="100"/>
      <c r="I291" s="50"/>
      <c r="J291" s="100"/>
      <c r="K291" s="100"/>
    </row>
    <row r="292">
      <c r="C292" s="100"/>
      <c r="I292" s="50"/>
      <c r="J292" s="100"/>
      <c r="K292" s="100"/>
    </row>
    <row r="293">
      <c r="C293" s="100"/>
      <c r="I293" s="50"/>
      <c r="J293" s="100"/>
      <c r="K293" s="100"/>
    </row>
    <row r="294">
      <c r="C294" s="100"/>
      <c r="I294" s="50"/>
      <c r="J294" s="100"/>
      <c r="K294" s="100"/>
    </row>
    <row r="295">
      <c r="C295" s="100"/>
      <c r="I295" s="50"/>
      <c r="J295" s="100"/>
      <c r="K295" s="100"/>
    </row>
    <row r="296">
      <c r="C296" s="100"/>
      <c r="I296" s="50"/>
      <c r="J296" s="100"/>
      <c r="K296" s="100"/>
    </row>
    <row r="297">
      <c r="C297" s="100"/>
      <c r="I297" s="50"/>
      <c r="J297" s="100"/>
      <c r="K297" s="100"/>
    </row>
    <row r="298">
      <c r="C298" s="100"/>
      <c r="I298" s="50"/>
      <c r="J298" s="100"/>
      <c r="K298" s="100"/>
    </row>
    <row r="299">
      <c r="C299" s="100"/>
      <c r="I299" s="50"/>
      <c r="J299" s="100"/>
      <c r="K299" s="100"/>
    </row>
    <row r="300">
      <c r="C300" s="100"/>
      <c r="I300" s="50"/>
      <c r="J300" s="100"/>
      <c r="K300" s="100"/>
    </row>
    <row r="301">
      <c r="C301" s="100"/>
      <c r="I301" s="50"/>
      <c r="J301" s="100"/>
      <c r="K301" s="100"/>
    </row>
    <row r="302">
      <c r="C302" s="100"/>
      <c r="I302" s="50"/>
      <c r="J302" s="100"/>
      <c r="K302" s="100"/>
    </row>
    <row r="303">
      <c r="C303" s="100"/>
      <c r="I303" s="50"/>
      <c r="J303" s="100"/>
      <c r="K303" s="100"/>
    </row>
    <row r="304">
      <c r="C304" s="100"/>
      <c r="I304" s="50"/>
      <c r="J304" s="100"/>
      <c r="K304" s="100"/>
    </row>
    <row r="305">
      <c r="C305" s="100"/>
      <c r="I305" s="50"/>
      <c r="J305" s="100"/>
      <c r="K305" s="100"/>
    </row>
    <row r="306">
      <c r="C306" s="100"/>
      <c r="I306" s="50"/>
      <c r="J306" s="100"/>
      <c r="K306" s="100"/>
    </row>
    <row r="307">
      <c r="C307" s="100"/>
      <c r="I307" s="50"/>
      <c r="J307" s="100"/>
      <c r="K307" s="100"/>
    </row>
    <row r="308">
      <c r="C308" s="100"/>
      <c r="I308" s="50"/>
      <c r="J308" s="100"/>
      <c r="K308" s="100"/>
    </row>
    <row r="309">
      <c r="C309" s="100"/>
      <c r="I309" s="50"/>
      <c r="J309" s="100"/>
      <c r="K309" s="100"/>
    </row>
    <row r="310">
      <c r="C310" s="100"/>
      <c r="I310" s="50"/>
      <c r="J310" s="100"/>
      <c r="K310" s="100"/>
    </row>
    <row r="311">
      <c r="C311" s="100"/>
      <c r="I311" s="50"/>
      <c r="J311" s="100"/>
      <c r="K311" s="100"/>
    </row>
    <row r="312">
      <c r="C312" s="100"/>
      <c r="I312" s="50"/>
      <c r="J312" s="100"/>
      <c r="K312" s="100"/>
    </row>
    <row r="313">
      <c r="C313" s="100"/>
      <c r="I313" s="50"/>
      <c r="J313" s="100"/>
      <c r="K313" s="100"/>
    </row>
    <row r="314">
      <c r="C314" s="100"/>
      <c r="I314" s="50"/>
      <c r="J314" s="100"/>
      <c r="K314" s="100"/>
    </row>
    <row r="315">
      <c r="C315" s="100"/>
      <c r="I315" s="50"/>
      <c r="J315" s="100"/>
      <c r="K315" s="100"/>
    </row>
    <row r="316">
      <c r="C316" s="100"/>
      <c r="I316" s="50"/>
      <c r="J316" s="100"/>
      <c r="K316" s="100"/>
    </row>
    <row r="317">
      <c r="C317" s="100"/>
      <c r="I317" s="50"/>
      <c r="J317" s="100"/>
      <c r="K317" s="100"/>
    </row>
    <row r="318">
      <c r="C318" s="100"/>
      <c r="I318" s="50"/>
      <c r="J318" s="100"/>
      <c r="K318" s="100"/>
    </row>
    <row r="319">
      <c r="C319" s="100"/>
      <c r="I319" s="50"/>
      <c r="J319" s="100"/>
      <c r="K319" s="100"/>
    </row>
    <row r="320">
      <c r="C320" s="100"/>
      <c r="I320" s="50"/>
      <c r="J320" s="100"/>
      <c r="K320" s="100"/>
    </row>
    <row r="321">
      <c r="C321" s="100"/>
      <c r="I321" s="50"/>
      <c r="J321" s="100"/>
      <c r="K321" s="100"/>
    </row>
    <row r="322">
      <c r="C322" s="100"/>
      <c r="I322" s="50"/>
      <c r="J322" s="100"/>
      <c r="K322" s="100"/>
    </row>
    <row r="323">
      <c r="C323" s="100"/>
      <c r="I323" s="50"/>
      <c r="J323" s="100"/>
      <c r="K323" s="100"/>
    </row>
    <row r="324">
      <c r="C324" s="100"/>
      <c r="I324" s="50"/>
      <c r="J324" s="100"/>
      <c r="K324" s="100"/>
    </row>
    <row r="325">
      <c r="C325" s="100"/>
      <c r="I325" s="50"/>
      <c r="J325" s="100"/>
      <c r="K325" s="100"/>
    </row>
    <row r="326">
      <c r="C326" s="100"/>
      <c r="I326" s="50"/>
      <c r="J326" s="100"/>
      <c r="K326" s="100"/>
    </row>
    <row r="327">
      <c r="C327" s="100"/>
      <c r="I327" s="50"/>
      <c r="J327" s="100"/>
      <c r="K327" s="100"/>
    </row>
    <row r="328">
      <c r="C328" s="100"/>
      <c r="I328" s="50"/>
      <c r="J328" s="100"/>
      <c r="K328" s="100"/>
    </row>
    <row r="329">
      <c r="C329" s="100"/>
      <c r="I329" s="50"/>
      <c r="J329" s="100"/>
      <c r="K329" s="100"/>
    </row>
    <row r="330">
      <c r="C330" s="100"/>
      <c r="I330" s="50"/>
      <c r="J330" s="100"/>
      <c r="K330" s="100"/>
    </row>
    <row r="331">
      <c r="C331" s="100"/>
      <c r="I331" s="50"/>
      <c r="J331" s="100"/>
      <c r="K331" s="100"/>
    </row>
    <row r="332">
      <c r="C332" s="100"/>
      <c r="I332" s="50"/>
      <c r="J332" s="100"/>
      <c r="K332" s="100"/>
    </row>
    <row r="333">
      <c r="C333" s="100"/>
      <c r="I333" s="50"/>
      <c r="J333" s="100"/>
      <c r="K333" s="100"/>
    </row>
    <row r="334">
      <c r="C334" s="100"/>
      <c r="I334" s="50"/>
      <c r="J334" s="100"/>
      <c r="K334" s="100"/>
    </row>
    <row r="335">
      <c r="C335" s="100"/>
      <c r="I335" s="50"/>
      <c r="J335" s="100"/>
      <c r="K335" s="100"/>
    </row>
    <row r="336">
      <c r="C336" s="100"/>
      <c r="I336" s="50"/>
      <c r="J336" s="100"/>
      <c r="K336" s="100"/>
    </row>
    <row r="337">
      <c r="C337" s="100"/>
      <c r="I337" s="50"/>
      <c r="J337" s="100"/>
      <c r="K337" s="100"/>
    </row>
    <row r="338">
      <c r="C338" s="100"/>
      <c r="I338" s="50"/>
      <c r="J338" s="100"/>
      <c r="K338" s="100"/>
    </row>
    <row r="339">
      <c r="C339" s="100"/>
      <c r="I339" s="50"/>
      <c r="J339" s="100"/>
      <c r="K339" s="100"/>
    </row>
    <row r="340">
      <c r="C340" s="100"/>
      <c r="I340" s="50"/>
      <c r="J340" s="100"/>
      <c r="K340" s="100"/>
    </row>
    <row r="341">
      <c r="C341" s="100"/>
      <c r="I341" s="50"/>
      <c r="J341" s="100"/>
      <c r="K341" s="100"/>
    </row>
    <row r="342">
      <c r="C342" s="100"/>
      <c r="I342" s="50"/>
      <c r="J342" s="100"/>
      <c r="K342" s="100"/>
    </row>
    <row r="343">
      <c r="C343" s="100"/>
      <c r="I343" s="50"/>
      <c r="J343" s="100"/>
      <c r="K343" s="100"/>
    </row>
    <row r="344">
      <c r="C344" s="100"/>
      <c r="I344" s="50"/>
      <c r="J344" s="100"/>
      <c r="K344" s="100"/>
    </row>
    <row r="345">
      <c r="C345" s="100"/>
      <c r="I345" s="50"/>
      <c r="J345" s="100"/>
      <c r="K345" s="100"/>
    </row>
    <row r="346">
      <c r="C346" s="100"/>
      <c r="I346" s="50"/>
      <c r="J346" s="100"/>
      <c r="K346" s="100"/>
    </row>
    <row r="347">
      <c r="C347" s="100"/>
      <c r="I347" s="50"/>
      <c r="J347" s="100"/>
      <c r="K347" s="100"/>
    </row>
    <row r="348">
      <c r="C348" s="100"/>
      <c r="I348" s="50"/>
      <c r="J348" s="100"/>
      <c r="K348" s="100"/>
    </row>
    <row r="349">
      <c r="C349" s="100"/>
      <c r="I349" s="50"/>
      <c r="J349" s="100"/>
      <c r="K349" s="100"/>
    </row>
    <row r="350">
      <c r="C350" s="100"/>
      <c r="I350" s="50"/>
      <c r="J350" s="100"/>
      <c r="K350" s="100"/>
    </row>
    <row r="351">
      <c r="C351" s="100"/>
      <c r="I351" s="50"/>
      <c r="J351" s="100"/>
      <c r="K351" s="100"/>
    </row>
    <row r="352">
      <c r="C352" s="100"/>
      <c r="I352" s="50"/>
      <c r="J352" s="100"/>
      <c r="K352" s="100"/>
    </row>
    <row r="353">
      <c r="C353" s="100"/>
      <c r="I353" s="50"/>
      <c r="J353" s="100"/>
      <c r="K353" s="100"/>
    </row>
    <row r="354">
      <c r="C354" s="100"/>
      <c r="I354" s="50"/>
      <c r="J354" s="100"/>
      <c r="K354" s="100"/>
    </row>
    <row r="355">
      <c r="C355" s="100"/>
      <c r="I355" s="50"/>
      <c r="J355" s="100"/>
      <c r="K355" s="100"/>
    </row>
    <row r="356">
      <c r="C356" s="100"/>
      <c r="I356" s="50"/>
      <c r="J356" s="100"/>
      <c r="K356" s="100"/>
    </row>
    <row r="357">
      <c r="C357" s="100"/>
      <c r="I357" s="50"/>
      <c r="J357" s="100"/>
      <c r="K357" s="100"/>
    </row>
    <row r="358">
      <c r="C358" s="100"/>
      <c r="I358" s="50"/>
      <c r="J358" s="100"/>
      <c r="K358" s="100"/>
    </row>
    <row r="359">
      <c r="C359" s="100"/>
      <c r="I359" s="50"/>
      <c r="J359" s="100"/>
      <c r="K359" s="100"/>
    </row>
    <row r="360">
      <c r="C360" s="100"/>
      <c r="I360" s="50"/>
      <c r="J360" s="100"/>
      <c r="K360" s="100"/>
    </row>
    <row r="361">
      <c r="C361" s="100"/>
      <c r="I361" s="50"/>
      <c r="J361" s="100"/>
      <c r="K361" s="100"/>
    </row>
    <row r="362">
      <c r="C362" s="100"/>
      <c r="I362" s="50"/>
      <c r="J362" s="100"/>
      <c r="K362" s="100"/>
    </row>
    <row r="363">
      <c r="C363" s="100"/>
      <c r="I363" s="50"/>
      <c r="J363" s="100"/>
      <c r="K363" s="100"/>
    </row>
    <row r="364">
      <c r="C364" s="100"/>
      <c r="I364" s="50"/>
      <c r="J364" s="100"/>
      <c r="K364" s="100"/>
    </row>
    <row r="365">
      <c r="C365" s="100"/>
      <c r="I365" s="50"/>
      <c r="J365" s="100"/>
      <c r="K365" s="100"/>
    </row>
    <row r="366">
      <c r="C366" s="100"/>
      <c r="I366" s="50"/>
      <c r="J366" s="100"/>
      <c r="K366" s="100"/>
    </row>
    <row r="367">
      <c r="C367" s="100"/>
      <c r="I367" s="50"/>
      <c r="J367" s="100"/>
      <c r="K367" s="100"/>
    </row>
    <row r="368">
      <c r="C368" s="100"/>
      <c r="I368" s="50"/>
      <c r="J368" s="100"/>
      <c r="K368" s="100"/>
    </row>
    <row r="369">
      <c r="C369" s="100"/>
      <c r="I369" s="50"/>
      <c r="J369" s="100"/>
      <c r="K369" s="100"/>
    </row>
    <row r="370">
      <c r="C370" s="100"/>
      <c r="I370" s="50"/>
      <c r="J370" s="100"/>
      <c r="K370" s="100"/>
    </row>
    <row r="371">
      <c r="C371" s="100"/>
      <c r="I371" s="50"/>
      <c r="J371" s="100"/>
      <c r="K371" s="100"/>
    </row>
    <row r="372">
      <c r="C372" s="100"/>
      <c r="I372" s="50"/>
      <c r="J372" s="100"/>
      <c r="K372" s="100"/>
    </row>
    <row r="373">
      <c r="C373" s="100"/>
      <c r="I373" s="50"/>
      <c r="J373" s="100"/>
      <c r="K373" s="100"/>
    </row>
    <row r="374">
      <c r="C374" s="100"/>
      <c r="I374" s="50"/>
      <c r="J374" s="100"/>
      <c r="K374" s="100"/>
    </row>
    <row r="375">
      <c r="C375" s="100"/>
      <c r="I375" s="50"/>
      <c r="J375" s="100"/>
      <c r="K375" s="100"/>
    </row>
    <row r="376">
      <c r="C376" s="100"/>
      <c r="I376" s="50"/>
      <c r="J376" s="100"/>
      <c r="K376" s="100"/>
    </row>
    <row r="377">
      <c r="C377" s="100"/>
      <c r="I377" s="50"/>
      <c r="J377" s="100"/>
      <c r="K377" s="100"/>
    </row>
    <row r="378">
      <c r="C378" s="100"/>
      <c r="I378" s="50"/>
      <c r="J378" s="100"/>
      <c r="K378" s="100"/>
    </row>
    <row r="379">
      <c r="C379" s="100"/>
      <c r="I379" s="50"/>
      <c r="J379" s="100"/>
      <c r="K379" s="100"/>
    </row>
    <row r="380">
      <c r="C380" s="100"/>
      <c r="I380" s="50"/>
      <c r="J380" s="100"/>
      <c r="K380" s="100"/>
    </row>
    <row r="381">
      <c r="C381" s="100"/>
      <c r="I381" s="50"/>
      <c r="J381" s="100"/>
      <c r="K381" s="100"/>
    </row>
    <row r="382">
      <c r="C382" s="100"/>
      <c r="I382" s="50"/>
      <c r="J382" s="100"/>
      <c r="K382" s="100"/>
    </row>
    <row r="383">
      <c r="C383" s="100"/>
      <c r="I383" s="50"/>
      <c r="J383" s="100"/>
      <c r="K383" s="100"/>
    </row>
    <row r="384">
      <c r="C384" s="100"/>
      <c r="I384" s="50"/>
      <c r="J384" s="100"/>
      <c r="K384" s="100"/>
    </row>
    <row r="385">
      <c r="C385" s="100"/>
      <c r="I385" s="50"/>
      <c r="J385" s="100"/>
      <c r="K385" s="100"/>
    </row>
    <row r="386">
      <c r="C386" s="100"/>
      <c r="I386" s="50"/>
      <c r="J386" s="100"/>
      <c r="K386" s="100"/>
    </row>
    <row r="387">
      <c r="C387" s="100"/>
      <c r="I387" s="50"/>
      <c r="J387" s="100"/>
      <c r="K387" s="100"/>
    </row>
    <row r="388">
      <c r="C388" s="100"/>
      <c r="I388" s="50"/>
      <c r="J388" s="100"/>
      <c r="K388" s="100"/>
    </row>
    <row r="389">
      <c r="C389" s="100"/>
      <c r="I389" s="50"/>
      <c r="J389" s="100"/>
      <c r="K389" s="100"/>
    </row>
    <row r="390">
      <c r="C390" s="100"/>
      <c r="I390" s="50"/>
      <c r="J390" s="100"/>
      <c r="K390" s="100"/>
    </row>
    <row r="391">
      <c r="C391" s="100"/>
      <c r="I391" s="50"/>
      <c r="J391" s="100"/>
      <c r="K391" s="100"/>
    </row>
    <row r="392">
      <c r="C392" s="100"/>
      <c r="I392" s="50"/>
      <c r="J392" s="100"/>
      <c r="K392" s="100"/>
    </row>
    <row r="393">
      <c r="C393" s="100"/>
      <c r="I393" s="50"/>
      <c r="J393" s="100"/>
      <c r="K393" s="100"/>
    </row>
    <row r="394">
      <c r="C394" s="100"/>
      <c r="I394" s="50"/>
      <c r="J394" s="100"/>
      <c r="K394" s="100"/>
    </row>
    <row r="395">
      <c r="C395" s="100"/>
      <c r="I395" s="50"/>
      <c r="J395" s="100"/>
      <c r="K395" s="100"/>
    </row>
    <row r="396">
      <c r="C396" s="100"/>
      <c r="I396" s="50"/>
      <c r="J396" s="100"/>
      <c r="K396" s="100"/>
    </row>
    <row r="397">
      <c r="C397" s="100"/>
      <c r="I397" s="50"/>
      <c r="J397" s="100"/>
      <c r="K397" s="100"/>
    </row>
    <row r="398">
      <c r="C398" s="100"/>
      <c r="I398" s="50"/>
      <c r="J398" s="100"/>
      <c r="K398" s="100"/>
    </row>
    <row r="399">
      <c r="C399" s="100"/>
      <c r="I399" s="50"/>
      <c r="J399" s="100"/>
      <c r="K399" s="100"/>
    </row>
    <row r="400">
      <c r="C400" s="100"/>
      <c r="I400" s="50"/>
      <c r="J400" s="100"/>
      <c r="K400" s="100"/>
    </row>
    <row r="401">
      <c r="C401" s="100"/>
      <c r="I401" s="50"/>
      <c r="J401" s="100"/>
      <c r="K401" s="100"/>
    </row>
    <row r="402">
      <c r="C402" s="100"/>
      <c r="I402" s="50"/>
      <c r="J402" s="100"/>
      <c r="K402" s="100"/>
    </row>
    <row r="403">
      <c r="C403" s="100"/>
      <c r="I403" s="50"/>
      <c r="J403" s="100"/>
      <c r="K403" s="100"/>
    </row>
    <row r="404">
      <c r="C404" s="100"/>
      <c r="I404" s="50"/>
      <c r="J404" s="100"/>
      <c r="K404" s="100"/>
    </row>
    <row r="405">
      <c r="C405" s="100"/>
      <c r="I405" s="50"/>
      <c r="J405" s="100"/>
      <c r="K405" s="100"/>
    </row>
    <row r="406">
      <c r="C406" s="100"/>
      <c r="I406" s="50"/>
      <c r="J406" s="100"/>
      <c r="K406" s="100"/>
    </row>
    <row r="407">
      <c r="C407" s="100"/>
      <c r="I407" s="50"/>
      <c r="J407" s="100"/>
      <c r="K407" s="100"/>
    </row>
    <row r="408">
      <c r="C408" s="100"/>
      <c r="I408" s="50"/>
      <c r="J408" s="100"/>
      <c r="K408" s="100"/>
    </row>
    <row r="409">
      <c r="C409" s="100"/>
      <c r="I409" s="50"/>
      <c r="J409" s="100"/>
      <c r="K409" s="100"/>
    </row>
    <row r="410">
      <c r="C410" s="100"/>
      <c r="I410" s="50"/>
      <c r="J410" s="100"/>
      <c r="K410" s="100"/>
    </row>
    <row r="411">
      <c r="C411" s="100"/>
      <c r="I411" s="50"/>
      <c r="J411" s="100"/>
      <c r="K411" s="100"/>
    </row>
    <row r="412">
      <c r="C412" s="100"/>
      <c r="I412" s="50"/>
      <c r="J412" s="100"/>
      <c r="K412" s="100"/>
    </row>
    <row r="413">
      <c r="C413" s="100"/>
      <c r="I413" s="50"/>
      <c r="J413" s="100"/>
      <c r="K413" s="100"/>
    </row>
    <row r="414">
      <c r="C414" s="100"/>
      <c r="I414" s="50"/>
      <c r="J414" s="100"/>
      <c r="K414" s="100"/>
    </row>
    <row r="415">
      <c r="C415" s="100"/>
      <c r="I415" s="50"/>
      <c r="J415" s="100"/>
      <c r="K415" s="100"/>
    </row>
    <row r="416">
      <c r="C416" s="100"/>
      <c r="I416" s="50"/>
      <c r="J416" s="100"/>
      <c r="K416" s="100"/>
    </row>
    <row r="417">
      <c r="C417" s="100"/>
      <c r="I417" s="50"/>
      <c r="J417" s="100"/>
      <c r="K417" s="100"/>
    </row>
    <row r="418">
      <c r="C418" s="100"/>
      <c r="I418" s="50"/>
      <c r="J418" s="100"/>
      <c r="K418" s="100"/>
    </row>
    <row r="419">
      <c r="C419" s="100"/>
      <c r="I419" s="50"/>
      <c r="J419" s="100"/>
      <c r="K419" s="100"/>
    </row>
    <row r="420">
      <c r="C420" s="100"/>
      <c r="I420" s="50"/>
      <c r="J420" s="100"/>
      <c r="K420" s="100"/>
    </row>
    <row r="421">
      <c r="C421" s="100"/>
      <c r="I421" s="50"/>
      <c r="J421" s="100"/>
      <c r="K421" s="100"/>
    </row>
    <row r="422">
      <c r="C422" s="100"/>
      <c r="I422" s="50"/>
      <c r="J422" s="100"/>
      <c r="K422" s="100"/>
    </row>
    <row r="423">
      <c r="C423" s="100"/>
      <c r="I423" s="50"/>
      <c r="J423" s="100"/>
      <c r="K423" s="100"/>
    </row>
    <row r="424">
      <c r="C424" s="100"/>
      <c r="I424" s="50"/>
      <c r="J424" s="100"/>
      <c r="K424" s="100"/>
    </row>
    <row r="425">
      <c r="C425" s="100"/>
      <c r="I425" s="50"/>
      <c r="J425" s="100"/>
      <c r="K425" s="100"/>
    </row>
    <row r="426">
      <c r="C426" s="100"/>
      <c r="I426" s="50"/>
      <c r="J426" s="100"/>
      <c r="K426" s="100"/>
    </row>
    <row r="427">
      <c r="C427" s="100"/>
      <c r="I427" s="50"/>
      <c r="J427" s="100"/>
      <c r="K427" s="100"/>
    </row>
    <row r="428">
      <c r="C428" s="100"/>
      <c r="I428" s="50"/>
      <c r="J428" s="100"/>
      <c r="K428" s="100"/>
    </row>
    <row r="429">
      <c r="C429" s="100"/>
      <c r="I429" s="50"/>
      <c r="J429" s="100"/>
      <c r="K429" s="100"/>
    </row>
    <row r="430">
      <c r="C430" s="100"/>
      <c r="I430" s="50"/>
      <c r="J430" s="100"/>
      <c r="K430" s="100"/>
    </row>
    <row r="431">
      <c r="C431" s="100"/>
      <c r="I431" s="50"/>
      <c r="J431" s="100"/>
      <c r="K431" s="100"/>
    </row>
    <row r="432">
      <c r="C432" s="100"/>
      <c r="I432" s="50"/>
      <c r="J432" s="100"/>
      <c r="K432" s="100"/>
    </row>
    <row r="433">
      <c r="C433" s="100"/>
      <c r="I433" s="50"/>
      <c r="J433" s="100"/>
      <c r="K433" s="100"/>
    </row>
    <row r="434">
      <c r="C434" s="100"/>
      <c r="I434" s="50"/>
      <c r="J434" s="100"/>
      <c r="K434" s="100"/>
    </row>
    <row r="435">
      <c r="C435" s="100"/>
      <c r="I435" s="50"/>
      <c r="J435" s="100"/>
      <c r="K435" s="100"/>
    </row>
    <row r="436">
      <c r="C436" s="100"/>
      <c r="I436" s="50"/>
      <c r="J436" s="100"/>
      <c r="K436" s="100"/>
    </row>
    <row r="437">
      <c r="C437" s="100"/>
      <c r="I437" s="50"/>
      <c r="J437" s="100"/>
      <c r="K437" s="100"/>
    </row>
    <row r="438">
      <c r="C438" s="100"/>
      <c r="I438" s="50"/>
      <c r="J438" s="100"/>
      <c r="K438" s="100"/>
    </row>
    <row r="439">
      <c r="C439" s="100"/>
      <c r="I439" s="50"/>
      <c r="J439" s="100"/>
      <c r="K439" s="100"/>
    </row>
    <row r="440">
      <c r="C440" s="100"/>
      <c r="I440" s="50"/>
      <c r="J440" s="100"/>
      <c r="K440" s="100"/>
    </row>
    <row r="441">
      <c r="C441" s="100"/>
      <c r="I441" s="50"/>
      <c r="J441" s="100"/>
      <c r="K441" s="100"/>
    </row>
    <row r="442">
      <c r="C442" s="100"/>
      <c r="I442" s="50"/>
      <c r="J442" s="100"/>
      <c r="K442" s="100"/>
    </row>
    <row r="443">
      <c r="C443" s="100"/>
      <c r="I443" s="50"/>
      <c r="J443" s="100"/>
      <c r="K443" s="100"/>
    </row>
    <row r="444">
      <c r="C444" s="100"/>
      <c r="I444" s="50"/>
      <c r="J444" s="100"/>
      <c r="K444" s="100"/>
    </row>
    <row r="445">
      <c r="C445" s="100"/>
      <c r="I445" s="50"/>
      <c r="J445" s="100"/>
      <c r="K445" s="100"/>
    </row>
    <row r="446">
      <c r="C446" s="100"/>
      <c r="I446" s="50"/>
      <c r="J446" s="100"/>
      <c r="K446" s="100"/>
    </row>
    <row r="447">
      <c r="C447" s="100"/>
      <c r="I447" s="50"/>
      <c r="J447" s="100"/>
      <c r="K447" s="100"/>
    </row>
    <row r="448">
      <c r="C448" s="100"/>
      <c r="I448" s="50"/>
      <c r="J448" s="100"/>
      <c r="K448" s="100"/>
    </row>
    <row r="449">
      <c r="C449" s="100"/>
      <c r="I449" s="50"/>
      <c r="J449" s="100"/>
      <c r="K449" s="100"/>
    </row>
    <row r="450">
      <c r="C450" s="100"/>
      <c r="I450" s="50"/>
      <c r="J450" s="100"/>
      <c r="K450" s="100"/>
    </row>
    <row r="451">
      <c r="C451" s="100"/>
      <c r="I451" s="50"/>
      <c r="J451" s="100"/>
      <c r="K451" s="100"/>
    </row>
    <row r="452">
      <c r="C452" s="100"/>
      <c r="I452" s="50"/>
      <c r="J452" s="100"/>
      <c r="K452" s="100"/>
    </row>
    <row r="453">
      <c r="C453" s="100"/>
      <c r="I453" s="50"/>
      <c r="J453" s="100"/>
      <c r="K453" s="100"/>
    </row>
    <row r="454">
      <c r="C454" s="100"/>
      <c r="I454" s="50"/>
      <c r="J454" s="100"/>
      <c r="K454" s="100"/>
    </row>
    <row r="455">
      <c r="C455" s="100"/>
      <c r="I455" s="50"/>
      <c r="J455" s="100"/>
      <c r="K455" s="100"/>
    </row>
    <row r="456">
      <c r="C456" s="100"/>
      <c r="I456" s="50"/>
      <c r="J456" s="100"/>
      <c r="K456" s="100"/>
    </row>
    <row r="457">
      <c r="C457" s="100"/>
      <c r="I457" s="50"/>
      <c r="J457" s="100"/>
      <c r="K457" s="100"/>
    </row>
    <row r="458">
      <c r="C458" s="100"/>
      <c r="I458" s="50"/>
      <c r="J458" s="100"/>
      <c r="K458" s="100"/>
    </row>
    <row r="459">
      <c r="C459" s="100"/>
      <c r="I459" s="50"/>
      <c r="J459" s="100"/>
      <c r="K459" s="100"/>
    </row>
    <row r="460">
      <c r="C460" s="100"/>
      <c r="I460" s="50"/>
      <c r="J460" s="100"/>
      <c r="K460" s="100"/>
    </row>
    <row r="461">
      <c r="C461" s="100"/>
      <c r="I461" s="50"/>
      <c r="J461" s="100"/>
      <c r="K461" s="100"/>
    </row>
    <row r="462">
      <c r="C462" s="100"/>
      <c r="I462" s="50"/>
      <c r="J462" s="100"/>
      <c r="K462" s="100"/>
    </row>
    <row r="463">
      <c r="C463" s="100"/>
      <c r="I463" s="50"/>
      <c r="J463" s="100"/>
      <c r="K463" s="100"/>
    </row>
    <row r="464">
      <c r="C464" s="100"/>
      <c r="I464" s="50"/>
      <c r="J464" s="100"/>
      <c r="K464" s="100"/>
    </row>
    <row r="465">
      <c r="C465" s="100"/>
      <c r="I465" s="50"/>
      <c r="J465" s="100"/>
      <c r="K465" s="100"/>
    </row>
    <row r="466">
      <c r="C466" s="100"/>
      <c r="I466" s="50"/>
      <c r="J466" s="100"/>
      <c r="K466" s="100"/>
    </row>
    <row r="467">
      <c r="C467" s="100"/>
      <c r="I467" s="50"/>
      <c r="J467" s="100"/>
      <c r="K467" s="100"/>
    </row>
    <row r="468">
      <c r="C468" s="100"/>
      <c r="I468" s="50"/>
      <c r="J468" s="100"/>
      <c r="K468" s="100"/>
    </row>
    <row r="469">
      <c r="C469" s="100"/>
      <c r="I469" s="50"/>
      <c r="J469" s="100"/>
      <c r="K469" s="100"/>
    </row>
    <row r="470">
      <c r="C470" s="100"/>
      <c r="I470" s="50"/>
      <c r="J470" s="100"/>
      <c r="K470" s="100"/>
    </row>
    <row r="471">
      <c r="C471" s="100"/>
      <c r="I471" s="50"/>
      <c r="J471" s="100"/>
      <c r="K471" s="100"/>
    </row>
    <row r="472">
      <c r="C472" s="100"/>
      <c r="I472" s="50"/>
      <c r="J472" s="100"/>
      <c r="K472" s="100"/>
    </row>
    <row r="473">
      <c r="C473" s="100"/>
      <c r="I473" s="50"/>
      <c r="J473" s="100"/>
      <c r="K473" s="100"/>
    </row>
    <row r="474">
      <c r="C474" s="100"/>
      <c r="I474" s="50"/>
      <c r="J474" s="100"/>
      <c r="K474" s="100"/>
    </row>
    <row r="475">
      <c r="C475" s="100"/>
      <c r="I475" s="50"/>
      <c r="J475" s="100"/>
      <c r="K475" s="100"/>
    </row>
    <row r="476">
      <c r="C476" s="100"/>
      <c r="I476" s="50"/>
      <c r="J476" s="100"/>
      <c r="K476" s="100"/>
    </row>
    <row r="477">
      <c r="C477" s="100"/>
      <c r="I477" s="50"/>
      <c r="J477" s="100"/>
      <c r="K477" s="100"/>
    </row>
    <row r="478">
      <c r="C478" s="100"/>
      <c r="I478" s="50"/>
      <c r="J478" s="100"/>
      <c r="K478" s="100"/>
    </row>
    <row r="479">
      <c r="C479" s="100"/>
      <c r="I479" s="50"/>
      <c r="J479" s="100"/>
      <c r="K479" s="100"/>
    </row>
    <row r="480">
      <c r="C480" s="100"/>
      <c r="I480" s="50"/>
      <c r="J480" s="100"/>
      <c r="K480" s="100"/>
    </row>
    <row r="481">
      <c r="C481" s="100"/>
      <c r="I481" s="50"/>
      <c r="J481" s="100"/>
      <c r="K481" s="100"/>
    </row>
    <row r="482">
      <c r="C482" s="100"/>
      <c r="I482" s="50"/>
      <c r="J482" s="100"/>
      <c r="K482" s="100"/>
    </row>
    <row r="483">
      <c r="C483" s="100"/>
      <c r="I483" s="50"/>
      <c r="J483" s="100"/>
      <c r="K483" s="100"/>
    </row>
    <row r="484">
      <c r="C484" s="100"/>
      <c r="I484" s="50"/>
      <c r="J484" s="100"/>
      <c r="K484" s="100"/>
    </row>
    <row r="485">
      <c r="C485" s="100"/>
      <c r="I485" s="50"/>
      <c r="J485" s="100"/>
      <c r="K485" s="100"/>
    </row>
    <row r="486">
      <c r="C486" s="100"/>
      <c r="I486" s="50"/>
      <c r="J486" s="100"/>
      <c r="K486" s="100"/>
    </row>
    <row r="487">
      <c r="C487" s="100"/>
      <c r="I487" s="50"/>
      <c r="J487" s="100"/>
      <c r="K487" s="100"/>
    </row>
    <row r="488">
      <c r="C488" s="100"/>
      <c r="I488" s="50"/>
      <c r="J488" s="100"/>
      <c r="K488" s="100"/>
    </row>
    <row r="489">
      <c r="C489" s="100"/>
      <c r="I489" s="50"/>
      <c r="J489" s="100"/>
      <c r="K489" s="100"/>
    </row>
    <row r="490">
      <c r="C490" s="100"/>
      <c r="I490" s="50"/>
      <c r="J490" s="100"/>
      <c r="K490" s="100"/>
    </row>
    <row r="491">
      <c r="C491" s="100"/>
      <c r="I491" s="50"/>
      <c r="J491" s="100"/>
      <c r="K491" s="100"/>
    </row>
    <row r="492">
      <c r="C492" s="100"/>
      <c r="I492" s="50"/>
      <c r="J492" s="100"/>
      <c r="K492" s="100"/>
    </row>
    <row r="493">
      <c r="C493" s="100"/>
      <c r="I493" s="50"/>
      <c r="J493" s="100"/>
      <c r="K493" s="100"/>
    </row>
    <row r="494">
      <c r="C494" s="100"/>
      <c r="I494" s="50"/>
      <c r="J494" s="100"/>
      <c r="K494" s="100"/>
    </row>
    <row r="495">
      <c r="C495" s="100"/>
      <c r="I495" s="50"/>
      <c r="J495" s="100"/>
      <c r="K495" s="100"/>
    </row>
    <row r="496">
      <c r="C496" s="100"/>
      <c r="I496" s="50"/>
      <c r="J496" s="100"/>
      <c r="K496" s="100"/>
    </row>
    <row r="497">
      <c r="C497" s="100"/>
      <c r="I497" s="50"/>
      <c r="J497" s="100"/>
      <c r="K497" s="100"/>
    </row>
    <row r="498">
      <c r="C498" s="100"/>
      <c r="I498" s="50"/>
      <c r="J498" s="100"/>
      <c r="K498" s="100"/>
    </row>
    <row r="499">
      <c r="C499" s="100"/>
      <c r="I499" s="50"/>
      <c r="J499" s="100"/>
      <c r="K499" s="100"/>
    </row>
    <row r="500">
      <c r="C500" s="100"/>
      <c r="I500" s="50"/>
      <c r="J500" s="100"/>
      <c r="K500" s="100"/>
    </row>
    <row r="501">
      <c r="C501" s="100"/>
      <c r="I501" s="50"/>
      <c r="J501" s="100"/>
      <c r="K501" s="100"/>
    </row>
    <row r="502">
      <c r="C502" s="100"/>
      <c r="I502" s="50"/>
      <c r="J502" s="100"/>
      <c r="K502" s="100"/>
    </row>
    <row r="503">
      <c r="C503" s="100"/>
      <c r="I503" s="50"/>
      <c r="J503" s="100"/>
      <c r="K503" s="100"/>
    </row>
    <row r="504">
      <c r="C504" s="100"/>
      <c r="I504" s="50"/>
      <c r="J504" s="100"/>
      <c r="K504" s="100"/>
    </row>
    <row r="505">
      <c r="C505" s="100"/>
      <c r="I505" s="50"/>
      <c r="J505" s="100"/>
      <c r="K505" s="100"/>
    </row>
    <row r="506">
      <c r="C506" s="100"/>
      <c r="I506" s="50"/>
      <c r="J506" s="100"/>
      <c r="K506" s="100"/>
    </row>
    <row r="507">
      <c r="C507" s="100"/>
      <c r="I507" s="50"/>
      <c r="J507" s="100"/>
      <c r="K507" s="100"/>
    </row>
    <row r="508">
      <c r="C508" s="100"/>
      <c r="I508" s="50"/>
      <c r="J508" s="100"/>
      <c r="K508" s="100"/>
    </row>
    <row r="509">
      <c r="C509" s="100"/>
      <c r="I509" s="50"/>
      <c r="J509" s="100"/>
      <c r="K509" s="100"/>
    </row>
    <row r="510">
      <c r="C510" s="100"/>
      <c r="I510" s="50"/>
      <c r="J510" s="100"/>
      <c r="K510" s="100"/>
    </row>
    <row r="511">
      <c r="C511" s="100"/>
      <c r="I511" s="50"/>
      <c r="J511" s="100"/>
      <c r="K511" s="100"/>
    </row>
    <row r="512">
      <c r="C512" s="100"/>
      <c r="I512" s="50"/>
      <c r="J512" s="100"/>
      <c r="K512" s="100"/>
    </row>
    <row r="513">
      <c r="C513" s="100"/>
      <c r="I513" s="50"/>
      <c r="J513" s="100"/>
      <c r="K513" s="100"/>
    </row>
    <row r="514">
      <c r="C514" s="100"/>
      <c r="I514" s="50"/>
      <c r="J514" s="100"/>
      <c r="K514" s="100"/>
    </row>
    <row r="515">
      <c r="C515" s="100"/>
      <c r="I515" s="50"/>
      <c r="J515" s="100"/>
      <c r="K515" s="100"/>
    </row>
    <row r="516">
      <c r="C516" s="100"/>
      <c r="I516" s="50"/>
      <c r="J516" s="100"/>
      <c r="K516" s="100"/>
    </row>
    <row r="517">
      <c r="C517" s="100"/>
      <c r="I517" s="50"/>
      <c r="J517" s="100"/>
      <c r="K517" s="100"/>
    </row>
    <row r="518">
      <c r="C518" s="100"/>
      <c r="I518" s="50"/>
      <c r="J518" s="100"/>
      <c r="K518" s="100"/>
    </row>
    <row r="519">
      <c r="C519" s="100"/>
      <c r="I519" s="50"/>
      <c r="J519" s="100"/>
      <c r="K519" s="100"/>
    </row>
    <row r="520">
      <c r="C520" s="100"/>
      <c r="I520" s="50"/>
      <c r="J520" s="100"/>
      <c r="K520" s="100"/>
    </row>
    <row r="521">
      <c r="C521" s="100"/>
      <c r="I521" s="50"/>
      <c r="J521" s="100"/>
      <c r="K521" s="100"/>
    </row>
    <row r="522">
      <c r="C522" s="100"/>
      <c r="I522" s="50"/>
      <c r="J522" s="100"/>
      <c r="K522" s="100"/>
    </row>
    <row r="523">
      <c r="C523" s="100"/>
      <c r="I523" s="50"/>
      <c r="J523" s="100"/>
      <c r="K523" s="100"/>
    </row>
    <row r="524">
      <c r="C524" s="100"/>
      <c r="I524" s="50"/>
      <c r="J524" s="100"/>
      <c r="K524" s="100"/>
    </row>
    <row r="525">
      <c r="C525" s="100"/>
      <c r="I525" s="50"/>
      <c r="J525" s="100"/>
      <c r="K525" s="100"/>
    </row>
    <row r="526">
      <c r="C526" s="100"/>
      <c r="I526" s="50"/>
      <c r="J526" s="100"/>
      <c r="K526" s="100"/>
    </row>
    <row r="527">
      <c r="C527" s="100"/>
      <c r="I527" s="50"/>
      <c r="J527" s="100"/>
      <c r="K527" s="100"/>
    </row>
    <row r="528">
      <c r="C528" s="100"/>
      <c r="I528" s="50"/>
      <c r="J528" s="100"/>
      <c r="K528" s="100"/>
    </row>
    <row r="529">
      <c r="C529" s="100"/>
      <c r="I529" s="50"/>
      <c r="J529" s="100"/>
      <c r="K529" s="100"/>
    </row>
    <row r="530">
      <c r="C530" s="100"/>
      <c r="I530" s="50"/>
      <c r="J530" s="100"/>
      <c r="K530" s="100"/>
    </row>
    <row r="531">
      <c r="C531" s="100"/>
      <c r="I531" s="50"/>
      <c r="J531" s="100"/>
      <c r="K531" s="100"/>
    </row>
    <row r="532">
      <c r="C532" s="100"/>
      <c r="I532" s="50"/>
      <c r="J532" s="100"/>
      <c r="K532" s="100"/>
    </row>
    <row r="533">
      <c r="C533" s="100"/>
      <c r="I533" s="50"/>
      <c r="J533" s="100"/>
      <c r="K533" s="100"/>
    </row>
    <row r="534">
      <c r="C534" s="100"/>
      <c r="I534" s="50"/>
      <c r="J534" s="100"/>
      <c r="K534" s="100"/>
    </row>
    <row r="535">
      <c r="C535" s="100"/>
      <c r="I535" s="50"/>
      <c r="J535" s="100"/>
      <c r="K535" s="100"/>
    </row>
    <row r="536">
      <c r="C536" s="100"/>
      <c r="I536" s="50"/>
      <c r="J536" s="100"/>
      <c r="K536" s="100"/>
    </row>
    <row r="537">
      <c r="C537" s="100"/>
      <c r="I537" s="50"/>
      <c r="J537" s="100"/>
      <c r="K537" s="100"/>
    </row>
    <row r="538">
      <c r="C538" s="100"/>
      <c r="I538" s="50"/>
      <c r="J538" s="100"/>
      <c r="K538" s="100"/>
    </row>
    <row r="539">
      <c r="C539" s="100"/>
      <c r="I539" s="50"/>
      <c r="J539" s="100"/>
      <c r="K539" s="100"/>
    </row>
    <row r="540">
      <c r="C540" s="100"/>
      <c r="I540" s="50"/>
      <c r="J540" s="100"/>
      <c r="K540" s="100"/>
    </row>
    <row r="541">
      <c r="C541" s="100"/>
      <c r="I541" s="50"/>
      <c r="J541" s="100"/>
      <c r="K541" s="100"/>
    </row>
    <row r="542">
      <c r="C542" s="100"/>
      <c r="I542" s="50"/>
      <c r="J542" s="100"/>
      <c r="K542" s="100"/>
    </row>
    <row r="543">
      <c r="C543" s="100"/>
      <c r="I543" s="50"/>
      <c r="J543" s="100"/>
      <c r="K543" s="100"/>
    </row>
    <row r="544">
      <c r="C544" s="100"/>
      <c r="I544" s="50"/>
      <c r="J544" s="100"/>
      <c r="K544" s="100"/>
    </row>
    <row r="545">
      <c r="C545" s="100"/>
      <c r="I545" s="50"/>
      <c r="J545" s="100"/>
      <c r="K545" s="100"/>
    </row>
    <row r="546">
      <c r="C546" s="100"/>
      <c r="I546" s="50"/>
      <c r="J546" s="100"/>
      <c r="K546" s="100"/>
    </row>
    <row r="547">
      <c r="C547" s="100"/>
      <c r="I547" s="50"/>
      <c r="J547" s="100"/>
      <c r="K547" s="100"/>
    </row>
    <row r="548">
      <c r="C548" s="100"/>
      <c r="I548" s="50"/>
      <c r="J548" s="100"/>
      <c r="K548" s="100"/>
    </row>
    <row r="549">
      <c r="C549" s="100"/>
      <c r="I549" s="50"/>
      <c r="J549" s="100"/>
      <c r="K549" s="100"/>
    </row>
    <row r="550">
      <c r="C550" s="100"/>
      <c r="I550" s="50"/>
      <c r="J550" s="100"/>
      <c r="K550" s="100"/>
    </row>
    <row r="551">
      <c r="C551" s="100"/>
      <c r="I551" s="50"/>
      <c r="J551" s="100"/>
      <c r="K551" s="100"/>
    </row>
    <row r="552">
      <c r="C552" s="100"/>
      <c r="I552" s="50"/>
      <c r="J552" s="100"/>
      <c r="K552" s="100"/>
    </row>
    <row r="553">
      <c r="C553" s="100"/>
      <c r="I553" s="50"/>
      <c r="J553" s="100"/>
      <c r="K553" s="100"/>
    </row>
    <row r="554">
      <c r="C554" s="100"/>
      <c r="I554" s="50"/>
      <c r="J554" s="100"/>
      <c r="K554" s="100"/>
    </row>
    <row r="555">
      <c r="C555" s="100"/>
      <c r="I555" s="50"/>
      <c r="J555" s="100"/>
      <c r="K555" s="100"/>
    </row>
    <row r="556">
      <c r="C556" s="100"/>
      <c r="I556" s="50"/>
      <c r="J556" s="100"/>
      <c r="K556" s="100"/>
    </row>
    <row r="557">
      <c r="C557" s="100"/>
      <c r="I557" s="50"/>
      <c r="J557" s="100"/>
      <c r="K557" s="100"/>
    </row>
    <row r="558">
      <c r="C558" s="100"/>
      <c r="I558" s="50"/>
      <c r="J558" s="100"/>
      <c r="K558" s="100"/>
    </row>
    <row r="559">
      <c r="C559" s="100"/>
      <c r="I559" s="50"/>
      <c r="J559" s="100"/>
      <c r="K559" s="100"/>
    </row>
    <row r="560">
      <c r="C560" s="100"/>
      <c r="I560" s="50"/>
      <c r="J560" s="100"/>
      <c r="K560" s="100"/>
    </row>
    <row r="561">
      <c r="C561" s="100"/>
      <c r="I561" s="50"/>
      <c r="J561" s="100"/>
      <c r="K561" s="100"/>
    </row>
    <row r="562">
      <c r="C562" s="100"/>
      <c r="I562" s="50"/>
      <c r="J562" s="100"/>
      <c r="K562" s="100"/>
    </row>
    <row r="563">
      <c r="C563" s="100"/>
      <c r="I563" s="50"/>
      <c r="J563" s="100"/>
      <c r="K563" s="100"/>
    </row>
    <row r="564">
      <c r="C564" s="100"/>
      <c r="I564" s="50"/>
      <c r="J564" s="100"/>
      <c r="K564" s="100"/>
    </row>
    <row r="565">
      <c r="C565" s="100"/>
      <c r="I565" s="50"/>
      <c r="J565" s="100"/>
      <c r="K565" s="100"/>
    </row>
    <row r="566">
      <c r="C566" s="100"/>
      <c r="I566" s="50"/>
      <c r="J566" s="100"/>
      <c r="K566" s="100"/>
    </row>
    <row r="567">
      <c r="C567" s="100"/>
      <c r="I567" s="50"/>
      <c r="J567" s="100"/>
      <c r="K567" s="100"/>
    </row>
    <row r="568">
      <c r="C568" s="100"/>
      <c r="I568" s="50"/>
      <c r="J568" s="100"/>
      <c r="K568" s="100"/>
    </row>
    <row r="569">
      <c r="C569" s="100"/>
      <c r="I569" s="50"/>
      <c r="J569" s="100"/>
      <c r="K569" s="100"/>
    </row>
    <row r="570">
      <c r="C570" s="100"/>
      <c r="I570" s="50"/>
      <c r="J570" s="100"/>
      <c r="K570" s="100"/>
    </row>
    <row r="571">
      <c r="C571" s="100"/>
      <c r="I571" s="50"/>
      <c r="J571" s="100"/>
      <c r="K571" s="100"/>
    </row>
    <row r="572">
      <c r="C572" s="100"/>
      <c r="I572" s="50"/>
      <c r="J572" s="100"/>
      <c r="K572" s="100"/>
    </row>
    <row r="573">
      <c r="C573" s="100"/>
      <c r="I573" s="50"/>
      <c r="J573" s="100"/>
      <c r="K573" s="100"/>
    </row>
    <row r="574">
      <c r="C574" s="100"/>
      <c r="I574" s="50"/>
      <c r="J574" s="100"/>
      <c r="K574" s="100"/>
    </row>
    <row r="575">
      <c r="C575" s="100"/>
      <c r="I575" s="50"/>
      <c r="J575" s="100"/>
      <c r="K575" s="100"/>
    </row>
    <row r="576">
      <c r="C576" s="100"/>
      <c r="I576" s="50"/>
      <c r="J576" s="100"/>
      <c r="K576" s="100"/>
    </row>
    <row r="577">
      <c r="C577" s="100"/>
      <c r="I577" s="50"/>
      <c r="J577" s="100"/>
      <c r="K577" s="100"/>
    </row>
    <row r="578">
      <c r="C578" s="100"/>
      <c r="I578" s="50"/>
      <c r="J578" s="100"/>
      <c r="K578" s="100"/>
    </row>
    <row r="579">
      <c r="C579" s="100"/>
      <c r="I579" s="50"/>
      <c r="J579" s="100"/>
      <c r="K579" s="100"/>
    </row>
    <row r="580">
      <c r="C580" s="100"/>
      <c r="I580" s="50"/>
      <c r="J580" s="100"/>
      <c r="K580" s="100"/>
    </row>
    <row r="581">
      <c r="C581" s="100"/>
      <c r="I581" s="50"/>
      <c r="J581" s="100"/>
      <c r="K581" s="100"/>
    </row>
    <row r="582">
      <c r="C582" s="100"/>
      <c r="I582" s="50"/>
      <c r="J582" s="100"/>
      <c r="K582" s="100"/>
    </row>
    <row r="583">
      <c r="C583" s="100"/>
      <c r="I583" s="50"/>
      <c r="J583" s="100"/>
      <c r="K583" s="100"/>
    </row>
    <row r="584">
      <c r="C584" s="100"/>
      <c r="I584" s="50"/>
      <c r="J584" s="100"/>
      <c r="K584" s="100"/>
    </row>
    <row r="585">
      <c r="C585" s="100"/>
      <c r="I585" s="50"/>
      <c r="J585" s="100"/>
      <c r="K585" s="100"/>
    </row>
    <row r="586">
      <c r="C586" s="100"/>
      <c r="I586" s="50"/>
      <c r="J586" s="100"/>
      <c r="K586" s="100"/>
    </row>
    <row r="587">
      <c r="C587" s="100"/>
      <c r="I587" s="50"/>
      <c r="J587" s="100"/>
      <c r="K587" s="100"/>
    </row>
    <row r="588">
      <c r="C588" s="100"/>
      <c r="I588" s="50"/>
      <c r="J588" s="100"/>
      <c r="K588" s="100"/>
    </row>
    <row r="589">
      <c r="C589" s="100"/>
      <c r="I589" s="50"/>
      <c r="J589" s="100"/>
      <c r="K589" s="100"/>
    </row>
    <row r="590">
      <c r="C590" s="100"/>
      <c r="I590" s="50"/>
      <c r="J590" s="100"/>
      <c r="K590" s="100"/>
    </row>
    <row r="591">
      <c r="C591" s="100"/>
      <c r="I591" s="50"/>
      <c r="J591" s="100"/>
      <c r="K591" s="100"/>
    </row>
    <row r="592">
      <c r="C592" s="100"/>
      <c r="I592" s="50"/>
      <c r="J592" s="100"/>
      <c r="K592" s="100"/>
    </row>
    <row r="593">
      <c r="C593" s="100"/>
      <c r="I593" s="50"/>
      <c r="J593" s="100"/>
      <c r="K593" s="100"/>
    </row>
    <row r="594">
      <c r="C594" s="100"/>
      <c r="I594" s="50"/>
      <c r="J594" s="100"/>
      <c r="K594" s="100"/>
    </row>
    <row r="595">
      <c r="C595" s="100"/>
      <c r="I595" s="50"/>
      <c r="J595" s="100"/>
      <c r="K595" s="100"/>
    </row>
    <row r="596">
      <c r="C596" s="100"/>
      <c r="I596" s="50"/>
      <c r="J596" s="100"/>
      <c r="K596" s="100"/>
    </row>
    <row r="597">
      <c r="C597" s="100"/>
      <c r="I597" s="50"/>
      <c r="J597" s="100"/>
      <c r="K597" s="100"/>
    </row>
    <row r="598">
      <c r="C598" s="100"/>
      <c r="I598" s="50"/>
      <c r="J598" s="100"/>
      <c r="K598" s="100"/>
    </row>
    <row r="599">
      <c r="C599" s="100"/>
      <c r="I599" s="50"/>
      <c r="J599" s="100"/>
      <c r="K599" s="100"/>
    </row>
    <row r="600">
      <c r="C600" s="100"/>
      <c r="I600" s="50"/>
      <c r="J600" s="100"/>
      <c r="K600" s="100"/>
    </row>
    <row r="601">
      <c r="C601" s="100"/>
      <c r="I601" s="50"/>
      <c r="J601" s="100"/>
      <c r="K601" s="100"/>
    </row>
    <row r="602">
      <c r="C602" s="100"/>
      <c r="I602" s="50"/>
      <c r="J602" s="100"/>
      <c r="K602" s="100"/>
    </row>
    <row r="603">
      <c r="C603" s="100"/>
      <c r="I603" s="50"/>
      <c r="J603" s="100"/>
      <c r="K603" s="100"/>
    </row>
    <row r="604">
      <c r="C604" s="100"/>
      <c r="I604" s="50"/>
      <c r="J604" s="100"/>
      <c r="K604" s="100"/>
    </row>
    <row r="605">
      <c r="C605" s="100"/>
      <c r="I605" s="50"/>
      <c r="J605" s="100"/>
      <c r="K605" s="100"/>
    </row>
    <row r="606">
      <c r="C606" s="100"/>
      <c r="I606" s="50"/>
      <c r="J606" s="100"/>
      <c r="K606" s="100"/>
    </row>
    <row r="607">
      <c r="C607" s="100"/>
      <c r="I607" s="50"/>
      <c r="J607" s="100"/>
      <c r="K607" s="100"/>
    </row>
    <row r="608">
      <c r="C608" s="100"/>
      <c r="I608" s="50"/>
      <c r="J608" s="100"/>
      <c r="K608" s="100"/>
    </row>
    <row r="609">
      <c r="C609" s="100"/>
      <c r="I609" s="50"/>
      <c r="J609" s="100"/>
      <c r="K609" s="100"/>
    </row>
    <row r="610">
      <c r="C610" s="100"/>
      <c r="I610" s="50"/>
      <c r="J610" s="100"/>
      <c r="K610" s="100"/>
    </row>
    <row r="611">
      <c r="C611" s="100"/>
      <c r="I611" s="50"/>
      <c r="J611" s="100"/>
      <c r="K611" s="100"/>
    </row>
    <row r="612">
      <c r="C612" s="100"/>
      <c r="I612" s="50"/>
      <c r="J612" s="100"/>
      <c r="K612" s="100"/>
    </row>
    <row r="613">
      <c r="C613" s="100"/>
      <c r="I613" s="50"/>
      <c r="J613" s="100"/>
      <c r="K613" s="100"/>
    </row>
    <row r="614">
      <c r="C614" s="100"/>
      <c r="I614" s="50"/>
      <c r="J614" s="100"/>
      <c r="K614" s="100"/>
    </row>
    <row r="615">
      <c r="C615" s="100"/>
      <c r="I615" s="50"/>
      <c r="J615" s="100"/>
      <c r="K615" s="100"/>
    </row>
    <row r="616">
      <c r="C616" s="100"/>
      <c r="I616" s="50"/>
      <c r="J616" s="100"/>
      <c r="K616" s="100"/>
    </row>
    <row r="617">
      <c r="C617" s="100"/>
      <c r="I617" s="50"/>
      <c r="J617" s="100"/>
      <c r="K617" s="100"/>
    </row>
    <row r="618">
      <c r="C618" s="100"/>
      <c r="I618" s="50"/>
      <c r="J618" s="100"/>
      <c r="K618" s="100"/>
    </row>
    <row r="619">
      <c r="C619" s="100"/>
      <c r="I619" s="50"/>
      <c r="J619" s="100"/>
      <c r="K619" s="100"/>
    </row>
    <row r="620">
      <c r="C620" s="100"/>
      <c r="I620" s="50"/>
      <c r="J620" s="100"/>
      <c r="K620" s="100"/>
    </row>
    <row r="621">
      <c r="C621" s="100"/>
      <c r="I621" s="50"/>
      <c r="J621" s="100"/>
      <c r="K621" s="100"/>
    </row>
    <row r="622">
      <c r="C622" s="100"/>
      <c r="I622" s="50"/>
      <c r="J622" s="100"/>
      <c r="K622" s="100"/>
    </row>
    <row r="623">
      <c r="C623" s="100"/>
      <c r="I623" s="50"/>
      <c r="J623" s="100"/>
      <c r="K623" s="100"/>
    </row>
    <row r="624">
      <c r="C624" s="100"/>
      <c r="I624" s="50"/>
      <c r="J624" s="100"/>
      <c r="K624" s="100"/>
    </row>
    <row r="625">
      <c r="C625" s="100"/>
      <c r="I625" s="50"/>
      <c r="J625" s="100"/>
      <c r="K625" s="100"/>
    </row>
    <row r="626">
      <c r="C626" s="100"/>
      <c r="I626" s="50"/>
      <c r="J626" s="100"/>
      <c r="K626" s="100"/>
    </row>
    <row r="627">
      <c r="C627" s="100"/>
      <c r="I627" s="50"/>
      <c r="J627" s="100"/>
      <c r="K627" s="100"/>
    </row>
    <row r="628">
      <c r="C628" s="100"/>
      <c r="I628" s="50"/>
      <c r="J628" s="100"/>
      <c r="K628" s="100"/>
    </row>
    <row r="629">
      <c r="C629" s="100"/>
      <c r="I629" s="50"/>
      <c r="J629" s="100"/>
      <c r="K629" s="100"/>
    </row>
    <row r="630">
      <c r="C630" s="100"/>
      <c r="I630" s="50"/>
      <c r="J630" s="100"/>
      <c r="K630" s="100"/>
    </row>
    <row r="631">
      <c r="C631" s="100"/>
      <c r="I631" s="50"/>
      <c r="J631" s="100"/>
      <c r="K631" s="100"/>
    </row>
    <row r="632">
      <c r="C632" s="100"/>
      <c r="I632" s="50"/>
      <c r="J632" s="100"/>
      <c r="K632" s="100"/>
    </row>
    <row r="633">
      <c r="C633" s="100"/>
      <c r="I633" s="50"/>
      <c r="J633" s="100"/>
      <c r="K633" s="100"/>
    </row>
    <row r="634">
      <c r="C634" s="100"/>
      <c r="I634" s="50"/>
      <c r="J634" s="100"/>
      <c r="K634" s="100"/>
    </row>
    <row r="635">
      <c r="C635" s="100"/>
      <c r="I635" s="50"/>
      <c r="J635" s="100"/>
      <c r="K635" s="100"/>
    </row>
    <row r="636">
      <c r="C636" s="100"/>
      <c r="I636" s="50"/>
      <c r="J636" s="100"/>
      <c r="K636" s="100"/>
    </row>
    <row r="637">
      <c r="C637" s="100"/>
      <c r="I637" s="50"/>
      <c r="J637" s="100"/>
      <c r="K637" s="100"/>
    </row>
    <row r="638">
      <c r="C638" s="100"/>
      <c r="I638" s="50"/>
      <c r="J638" s="100"/>
      <c r="K638" s="100"/>
    </row>
    <row r="639">
      <c r="C639" s="100"/>
      <c r="I639" s="50"/>
      <c r="J639" s="100"/>
      <c r="K639" s="100"/>
    </row>
    <row r="640">
      <c r="C640" s="100"/>
      <c r="I640" s="50"/>
      <c r="J640" s="100"/>
      <c r="K640" s="100"/>
    </row>
    <row r="641">
      <c r="C641" s="100"/>
      <c r="I641" s="50"/>
      <c r="J641" s="100"/>
      <c r="K641" s="100"/>
    </row>
    <row r="642">
      <c r="C642" s="100"/>
      <c r="I642" s="50"/>
      <c r="J642" s="100"/>
      <c r="K642" s="100"/>
    </row>
    <row r="643">
      <c r="C643" s="100"/>
      <c r="I643" s="50"/>
      <c r="J643" s="100"/>
      <c r="K643" s="100"/>
    </row>
    <row r="644">
      <c r="C644" s="100"/>
      <c r="I644" s="50"/>
      <c r="J644" s="100"/>
      <c r="K644" s="100"/>
    </row>
    <row r="645">
      <c r="C645" s="100"/>
      <c r="I645" s="50"/>
      <c r="J645" s="100"/>
      <c r="K645" s="100"/>
    </row>
    <row r="646">
      <c r="C646" s="100"/>
      <c r="I646" s="50"/>
      <c r="J646" s="100"/>
      <c r="K646" s="100"/>
    </row>
    <row r="647">
      <c r="C647" s="100"/>
      <c r="I647" s="50"/>
      <c r="J647" s="100"/>
      <c r="K647" s="100"/>
    </row>
    <row r="648">
      <c r="C648" s="100"/>
      <c r="I648" s="50"/>
      <c r="J648" s="100"/>
      <c r="K648" s="100"/>
    </row>
    <row r="649">
      <c r="C649" s="100"/>
      <c r="I649" s="50"/>
      <c r="J649" s="100"/>
      <c r="K649" s="100"/>
    </row>
    <row r="650">
      <c r="C650" s="100"/>
      <c r="I650" s="50"/>
      <c r="J650" s="100"/>
      <c r="K650" s="100"/>
    </row>
    <row r="651">
      <c r="C651" s="100"/>
      <c r="I651" s="50"/>
      <c r="J651" s="100"/>
      <c r="K651" s="100"/>
    </row>
    <row r="652">
      <c r="C652" s="100"/>
      <c r="I652" s="50"/>
      <c r="J652" s="100"/>
      <c r="K652" s="100"/>
    </row>
    <row r="653">
      <c r="C653" s="100"/>
      <c r="I653" s="50"/>
      <c r="J653" s="100"/>
      <c r="K653" s="100"/>
    </row>
    <row r="654">
      <c r="C654" s="100"/>
      <c r="I654" s="50"/>
      <c r="J654" s="100"/>
      <c r="K654" s="100"/>
    </row>
    <row r="655">
      <c r="C655" s="100"/>
      <c r="I655" s="50"/>
      <c r="J655" s="100"/>
      <c r="K655" s="100"/>
    </row>
    <row r="656">
      <c r="C656" s="100"/>
      <c r="I656" s="50"/>
      <c r="J656" s="100"/>
      <c r="K656" s="100"/>
    </row>
    <row r="657">
      <c r="C657" s="100"/>
      <c r="I657" s="50"/>
      <c r="J657" s="100"/>
      <c r="K657" s="100"/>
    </row>
    <row r="658">
      <c r="C658" s="100"/>
      <c r="I658" s="50"/>
      <c r="J658" s="100"/>
      <c r="K658" s="100"/>
    </row>
    <row r="659">
      <c r="C659" s="100"/>
      <c r="I659" s="50"/>
      <c r="J659" s="100"/>
      <c r="K659" s="100"/>
    </row>
    <row r="660">
      <c r="C660" s="100"/>
      <c r="I660" s="50"/>
      <c r="J660" s="100"/>
      <c r="K660" s="100"/>
    </row>
    <row r="661">
      <c r="C661" s="100"/>
      <c r="I661" s="50"/>
      <c r="J661" s="100"/>
      <c r="K661" s="100"/>
    </row>
    <row r="662">
      <c r="C662" s="100"/>
      <c r="I662" s="50"/>
      <c r="J662" s="100"/>
      <c r="K662" s="100"/>
    </row>
    <row r="663">
      <c r="C663" s="100"/>
      <c r="I663" s="50"/>
      <c r="J663" s="100"/>
      <c r="K663" s="100"/>
    </row>
    <row r="664">
      <c r="C664" s="100"/>
      <c r="I664" s="50"/>
      <c r="J664" s="100"/>
      <c r="K664" s="100"/>
    </row>
    <row r="665">
      <c r="C665" s="100"/>
      <c r="I665" s="50"/>
      <c r="J665" s="100"/>
      <c r="K665" s="100"/>
    </row>
    <row r="666">
      <c r="C666" s="100"/>
      <c r="I666" s="50"/>
      <c r="J666" s="100"/>
      <c r="K666" s="100"/>
    </row>
    <row r="667">
      <c r="C667" s="100"/>
      <c r="I667" s="50"/>
      <c r="J667" s="100"/>
      <c r="K667" s="100"/>
    </row>
    <row r="668">
      <c r="C668" s="100"/>
      <c r="I668" s="50"/>
      <c r="J668" s="100"/>
      <c r="K668" s="100"/>
    </row>
    <row r="669">
      <c r="C669" s="100"/>
      <c r="I669" s="50"/>
      <c r="J669" s="100"/>
      <c r="K669" s="100"/>
    </row>
    <row r="670">
      <c r="C670" s="100"/>
      <c r="I670" s="50"/>
      <c r="J670" s="100"/>
      <c r="K670" s="100"/>
    </row>
    <row r="671">
      <c r="C671" s="100"/>
      <c r="I671" s="50"/>
      <c r="J671" s="100"/>
      <c r="K671" s="100"/>
    </row>
    <row r="672">
      <c r="C672" s="100"/>
      <c r="I672" s="50"/>
      <c r="J672" s="100"/>
      <c r="K672" s="100"/>
    </row>
    <row r="673">
      <c r="C673" s="100"/>
      <c r="I673" s="50"/>
      <c r="J673" s="100"/>
      <c r="K673" s="100"/>
    </row>
    <row r="674">
      <c r="C674" s="100"/>
      <c r="I674" s="50"/>
      <c r="J674" s="100"/>
      <c r="K674" s="100"/>
    </row>
    <row r="675">
      <c r="C675" s="100"/>
      <c r="I675" s="50"/>
      <c r="J675" s="100"/>
      <c r="K675" s="100"/>
    </row>
    <row r="676">
      <c r="C676" s="100"/>
      <c r="I676" s="50"/>
      <c r="J676" s="100"/>
      <c r="K676" s="100"/>
    </row>
    <row r="677">
      <c r="C677" s="100"/>
      <c r="I677" s="50"/>
      <c r="J677" s="100"/>
      <c r="K677" s="100"/>
    </row>
    <row r="678">
      <c r="C678" s="100"/>
      <c r="I678" s="50"/>
      <c r="J678" s="100"/>
      <c r="K678" s="100"/>
    </row>
    <row r="679">
      <c r="C679" s="100"/>
      <c r="I679" s="50"/>
      <c r="J679" s="100"/>
      <c r="K679" s="100"/>
    </row>
    <row r="680">
      <c r="C680" s="100"/>
      <c r="I680" s="50"/>
      <c r="J680" s="100"/>
      <c r="K680" s="100"/>
    </row>
    <row r="681">
      <c r="C681" s="100"/>
      <c r="I681" s="50"/>
      <c r="J681" s="100"/>
      <c r="K681" s="100"/>
    </row>
    <row r="682">
      <c r="C682" s="100"/>
      <c r="I682" s="50"/>
      <c r="J682" s="100"/>
      <c r="K682" s="100"/>
    </row>
    <row r="683">
      <c r="C683" s="100"/>
      <c r="I683" s="50"/>
      <c r="J683" s="100"/>
      <c r="K683" s="100"/>
    </row>
    <row r="684">
      <c r="C684" s="100"/>
      <c r="I684" s="50"/>
      <c r="J684" s="100"/>
      <c r="K684" s="100"/>
    </row>
    <row r="685">
      <c r="C685" s="100"/>
      <c r="I685" s="50"/>
      <c r="J685" s="100"/>
      <c r="K685" s="100"/>
    </row>
    <row r="686">
      <c r="C686" s="100"/>
      <c r="I686" s="50"/>
      <c r="J686" s="100"/>
      <c r="K686" s="100"/>
    </row>
    <row r="687">
      <c r="C687" s="100"/>
      <c r="I687" s="50"/>
      <c r="J687" s="100"/>
      <c r="K687" s="100"/>
    </row>
    <row r="688">
      <c r="C688" s="100"/>
      <c r="I688" s="50"/>
      <c r="J688" s="100"/>
      <c r="K688" s="100"/>
    </row>
    <row r="689">
      <c r="C689" s="100"/>
      <c r="I689" s="50"/>
      <c r="J689" s="100"/>
      <c r="K689" s="100"/>
    </row>
    <row r="690">
      <c r="C690" s="100"/>
      <c r="I690" s="50"/>
      <c r="J690" s="100"/>
      <c r="K690" s="100"/>
    </row>
    <row r="691">
      <c r="C691" s="100"/>
      <c r="I691" s="50"/>
      <c r="J691" s="100"/>
      <c r="K691" s="100"/>
    </row>
    <row r="692">
      <c r="C692" s="100"/>
      <c r="I692" s="50"/>
      <c r="J692" s="100"/>
      <c r="K692" s="100"/>
    </row>
    <row r="693">
      <c r="C693" s="100"/>
      <c r="I693" s="50"/>
      <c r="J693" s="100"/>
      <c r="K693" s="100"/>
    </row>
    <row r="694">
      <c r="C694" s="100"/>
      <c r="I694" s="50"/>
      <c r="J694" s="100"/>
      <c r="K694" s="100"/>
    </row>
    <row r="695">
      <c r="C695" s="100"/>
      <c r="I695" s="50"/>
      <c r="J695" s="100"/>
      <c r="K695" s="100"/>
    </row>
    <row r="696">
      <c r="C696" s="100"/>
      <c r="I696" s="50"/>
      <c r="J696" s="100"/>
      <c r="K696" s="100"/>
    </row>
    <row r="697">
      <c r="C697" s="100"/>
      <c r="I697" s="50"/>
      <c r="J697" s="100"/>
      <c r="K697" s="100"/>
    </row>
    <row r="698">
      <c r="C698" s="100"/>
      <c r="I698" s="50"/>
      <c r="J698" s="100"/>
      <c r="K698" s="100"/>
    </row>
    <row r="699">
      <c r="C699" s="100"/>
      <c r="I699" s="50"/>
      <c r="J699" s="100"/>
      <c r="K699" s="100"/>
    </row>
    <row r="700">
      <c r="C700" s="100"/>
      <c r="I700" s="50"/>
      <c r="J700" s="100"/>
      <c r="K700" s="100"/>
    </row>
    <row r="701">
      <c r="C701" s="100"/>
      <c r="I701" s="50"/>
      <c r="J701" s="100"/>
      <c r="K701" s="100"/>
    </row>
    <row r="702">
      <c r="C702" s="100"/>
      <c r="I702" s="50"/>
      <c r="J702" s="100"/>
      <c r="K702" s="100"/>
    </row>
    <row r="703">
      <c r="C703" s="100"/>
      <c r="I703" s="50"/>
      <c r="J703" s="100"/>
      <c r="K703" s="100"/>
    </row>
    <row r="704">
      <c r="C704" s="100"/>
      <c r="I704" s="50"/>
      <c r="J704" s="100"/>
      <c r="K704" s="100"/>
    </row>
    <row r="705">
      <c r="C705" s="100"/>
      <c r="I705" s="50"/>
      <c r="J705" s="100"/>
      <c r="K705" s="100"/>
    </row>
    <row r="706">
      <c r="C706" s="100"/>
      <c r="I706" s="50"/>
      <c r="J706" s="100"/>
      <c r="K706" s="100"/>
    </row>
    <row r="707">
      <c r="C707" s="100"/>
      <c r="I707" s="50"/>
      <c r="J707" s="100"/>
      <c r="K707" s="100"/>
    </row>
    <row r="708">
      <c r="C708" s="100"/>
      <c r="I708" s="50"/>
      <c r="J708" s="100"/>
      <c r="K708" s="100"/>
    </row>
    <row r="709">
      <c r="C709" s="100"/>
      <c r="I709" s="50"/>
      <c r="J709" s="100"/>
      <c r="K709" s="100"/>
    </row>
    <row r="710">
      <c r="C710" s="100"/>
      <c r="I710" s="50"/>
      <c r="J710" s="100"/>
      <c r="K710" s="100"/>
    </row>
    <row r="711">
      <c r="C711" s="100"/>
      <c r="I711" s="50"/>
      <c r="J711" s="100"/>
      <c r="K711" s="100"/>
    </row>
    <row r="712">
      <c r="C712" s="100"/>
      <c r="I712" s="50"/>
      <c r="J712" s="100"/>
      <c r="K712" s="100"/>
    </row>
    <row r="713">
      <c r="C713" s="100"/>
      <c r="I713" s="50"/>
      <c r="J713" s="100"/>
      <c r="K713" s="100"/>
    </row>
    <row r="714">
      <c r="C714" s="100"/>
      <c r="I714" s="50"/>
      <c r="J714" s="100"/>
      <c r="K714" s="100"/>
    </row>
    <row r="715">
      <c r="C715" s="100"/>
      <c r="I715" s="50"/>
      <c r="J715" s="100"/>
      <c r="K715" s="100"/>
    </row>
    <row r="716">
      <c r="C716" s="100"/>
      <c r="I716" s="50"/>
      <c r="J716" s="100"/>
      <c r="K716" s="100"/>
    </row>
    <row r="717">
      <c r="C717" s="100"/>
      <c r="I717" s="50"/>
      <c r="J717" s="100"/>
      <c r="K717" s="100"/>
    </row>
    <row r="718">
      <c r="C718" s="100"/>
      <c r="I718" s="50"/>
      <c r="J718" s="100"/>
      <c r="K718" s="100"/>
    </row>
    <row r="719">
      <c r="C719" s="100"/>
      <c r="I719" s="50"/>
      <c r="J719" s="100"/>
      <c r="K719" s="100"/>
    </row>
    <row r="720">
      <c r="C720" s="100"/>
      <c r="I720" s="50"/>
      <c r="J720" s="100"/>
      <c r="K720" s="100"/>
    </row>
    <row r="721">
      <c r="C721" s="100"/>
      <c r="I721" s="50"/>
      <c r="J721" s="100"/>
      <c r="K721" s="100"/>
    </row>
    <row r="722">
      <c r="C722" s="100"/>
      <c r="I722" s="50"/>
      <c r="J722" s="100"/>
      <c r="K722" s="100"/>
    </row>
    <row r="723">
      <c r="C723" s="100"/>
      <c r="I723" s="50"/>
      <c r="J723" s="100"/>
      <c r="K723" s="100"/>
    </row>
    <row r="724">
      <c r="C724" s="100"/>
      <c r="I724" s="50"/>
      <c r="J724" s="100"/>
      <c r="K724" s="100"/>
    </row>
    <row r="725">
      <c r="C725" s="100"/>
      <c r="I725" s="50"/>
      <c r="J725" s="100"/>
      <c r="K725" s="100"/>
    </row>
    <row r="726">
      <c r="C726" s="100"/>
      <c r="I726" s="50"/>
      <c r="J726" s="100"/>
      <c r="K726" s="100"/>
    </row>
    <row r="727">
      <c r="C727" s="100"/>
      <c r="I727" s="50"/>
      <c r="J727" s="100"/>
      <c r="K727" s="100"/>
    </row>
    <row r="728">
      <c r="C728" s="100"/>
      <c r="I728" s="50"/>
      <c r="J728" s="100"/>
      <c r="K728" s="100"/>
    </row>
    <row r="729">
      <c r="C729" s="100"/>
      <c r="I729" s="50"/>
      <c r="J729" s="100"/>
      <c r="K729" s="100"/>
    </row>
    <row r="730">
      <c r="C730" s="100"/>
      <c r="I730" s="50"/>
      <c r="J730" s="100"/>
      <c r="K730" s="100"/>
    </row>
    <row r="731">
      <c r="C731" s="100"/>
      <c r="I731" s="50"/>
      <c r="J731" s="100"/>
      <c r="K731" s="100"/>
    </row>
    <row r="732">
      <c r="C732" s="100"/>
      <c r="I732" s="50"/>
      <c r="J732" s="100"/>
      <c r="K732" s="100"/>
    </row>
    <row r="733">
      <c r="C733" s="100"/>
      <c r="I733" s="50"/>
      <c r="J733" s="100"/>
      <c r="K733" s="100"/>
    </row>
    <row r="734">
      <c r="C734" s="100"/>
      <c r="I734" s="50"/>
      <c r="J734" s="100"/>
      <c r="K734" s="100"/>
    </row>
    <row r="735">
      <c r="C735" s="100"/>
      <c r="I735" s="50"/>
      <c r="J735" s="100"/>
      <c r="K735" s="100"/>
    </row>
    <row r="736">
      <c r="C736" s="100"/>
      <c r="I736" s="50"/>
      <c r="J736" s="100"/>
      <c r="K736" s="100"/>
    </row>
    <row r="737">
      <c r="C737" s="100"/>
      <c r="I737" s="50"/>
      <c r="J737" s="100"/>
      <c r="K737" s="100"/>
    </row>
    <row r="738">
      <c r="C738" s="100"/>
      <c r="I738" s="50"/>
      <c r="J738" s="100"/>
      <c r="K738" s="100"/>
    </row>
    <row r="739">
      <c r="C739" s="100"/>
      <c r="I739" s="50"/>
      <c r="J739" s="100"/>
      <c r="K739" s="100"/>
    </row>
    <row r="740">
      <c r="C740" s="100"/>
      <c r="I740" s="50"/>
      <c r="J740" s="100"/>
      <c r="K740" s="100"/>
    </row>
    <row r="741">
      <c r="C741" s="100"/>
      <c r="I741" s="50"/>
      <c r="J741" s="100"/>
      <c r="K741" s="100"/>
    </row>
    <row r="742">
      <c r="C742" s="100"/>
      <c r="I742" s="50"/>
      <c r="J742" s="100"/>
      <c r="K742" s="100"/>
    </row>
    <row r="743">
      <c r="C743" s="100"/>
      <c r="I743" s="50"/>
      <c r="J743" s="100"/>
      <c r="K743" s="100"/>
    </row>
    <row r="744">
      <c r="C744" s="100"/>
      <c r="I744" s="50"/>
      <c r="J744" s="100"/>
      <c r="K744" s="100"/>
    </row>
    <row r="745">
      <c r="C745" s="100"/>
      <c r="I745" s="50"/>
      <c r="J745" s="100"/>
      <c r="K745" s="100"/>
    </row>
    <row r="746">
      <c r="C746" s="100"/>
      <c r="I746" s="50"/>
      <c r="J746" s="100"/>
      <c r="K746" s="100"/>
    </row>
    <row r="747">
      <c r="C747" s="100"/>
      <c r="I747" s="50"/>
      <c r="J747" s="100"/>
      <c r="K747" s="100"/>
    </row>
    <row r="748">
      <c r="C748" s="100"/>
      <c r="I748" s="50"/>
      <c r="J748" s="100"/>
      <c r="K748" s="100"/>
    </row>
    <row r="749">
      <c r="C749" s="100"/>
      <c r="I749" s="50"/>
      <c r="J749" s="100"/>
      <c r="K749" s="100"/>
    </row>
    <row r="750">
      <c r="C750" s="100"/>
      <c r="I750" s="50"/>
      <c r="J750" s="100"/>
      <c r="K750" s="100"/>
    </row>
    <row r="751">
      <c r="C751" s="100"/>
      <c r="I751" s="50"/>
      <c r="J751" s="100"/>
      <c r="K751" s="100"/>
    </row>
    <row r="752">
      <c r="C752" s="100"/>
      <c r="I752" s="50"/>
      <c r="J752" s="100"/>
      <c r="K752" s="100"/>
    </row>
    <row r="753">
      <c r="C753" s="100"/>
      <c r="I753" s="50"/>
      <c r="J753" s="100"/>
      <c r="K753" s="100"/>
    </row>
    <row r="754">
      <c r="C754" s="100"/>
      <c r="I754" s="50"/>
      <c r="J754" s="100"/>
      <c r="K754" s="100"/>
    </row>
    <row r="755">
      <c r="C755" s="100"/>
      <c r="I755" s="50"/>
      <c r="J755" s="100"/>
      <c r="K755" s="100"/>
    </row>
    <row r="756">
      <c r="C756" s="100"/>
      <c r="I756" s="50"/>
      <c r="J756" s="100"/>
      <c r="K756" s="100"/>
    </row>
    <row r="757">
      <c r="C757" s="100"/>
      <c r="I757" s="50"/>
      <c r="J757" s="100"/>
      <c r="K757" s="100"/>
    </row>
    <row r="758">
      <c r="C758" s="100"/>
      <c r="I758" s="50"/>
      <c r="J758" s="100"/>
      <c r="K758" s="100"/>
    </row>
    <row r="759">
      <c r="C759" s="100"/>
      <c r="I759" s="50"/>
      <c r="J759" s="100"/>
      <c r="K759" s="100"/>
    </row>
    <row r="760">
      <c r="C760" s="100"/>
      <c r="I760" s="50"/>
      <c r="J760" s="100"/>
      <c r="K760" s="100"/>
    </row>
    <row r="761">
      <c r="C761" s="100"/>
      <c r="I761" s="50"/>
      <c r="J761" s="100"/>
      <c r="K761" s="100"/>
    </row>
    <row r="762">
      <c r="C762" s="100"/>
      <c r="I762" s="50"/>
      <c r="J762" s="100"/>
      <c r="K762" s="100"/>
    </row>
    <row r="763">
      <c r="C763" s="100"/>
      <c r="I763" s="50"/>
      <c r="J763" s="100"/>
      <c r="K763" s="100"/>
    </row>
    <row r="764">
      <c r="C764" s="100"/>
      <c r="I764" s="50"/>
      <c r="J764" s="100"/>
      <c r="K764" s="100"/>
    </row>
    <row r="765">
      <c r="C765" s="100"/>
      <c r="I765" s="50"/>
      <c r="J765" s="100"/>
      <c r="K765" s="100"/>
    </row>
    <row r="766">
      <c r="C766" s="100"/>
      <c r="I766" s="50"/>
      <c r="J766" s="100"/>
      <c r="K766" s="100"/>
    </row>
    <row r="767">
      <c r="C767" s="100"/>
      <c r="I767" s="50"/>
      <c r="J767" s="100"/>
      <c r="K767" s="100"/>
    </row>
    <row r="768">
      <c r="C768" s="100"/>
      <c r="I768" s="50"/>
      <c r="J768" s="100"/>
      <c r="K768" s="100"/>
    </row>
    <row r="769">
      <c r="C769" s="100"/>
      <c r="I769" s="50"/>
      <c r="J769" s="100"/>
      <c r="K769" s="100"/>
    </row>
    <row r="770">
      <c r="C770" s="100"/>
      <c r="I770" s="50"/>
      <c r="J770" s="100"/>
      <c r="K770" s="100"/>
    </row>
    <row r="771">
      <c r="C771" s="100"/>
      <c r="I771" s="50"/>
      <c r="J771" s="100"/>
      <c r="K771" s="100"/>
    </row>
    <row r="772">
      <c r="C772" s="100"/>
      <c r="I772" s="50"/>
      <c r="J772" s="100"/>
      <c r="K772" s="100"/>
    </row>
    <row r="773">
      <c r="C773" s="100"/>
      <c r="I773" s="50"/>
      <c r="J773" s="100"/>
      <c r="K773" s="100"/>
    </row>
    <row r="774">
      <c r="C774" s="100"/>
      <c r="I774" s="50"/>
      <c r="J774" s="100"/>
      <c r="K774" s="100"/>
    </row>
    <row r="775">
      <c r="C775" s="100"/>
      <c r="I775" s="50"/>
      <c r="J775" s="100"/>
      <c r="K775" s="100"/>
    </row>
    <row r="776">
      <c r="C776" s="100"/>
      <c r="I776" s="50"/>
      <c r="J776" s="100"/>
      <c r="K776" s="100"/>
    </row>
    <row r="777">
      <c r="C777" s="100"/>
      <c r="I777" s="50"/>
      <c r="J777" s="100"/>
      <c r="K777" s="100"/>
    </row>
    <row r="778">
      <c r="C778" s="100"/>
      <c r="I778" s="50"/>
      <c r="J778" s="100"/>
      <c r="K778" s="100"/>
    </row>
    <row r="779">
      <c r="C779" s="100"/>
      <c r="I779" s="50"/>
      <c r="J779" s="100"/>
      <c r="K779" s="100"/>
    </row>
    <row r="780">
      <c r="C780" s="100"/>
      <c r="I780" s="50"/>
      <c r="J780" s="100"/>
      <c r="K780" s="100"/>
    </row>
    <row r="781">
      <c r="C781" s="100"/>
      <c r="I781" s="50"/>
      <c r="J781" s="100"/>
      <c r="K781" s="100"/>
    </row>
    <row r="782">
      <c r="C782" s="100"/>
      <c r="I782" s="50"/>
      <c r="J782" s="100"/>
      <c r="K782" s="100"/>
    </row>
    <row r="783">
      <c r="C783" s="100"/>
      <c r="I783" s="50"/>
      <c r="J783" s="100"/>
      <c r="K783" s="100"/>
    </row>
    <row r="784">
      <c r="C784" s="100"/>
      <c r="I784" s="50"/>
      <c r="J784" s="100"/>
      <c r="K784" s="100"/>
    </row>
    <row r="785">
      <c r="C785" s="100"/>
      <c r="I785" s="50"/>
      <c r="J785" s="100"/>
      <c r="K785" s="100"/>
    </row>
    <row r="786">
      <c r="C786" s="100"/>
      <c r="I786" s="50"/>
      <c r="J786" s="100"/>
      <c r="K786" s="100"/>
    </row>
    <row r="787">
      <c r="C787" s="100"/>
      <c r="I787" s="50"/>
      <c r="J787" s="100"/>
      <c r="K787" s="100"/>
    </row>
    <row r="788">
      <c r="C788" s="100"/>
      <c r="I788" s="50"/>
      <c r="J788" s="100"/>
      <c r="K788" s="100"/>
    </row>
    <row r="789">
      <c r="C789" s="100"/>
      <c r="I789" s="50"/>
      <c r="J789" s="100"/>
      <c r="K789" s="100"/>
    </row>
    <row r="790">
      <c r="C790" s="100"/>
      <c r="I790" s="50"/>
      <c r="J790" s="100"/>
      <c r="K790" s="100"/>
    </row>
    <row r="791">
      <c r="C791" s="100"/>
      <c r="I791" s="50"/>
      <c r="J791" s="100"/>
      <c r="K791" s="100"/>
    </row>
    <row r="792">
      <c r="C792" s="100"/>
      <c r="I792" s="50"/>
      <c r="J792" s="100"/>
      <c r="K792" s="100"/>
    </row>
    <row r="793">
      <c r="C793" s="100"/>
      <c r="I793" s="50"/>
      <c r="J793" s="100"/>
      <c r="K793" s="100"/>
    </row>
    <row r="794">
      <c r="C794" s="100"/>
      <c r="I794" s="50"/>
      <c r="J794" s="100"/>
      <c r="K794" s="100"/>
    </row>
    <row r="795">
      <c r="C795" s="100"/>
      <c r="I795" s="50"/>
      <c r="J795" s="100"/>
      <c r="K795" s="100"/>
    </row>
    <row r="796">
      <c r="C796" s="100"/>
      <c r="I796" s="50"/>
      <c r="J796" s="100"/>
      <c r="K796" s="100"/>
    </row>
    <row r="797">
      <c r="C797" s="100"/>
      <c r="I797" s="50"/>
      <c r="J797" s="100"/>
      <c r="K797" s="100"/>
    </row>
    <row r="798">
      <c r="C798" s="100"/>
      <c r="I798" s="50"/>
      <c r="J798" s="100"/>
      <c r="K798" s="100"/>
    </row>
    <row r="799">
      <c r="C799" s="100"/>
      <c r="I799" s="50"/>
      <c r="J799" s="100"/>
      <c r="K799" s="100"/>
    </row>
    <row r="800">
      <c r="C800" s="100"/>
      <c r="I800" s="50"/>
      <c r="J800" s="100"/>
      <c r="K800" s="100"/>
    </row>
    <row r="801">
      <c r="C801" s="100"/>
      <c r="I801" s="50"/>
      <c r="J801" s="100"/>
      <c r="K801" s="100"/>
    </row>
    <row r="802">
      <c r="C802" s="100"/>
      <c r="I802" s="50"/>
      <c r="J802" s="100"/>
      <c r="K802" s="100"/>
    </row>
    <row r="803">
      <c r="C803" s="100"/>
      <c r="I803" s="50"/>
      <c r="J803" s="100"/>
      <c r="K803" s="100"/>
    </row>
    <row r="804">
      <c r="C804" s="100"/>
      <c r="I804" s="50"/>
      <c r="J804" s="100"/>
      <c r="K804" s="100"/>
    </row>
    <row r="805">
      <c r="C805" s="100"/>
      <c r="I805" s="50"/>
      <c r="J805" s="100"/>
      <c r="K805" s="100"/>
    </row>
    <row r="806">
      <c r="C806" s="100"/>
      <c r="I806" s="50"/>
      <c r="J806" s="100"/>
      <c r="K806" s="100"/>
    </row>
    <row r="807">
      <c r="C807" s="100"/>
      <c r="I807" s="50"/>
      <c r="J807" s="100"/>
      <c r="K807" s="100"/>
    </row>
    <row r="808">
      <c r="C808" s="100"/>
      <c r="I808" s="50"/>
      <c r="J808" s="100"/>
      <c r="K808" s="100"/>
    </row>
    <row r="809">
      <c r="C809" s="100"/>
      <c r="I809" s="50"/>
      <c r="J809" s="100"/>
      <c r="K809" s="100"/>
    </row>
    <row r="810">
      <c r="C810" s="100"/>
      <c r="I810" s="50"/>
      <c r="J810" s="100"/>
      <c r="K810" s="100"/>
    </row>
    <row r="811">
      <c r="C811" s="100"/>
      <c r="I811" s="50"/>
      <c r="J811" s="100"/>
      <c r="K811" s="100"/>
    </row>
    <row r="812">
      <c r="C812" s="100"/>
      <c r="I812" s="50"/>
      <c r="J812" s="100"/>
      <c r="K812" s="100"/>
    </row>
    <row r="813">
      <c r="C813" s="100"/>
      <c r="I813" s="50"/>
      <c r="J813" s="100"/>
      <c r="K813" s="100"/>
    </row>
    <row r="814">
      <c r="C814" s="100"/>
      <c r="I814" s="50"/>
      <c r="J814" s="100"/>
      <c r="K814" s="100"/>
    </row>
    <row r="815">
      <c r="C815" s="100"/>
      <c r="I815" s="50"/>
      <c r="J815" s="100"/>
      <c r="K815" s="100"/>
    </row>
    <row r="816">
      <c r="C816" s="100"/>
      <c r="I816" s="50"/>
      <c r="J816" s="100"/>
      <c r="K816" s="100"/>
    </row>
    <row r="817">
      <c r="C817" s="100"/>
      <c r="I817" s="50"/>
      <c r="J817" s="100"/>
      <c r="K817" s="100"/>
    </row>
    <row r="818">
      <c r="C818" s="100"/>
      <c r="I818" s="50"/>
      <c r="J818" s="100"/>
      <c r="K818" s="100"/>
    </row>
    <row r="819">
      <c r="C819" s="100"/>
      <c r="I819" s="50"/>
      <c r="J819" s="100"/>
      <c r="K819" s="100"/>
    </row>
    <row r="820">
      <c r="C820" s="100"/>
      <c r="I820" s="50"/>
      <c r="J820" s="100"/>
      <c r="K820" s="100"/>
    </row>
    <row r="821">
      <c r="C821" s="100"/>
      <c r="I821" s="50"/>
      <c r="J821" s="100"/>
      <c r="K821" s="100"/>
    </row>
    <row r="822">
      <c r="C822" s="100"/>
      <c r="I822" s="50"/>
      <c r="J822" s="100"/>
      <c r="K822" s="100"/>
    </row>
    <row r="823">
      <c r="C823" s="100"/>
      <c r="I823" s="50"/>
      <c r="J823" s="100"/>
      <c r="K823" s="100"/>
    </row>
    <row r="824">
      <c r="C824" s="100"/>
      <c r="I824" s="50"/>
      <c r="J824" s="100"/>
      <c r="K824" s="100"/>
    </row>
    <row r="825">
      <c r="C825" s="100"/>
      <c r="I825" s="50"/>
      <c r="J825" s="100"/>
      <c r="K825" s="100"/>
    </row>
    <row r="826">
      <c r="C826" s="100"/>
      <c r="I826" s="50"/>
      <c r="J826" s="100"/>
      <c r="K826" s="100"/>
    </row>
    <row r="827">
      <c r="C827" s="100"/>
      <c r="I827" s="50"/>
      <c r="J827" s="100"/>
      <c r="K827" s="100"/>
    </row>
    <row r="828">
      <c r="C828" s="100"/>
      <c r="I828" s="50"/>
      <c r="J828" s="100"/>
      <c r="K828" s="100"/>
    </row>
    <row r="829">
      <c r="C829" s="100"/>
      <c r="I829" s="50"/>
      <c r="J829" s="100"/>
      <c r="K829" s="100"/>
    </row>
    <row r="830">
      <c r="C830" s="100"/>
      <c r="I830" s="50"/>
      <c r="J830" s="100"/>
      <c r="K830" s="100"/>
    </row>
    <row r="831">
      <c r="C831" s="100"/>
      <c r="I831" s="50"/>
      <c r="J831" s="100"/>
      <c r="K831" s="100"/>
    </row>
    <row r="832">
      <c r="C832" s="100"/>
      <c r="I832" s="50"/>
      <c r="J832" s="100"/>
      <c r="K832" s="100"/>
    </row>
    <row r="833">
      <c r="C833" s="100"/>
      <c r="I833" s="50"/>
      <c r="J833" s="100"/>
      <c r="K833" s="100"/>
    </row>
    <row r="834">
      <c r="C834" s="100"/>
      <c r="I834" s="50"/>
      <c r="J834" s="100"/>
      <c r="K834" s="100"/>
    </row>
    <row r="835">
      <c r="C835" s="100"/>
      <c r="I835" s="50"/>
      <c r="J835" s="100"/>
      <c r="K835" s="100"/>
    </row>
    <row r="836">
      <c r="C836" s="100"/>
      <c r="I836" s="50"/>
      <c r="J836" s="100"/>
      <c r="K836" s="100"/>
    </row>
    <row r="837">
      <c r="C837" s="100"/>
      <c r="I837" s="50"/>
      <c r="J837" s="100"/>
      <c r="K837" s="100"/>
    </row>
    <row r="838">
      <c r="C838" s="100"/>
      <c r="I838" s="50"/>
      <c r="J838" s="100"/>
      <c r="K838" s="100"/>
    </row>
    <row r="839">
      <c r="C839" s="100"/>
      <c r="I839" s="50"/>
      <c r="J839" s="100"/>
      <c r="K839" s="100"/>
    </row>
    <row r="840">
      <c r="C840" s="100"/>
      <c r="I840" s="50"/>
      <c r="J840" s="100"/>
      <c r="K840" s="100"/>
    </row>
    <row r="841">
      <c r="C841" s="100"/>
      <c r="I841" s="50"/>
      <c r="J841" s="100"/>
      <c r="K841" s="100"/>
    </row>
    <row r="842">
      <c r="C842" s="100"/>
      <c r="I842" s="50"/>
      <c r="J842" s="100"/>
      <c r="K842" s="100"/>
    </row>
    <row r="843">
      <c r="C843" s="100"/>
      <c r="I843" s="50"/>
      <c r="J843" s="100"/>
      <c r="K843" s="100"/>
    </row>
    <row r="844">
      <c r="C844" s="100"/>
      <c r="I844" s="50"/>
      <c r="J844" s="100"/>
      <c r="K844" s="100"/>
    </row>
    <row r="845">
      <c r="C845" s="100"/>
      <c r="I845" s="50"/>
      <c r="J845" s="100"/>
      <c r="K845" s="100"/>
    </row>
    <row r="846">
      <c r="C846" s="100"/>
      <c r="I846" s="50"/>
      <c r="J846" s="100"/>
      <c r="K846" s="100"/>
    </row>
    <row r="847">
      <c r="C847" s="100"/>
      <c r="I847" s="50"/>
      <c r="J847" s="100"/>
      <c r="K847" s="100"/>
    </row>
    <row r="848">
      <c r="C848" s="100"/>
      <c r="I848" s="50"/>
      <c r="J848" s="100"/>
      <c r="K848" s="100"/>
    </row>
    <row r="849">
      <c r="C849" s="100"/>
      <c r="I849" s="50"/>
      <c r="J849" s="100"/>
      <c r="K849" s="100"/>
    </row>
    <row r="850">
      <c r="C850" s="100"/>
      <c r="I850" s="50"/>
      <c r="J850" s="100"/>
      <c r="K850" s="100"/>
    </row>
    <row r="851">
      <c r="C851" s="100"/>
      <c r="I851" s="50"/>
      <c r="J851" s="100"/>
      <c r="K851" s="100"/>
    </row>
    <row r="852">
      <c r="C852" s="100"/>
      <c r="I852" s="50"/>
      <c r="J852" s="100"/>
      <c r="K852" s="100"/>
    </row>
    <row r="853">
      <c r="C853" s="100"/>
      <c r="I853" s="50"/>
      <c r="J853" s="100"/>
      <c r="K853" s="100"/>
    </row>
    <row r="854">
      <c r="C854" s="100"/>
      <c r="I854" s="50"/>
      <c r="J854" s="100"/>
      <c r="K854" s="100"/>
    </row>
    <row r="855">
      <c r="C855" s="100"/>
      <c r="I855" s="50"/>
      <c r="J855" s="100"/>
      <c r="K855" s="100"/>
    </row>
    <row r="856">
      <c r="C856" s="100"/>
      <c r="I856" s="50"/>
      <c r="J856" s="100"/>
      <c r="K856" s="100"/>
    </row>
    <row r="857">
      <c r="C857" s="100"/>
      <c r="I857" s="50"/>
      <c r="J857" s="100"/>
      <c r="K857" s="100"/>
    </row>
    <row r="858">
      <c r="C858" s="100"/>
      <c r="I858" s="50"/>
      <c r="J858" s="100"/>
      <c r="K858" s="100"/>
    </row>
    <row r="859">
      <c r="C859" s="100"/>
      <c r="I859" s="50"/>
      <c r="J859" s="100"/>
      <c r="K859" s="100"/>
    </row>
    <row r="860">
      <c r="C860" s="100"/>
      <c r="I860" s="50"/>
      <c r="J860" s="100"/>
      <c r="K860" s="100"/>
    </row>
    <row r="861">
      <c r="C861" s="100"/>
      <c r="I861" s="50"/>
      <c r="J861" s="100"/>
      <c r="K861" s="100"/>
    </row>
    <row r="862">
      <c r="C862" s="100"/>
      <c r="I862" s="50"/>
      <c r="J862" s="100"/>
      <c r="K862" s="100"/>
    </row>
    <row r="863">
      <c r="C863" s="100"/>
      <c r="I863" s="50"/>
      <c r="J863" s="100"/>
      <c r="K863" s="100"/>
    </row>
    <row r="864">
      <c r="C864" s="100"/>
      <c r="I864" s="50"/>
      <c r="J864" s="100"/>
      <c r="K864" s="100"/>
    </row>
    <row r="865">
      <c r="C865" s="100"/>
      <c r="I865" s="50"/>
      <c r="J865" s="100"/>
      <c r="K865" s="100"/>
    </row>
    <row r="866">
      <c r="C866" s="100"/>
      <c r="I866" s="50"/>
      <c r="J866" s="100"/>
      <c r="K866" s="100"/>
    </row>
    <row r="867">
      <c r="C867" s="100"/>
      <c r="I867" s="50"/>
      <c r="J867" s="100"/>
      <c r="K867" s="100"/>
    </row>
    <row r="868">
      <c r="C868" s="100"/>
      <c r="I868" s="50"/>
      <c r="J868" s="100"/>
      <c r="K868" s="100"/>
    </row>
    <row r="869">
      <c r="C869" s="100"/>
      <c r="I869" s="50"/>
      <c r="J869" s="100"/>
      <c r="K869" s="100"/>
    </row>
    <row r="870">
      <c r="C870" s="100"/>
      <c r="I870" s="50"/>
      <c r="J870" s="100"/>
      <c r="K870" s="100"/>
    </row>
    <row r="871">
      <c r="C871" s="100"/>
      <c r="I871" s="50"/>
      <c r="J871" s="100"/>
      <c r="K871" s="100"/>
    </row>
    <row r="872">
      <c r="C872" s="100"/>
      <c r="I872" s="50"/>
      <c r="J872" s="100"/>
      <c r="K872" s="100"/>
    </row>
    <row r="873">
      <c r="C873" s="100"/>
      <c r="I873" s="50"/>
      <c r="J873" s="100"/>
      <c r="K873" s="100"/>
    </row>
    <row r="874">
      <c r="C874" s="100"/>
      <c r="I874" s="50"/>
      <c r="J874" s="100"/>
      <c r="K874" s="100"/>
    </row>
    <row r="875">
      <c r="C875" s="100"/>
      <c r="I875" s="50"/>
      <c r="J875" s="100"/>
      <c r="K875" s="100"/>
    </row>
    <row r="876">
      <c r="C876" s="100"/>
      <c r="I876" s="50"/>
      <c r="J876" s="100"/>
      <c r="K876" s="100"/>
    </row>
    <row r="877">
      <c r="C877" s="100"/>
      <c r="I877" s="50"/>
      <c r="J877" s="100"/>
      <c r="K877" s="100"/>
    </row>
    <row r="878">
      <c r="C878" s="100"/>
      <c r="I878" s="50"/>
      <c r="J878" s="100"/>
      <c r="K878" s="100"/>
    </row>
    <row r="879">
      <c r="C879" s="100"/>
      <c r="I879" s="50"/>
      <c r="J879" s="100"/>
      <c r="K879" s="100"/>
    </row>
    <row r="880">
      <c r="C880" s="100"/>
      <c r="I880" s="50"/>
      <c r="J880" s="100"/>
      <c r="K880" s="100"/>
    </row>
    <row r="881">
      <c r="C881" s="100"/>
      <c r="I881" s="50"/>
      <c r="J881" s="100"/>
      <c r="K881" s="100"/>
    </row>
    <row r="882">
      <c r="C882" s="100"/>
      <c r="I882" s="50"/>
      <c r="J882" s="100"/>
      <c r="K882" s="100"/>
    </row>
    <row r="883">
      <c r="C883" s="100"/>
      <c r="I883" s="50"/>
      <c r="J883" s="100"/>
      <c r="K883" s="100"/>
    </row>
    <row r="884">
      <c r="C884" s="100"/>
      <c r="I884" s="50"/>
      <c r="J884" s="100"/>
      <c r="K884" s="100"/>
    </row>
    <row r="885">
      <c r="C885" s="100"/>
      <c r="I885" s="50"/>
      <c r="J885" s="100"/>
      <c r="K885" s="100"/>
    </row>
    <row r="886">
      <c r="C886" s="100"/>
      <c r="I886" s="50"/>
      <c r="J886" s="100"/>
      <c r="K886" s="100"/>
    </row>
    <row r="887">
      <c r="C887" s="100"/>
      <c r="I887" s="50"/>
      <c r="J887" s="100"/>
      <c r="K887" s="100"/>
    </row>
    <row r="888">
      <c r="C888" s="100"/>
      <c r="I888" s="50"/>
      <c r="J888" s="100"/>
      <c r="K888" s="100"/>
    </row>
    <row r="889">
      <c r="C889" s="100"/>
      <c r="I889" s="50"/>
      <c r="J889" s="100"/>
      <c r="K889" s="100"/>
    </row>
    <row r="890">
      <c r="C890" s="100"/>
      <c r="I890" s="50"/>
      <c r="J890" s="100"/>
      <c r="K890" s="100"/>
    </row>
    <row r="891">
      <c r="C891" s="100"/>
      <c r="I891" s="50"/>
      <c r="J891" s="100"/>
      <c r="K891" s="100"/>
    </row>
    <row r="892">
      <c r="C892" s="100"/>
      <c r="I892" s="50"/>
      <c r="J892" s="100"/>
      <c r="K892" s="100"/>
    </row>
    <row r="893">
      <c r="C893" s="100"/>
      <c r="I893" s="50"/>
      <c r="J893" s="100"/>
      <c r="K893" s="100"/>
    </row>
    <row r="894">
      <c r="C894" s="100"/>
      <c r="I894" s="50"/>
      <c r="J894" s="100"/>
      <c r="K894" s="100"/>
    </row>
    <row r="895">
      <c r="C895" s="100"/>
      <c r="I895" s="50"/>
      <c r="J895" s="100"/>
      <c r="K895" s="100"/>
    </row>
    <row r="896">
      <c r="C896" s="100"/>
      <c r="I896" s="50"/>
      <c r="J896" s="100"/>
      <c r="K896" s="100"/>
    </row>
    <row r="897">
      <c r="C897" s="100"/>
      <c r="I897" s="50"/>
      <c r="J897" s="100"/>
      <c r="K897" s="100"/>
    </row>
    <row r="898">
      <c r="C898" s="100"/>
      <c r="I898" s="50"/>
      <c r="J898" s="100"/>
      <c r="K898" s="100"/>
    </row>
    <row r="899">
      <c r="C899" s="100"/>
      <c r="I899" s="50"/>
      <c r="J899" s="100"/>
      <c r="K899" s="100"/>
    </row>
    <row r="900">
      <c r="C900" s="100"/>
      <c r="I900" s="50"/>
      <c r="J900" s="100"/>
      <c r="K900" s="100"/>
    </row>
    <row r="901">
      <c r="C901" s="100"/>
      <c r="I901" s="50"/>
      <c r="J901" s="100"/>
      <c r="K901" s="100"/>
    </row>
    <row r="902">
      <c r="C902" s="100"/>
      <c r="I902" s="50"/>
      <c r="J902" s="100"/>
      <c r="K902" s="100"/>
    </row>
    <row r="903">
      <c r="C903" s="100"/>
      <c r="I903" s="50"/>
      <c r="J903" s="100"/>
      <c r="K903" s="100"/>
    </row>
    <row r="904">
      <c r="C904" s="100"/>
      <c r="I904" s="50"/>
      <c r="J904" s="100"/>
      <c r="K904" s="100"/>
    </row>
    <row r="905">
      <c r="C905" s="100"/>
      <c r="I905" s="50"/>
      <c r="J905" s="100"/>
      <c r="K905" s="100"/>
    </row>
    <row r="906">
      <c r="C906" s="100"/>
      <c r="I906" s="50"/>
      <c r="J906" s="100"/>
      <c r="K906" s="100"/>
    </row>
    <row r="907">
      <c r="C907" s="100"/>
      <c r="I907" s="50"/>
      <c r="J907" s="100"/>
      <c r="K907" s="100"/>
    </row>
    <row r="908">
      <c r="C908" s="100"/>
      <c r="I908" s="50"/>
      <c r="J908" s="100"/>
      <c r="K908" s="100"/>
    </row>
    <row r="909">
      <c r="C909" s="100"/>
      <c r="I909" s="50"/>
      <c r="J909" s="100"/>
      <c r="K909" s="100"/>
    </row>
    <row r="910">
      <c r="C910" s="100"/>
      <c r="I910" s="50"/>
      <c r="J910" s="100"/>
      <c r="K910" s="100"/>
    </row>
    <row r="911">
      <c r="C911" s="100"/>
      <c r="I911" s="50"/>
      <c r="J911" s="100"/>
      <c r="K911" s="100"/>
    </row>
    <row r="912">
      <c r="C912" s="100"/>
      <c r="I912" s="50"/>
      <c r="J912" s="100"/>
      <c r="K912" s="100"/>
    </row>
    <row r="913">
      <c r="C913" s="100"/>
      <c r="I913" s="50"/>
      <c r="J913" s="100"/>
      <c r="K913" s="100"/>
    </row>
    <row r="914">
      <c r="C914" s="100"/>
      <c r="I914" s="50"/>
      <c r="J914" s="100"/>
      <c r="K914" s="100"/>
    </row>
    <row r="915">
      <c r="C915" s="100"/>
      <c r="I915" s="50"/>
      <c r="J915" s="100"/>
      <c r="K915" s="100"/>
    </row>
    <row r="916">
      <c r="C916" s="100"/>
      <c r="I916" s="50"/>
      <c r="J916" s="100"/>
      <c r="K916" s="100"/>
    </row>
    <row r="917">
      <c r="C917" s="100"/>
      <c r="I917" s="50"/>
      <c r="J917" s="100"/>
      <c r="K917" s="100"/>
    </row>
    <row r="918">
      <c r="C918" s="100"/>
      <c r="I918" s="50"/>
      <c r="J918" s="100"/>
      <c r="K918" s="100"/>
    </row>
    <row r="919">
      <c r="C919" s="100"/>
      <c r="I919" s="50"/>
      <c r="J919" s="100"/>
      <c r="K919" s="100"/>
    </row>
    <row r="920">
      <c r="C920" s="100"/>
      <c r="I920" s="50"/>
      <c r="J920" s="100"/>
      <c r="K920" s="100"/>
    </row>
    <row r="921">
      <c r="C921" s="100"/>
      <c r="I921" s="50"/>
      <c r="J921" s="100"/>
      <c r="K921" s="100"/>
    </row>
    <row r="922">
      <c r="C922" s="100"/>
      <c r="I922" s="50"/>
      <c r="J922" s="100"/>
      <c r="K922" s="100"/>
    </row>
    <row r="923">
      <c r="C923" s="100"/>
      <c r="I923" s="50"/>
      <c r="J923" s="100"/>
      <c r="K923" s="100"/>
    </row>
    <row r="924">
      <c r="C924" s="100"/>
      <c r="I924" s="50"/>
      <c r="J924" s="100"/>
      <c r="K924" s="100"/>
    </row>
    <row r="925">
      <c r="C925" s="100"/>
      <c r="I925" s="50"/>
      <c r="J925" s="100"/>
      <c r="K925" s="100"/>
    </row>
    <row r="926">
      <c r="C926" s="100"/>
      <c r="I926" s="50"/>
      <c r="J926" s="100"/>
      <c r="K926" s="100"/>
    </row>
    <row r="927">
      <c r="C927" s="100"/>
      <c r="I927" s="50"/>
      <c r="J927" s="100"/>
      <c r="K927" s="100"/>
    </row>
    <row r="928">
      <c r="C928" s="100"/>
      <c r="I928" s="50"/>
      <c r="J928" s="100"/>
      <c r="K928" s="100"/>
    </row>
    <row r="929">
      <c r="C929" s="100"/>
      <c r="I929" s="50"/>
      <c r="J929" s="100"/>
      <c r="K929" s="100"/>
    </row>
    <row r="930">
      <c r="C930" s="100"/>
      <c r="I930" s="50"/>
      <c r="J930" s="100"/>
      <c r="K930" s="100"/>
    </row>
    <row r="931">
      <c r="C931" s="100"/>
      <c r="I931" s="50"/>
      <c r="J931" s="100"/>
      <c r="K931" s="100"/>
    </row>
    <row r="932">
      <c r="C932" s="100"/>
      <c r="I932" s="50"/>
      <c r="J932" s="100"/>
      <c r="K932" s="100"/>
    </row>
    <row r="933">
      <c r="C933" s="100"/>
      <c r="I933" s="50"/>
      <c r="J933" s="100"/>
      <c r="K933" s="100"/>
    </row>
    <row r="934">
      <c r="C934" s="100"/>
      <c r="I934" s="50"/>
      <c r="J934" s="100"/>
      <c r="K934" s="100"/>
    </row>
    <row r="935">
      <c r="C935" s="100"/>
      <c r="I935" s="50"/>
      <c r="J935" s="100"/>
      <c r="K935" s="100"/>
    </row>
    <row r="936">
      <c r="C936" s="100"/>
      <c r="I936" s="50"/>
      <c r="J936" s="100"/>
      <c r="K936" s="100"/>
    </row>
    <row r="937">
      <c r="C937" s="100"/>
      <c r="I937" s="50"/>
      <c r="J937" s="100"/>
      <c r="K937" s="100"/>
    </row>
    <row r="938">
      <c r="C938" s="100"/>
      <c r="I938" s="50"/>
      <c r="J938" s="100"/>
      <c r="K938" s="100"/>
    </row>
    <row r="939">
      <c r="C939" s="100"/>
      <c r="I939" s="50"/>
      <c r="J939" s="100"/>
      <c r="K939" s="100"/>
    </row>
    <row r="940">
      <c r="C940" s="100"/>
      <c r="I940" s="50"/>
      <c r="J940" s="100"/>
      <c r="K940" s="100"/>
    </row>
    <row r="941">
      <c r="C941" s="100"/>
      <c r="I941" s="50"/>
      <c r="J941" s="100"/>
      <c r="K941" s="100"/>
    </row>
    <row r="942">
      <c r="C942" s="100"/>
      <c r="I942" s="50"/>
      <c r="J942" s="100"/>
      <c r="K942" s="100"/>
    </row>
    <row r="943">
      <c r="C943" s="100"/>
      <c r="I943" s="50"/>
      <c r="J943" s="100"/>
      <c r="K943" s="100"/>
    </row>
    <row r="944">
      <c r="C944" s="100"/>
      <c r="I944" s="50"/>
      <c r="J944" s="100"/>
      <c r="K944" s="100"/>
    </row>
    <row r="945">
      <c r="C945" s="100"/>
      <c r="I945" s="50"/>
      <c r="J945" s="100"/>
      <c r="K945" s="100"/>
    </row>
    <row r="946">
      <c r="C946" s="100"/>
      <c r="I946" s="50"/>
      <c r="J946" s="100"/>
      <c r="K946" s="100"/>
    </row>
    <row r="947">
      <c r="C947" s="100"/>
      <c r="I947" s="50"/>
      <c r="J947" s="100"/>
      <c r="K947" s="100"/>
    </row>
    <row r="948">
      <c r="C948" s="100"/>
      <c r="I948" s="50"/>
      <c r="J948" s="100"/>
      <c r="K948" s="100"/>
    </row>
    <row r="949">
      <c r="C949" s="100"/>
      <c r="I949" s="50"/>
      <c r="J949" s="100"/>
      <c r="K949" s="100"/>
    </row>
    <row r="950">
      <c r="C950" s="100"/>
      <c r="I950" s="50"/>
      <c r="J950" s="100"/>
      <c r="K950" s="100"/>
    </row>
    <row r="951">
      <c r="C951" s="100"/>
      <c r="I951" s="50"/>
      <c r="J951" s="100"/>
      <c r="K951" s="100"/>
    </row>
    <row r="952">
      <c r="C952" s="100"/>
      <c r="I952" s="50"/>
      <c r="J952" s="100"/>
      <c r="K952" s="100"/>
    </row>
    <row r="953">
      <c r="C953" s="100"/>
      <c r="I953" s="50"/>
      <c r="J953" s="100"/>
      <c r="K953" s="100"/>
    </row>
    <row r="954">
      <c r="C954" s="100"/>
      <c r="I954" s="50"/>
      <c r="J954" s="100"/>
      <c r="K954" s="100"/>
    </row>
    <row r="955">
      <c r="C955" s="100"/>
      <c r="I955" s="50"/>
      <c r="J955" s="100"/>
      <c r="K955" s="100"/>
    </row>
    <row r="956">
      <c r="C956" s="100"/>
      <c r="I956" s="50"/>
      <c r="J956" s="100"/>
      <c r="K956" s="100"/>
    </row>
    <row r="957">
      <c r="C957" s="100"/>
      <c r="I957" s="50"/>
      <c r="J957" s="100"/>
      <c r="K957" s="100"/>
    </row>
    <row r="958">
      <c r="C958" s="100"/>
      <c r="I958" s="50"/>
      <c r="J958" s="100"/>
      <c r="K958" s="100"/>
    </row>
    <row r="959">
      <c r="C959" s="100"/>
      <c r="I959" s="50"/>
      <c r="J959" s="100"/>
      <c r="K959" s="100"/>
    </row>
    <row r="960">
      <c r="C960" s="100"/>
      <c r="I960" s="50"/>
      <c r="J960" s="100"/>
      <c r="K960" s="100"/>
    </row>
    <row r="961">
      <c r="C961" s="100"/>
      <c r="I961" s="50"/>
      <c r="J961" s="100"/>
      <c r="K961" s="100"/>
    </row>
    <row r="962">
      <c r="C962" s="100"/>
      <c r="I962" s="50"/>
      <c r="J962" s="100"/>
      <c r="K962" s="100"/>
    </row>
    <row r="963">
      <c r="C963" s="100"/>
      <c r="I963" s="50"/>
      <c r="J963" s="100"/>
      <c r="K963" s="100"/>
    </row>
    <row r="964">
      <c r="C964" s="100"/>
      <c r="I964" s="50"/>
      <c r="J964" s="100"/>
      <c r="K964" s="100"/>
    </row>
    <row r="965">
      <c r="C965" s="100"/>
      <c r="I965" s="50"/>
      <c r="J965" s="100"/>
      <c r="K965" s="100"/>
    </row>
    <row r="966">
      <c r="C966" s="100"/>
      <c r="I966" s="50"/>
      <c r="J966" s="100"/>
      <c r="K966" s="100"/>
    </row>
    <row r="967">
      <c r="C967" s="100"/>
      <c r="I967" s="50"/>
      <c r="J967" s="100"/>
      <c r="K967" s="100"/>
    </row>
    <row r="968">
      <c r="C968" s="100"/>
      <c r="I968" s="50"/>
      <c r="J968" s="100"/>
      <c r="K968" s="100"/>
    </row>
    <row r="969">
      <c r="C969" s="100"/>
      <c r="I969" s="50"/>
      <c r="J969" s="100"/>
      <c r="K969" s="100"/>
    </row>
    <row r="970">
      <c r="C970" s="100"/>
      <c r="I970" s="50"/>
      <c r="J970" s="100"/>
      <c r="K970" s="100"/>
    </row>
    <row r="971">
      <c r="C971" s="100"/>
      <c r="I971" s="50"/>
      <c r="J971" s="100"/>
      <c r="K971" s="100"/>
    </row>
    <row r="972">
      <c r="C972" s="100"/>
      <c r="I972" s="50"/>
      <c r="J972" s="100"/>
      <c r="K972" s="100"/>
    </row>
    <row r="973">
      <c r="C973" s="100"/>
      <c r="I973" s="50"/>
      <c r="J973" s="100"/>
      <c r="K973" s="100"/>
    </row>
    <row r="974">
      <c r="C974" s="100"/>
      <c r="I974" s="50"/>
      <c r="J974" s="100"/>
      <c r="K974" s="100"/>
    </row>
    <row r="975">
      <c r="C975" s="100"/>
      <c r="I975" s="50"/>
      <c r="J975" s="100"/>
      <c r="K975" s="100"/>
    </row>
    <row r="976">
      <c r="C976" s="100"/>
      <c r="I976" s="50"/>
      <c r="J976" s="100"/>
      <c r="K976" s="100"/>
    </row>
    <row r="977">
      <c r="C977" s="100"/>
      <c r="I977" s="50"/>
      <c r="J977" s="100"/>
      <c r="K977" s="100"/>
    </row>
    <row r="978">
      <c r="C978" s="100"/>
      <c r="I978" s="50"/>
      <c r="J978" s="100"/>
      <c r="K978" s="100"/>
    </row>
    <row r="979">
      <c r="C979" s="100"/>
      <c r="I979" s="50"/>
      <c r="J979" s="100"/>
      <c r="K979" s="100"/>
    </row>
    <row r="980">
      <c r="C980" s="100"/>
      <c r="I980" s="50"/>
      <c r="J980" s="100"/>
      <c r="K980" s="100"/>
    </row>
    <row r="981">
      <c r="C981" s="100"/>
      <c r="I981" s="50"/>
      <c r="J981" s="100"/>
      <c r="K981" s="100"/>
    </row>
    <row r="982">
      <c r="C982" s="100"/>
      <c r="I982" s="50"/>
      <c r="J982" s="100"/>
      <c r="K982" s="100"/>
    </row>
    <row r="983">
      <c r="C983" s="100"/>
      <c r="I983" s="50"/>
      <c r="J983" s="100"/>
      <c r="K983" s="100"/>
    </row>
    <row r="984">
      <c r="C984" s="100"/>
      <c r="I984" s="50"/>
      <c r="J984" s="100"/>
      <c r="K984" s="100"/>
    </row>
    <row r="985">
      <c r="C985" s="100"/>
      <c r="I985" s="50"/>
      <c r="J985" s="100"/>
      <c r="K985" s="100"/>
    </row>
    <row r="986">
      <c r="C986" s="100"/>
      <c r="I986" s="50"/>
      <c r="J986" s="100"/>
      <c r="K986" s="100"/>
    </row>
    <row r="987">
      <c r="C987" s="100"/>
      <c r="I987" s="50"/>
      <c r="J987" s="100"/>
      <c r="K987" s="100"/>
    </row>
    <row r="988">
      <c r="C988" s="100"/>
      <c r="I988" s="50"/>
      <c r="J988" s="100"/>
      <c r="K988" s="100"/>
    </row>
    <row r="989">
      <c r="C989" s="100"/>
      <c r="I989" s="50"/>
      <c r="J989" s="100"/>
      <c r="K989" s="100"/>
    </row>
    <row r="990">
      <c r="C990" s="100"/>
      <c r="I990" s="50"/>
      <c r="J990" s="100"/>
      <c r="K990" s="100"/>
    </row>
    <row r="991">
      <c r="C991" s="100"/>
      <c r="I991" s="50"/>
      <c r="J991" s="100"/>
      <c r="K991" s="100"/>
    </row>
    <row r="992">
      <c r="C992" s="100"/>
      <c r="I992" s="50"/>
      <c r="J992" s="100"/>
      <c r="K992" s="100"/>
    </row>
    <row r="993">
      <c r="C993" s="100"/>
      <c r="I993" s="50"/>
      <c r="J993" s="100"/>
      <c r="K993" s="100"/>
    </row>
    <row r="994">
      <c r="C994" s="100"/>
      <c r="I994" s="50"/>
      <c r="J994" s="100"/>
      <c r="K994" s="100"/>
    </row>
    <row r="995">
      <c r="C995" s="100"/>
      <c r="I995" s="50"/>
      <c r="J995" s="100"/>
      <c r="K995" s="100"/>
    </row>
    <row r="996">
      <c r="C996" s="100"/>
      <c r="I996" s="50"/>
      <c r="J996" s="100"/>
      <c r="K996" s="100"/>
    </row>
    <row r="997">
      <c r="C997" s="100"/>
      <c r="I997" s="50"/>
      <c r="J997" s="100"/>
      <c r="K997" s="100"/>
    </row>
    <row r="998">
      <c r="C998" s="100"/>
      <c r="I998" s="50"/>
      <c r="J998" s="100"/>
      <c r="K998" s="100"/>
    </row>
    <row r="999">
      <c r="C999" s="100"/>
      <c r="I999" s="50"/>
      <c r="J999" s="100"/>
      <c r="K999" s="100"/>
    </row>
    <row r="1000">
      <c r="C1000" s="100"/>
      <c r="I1000" s="50"/>
      <c r="J1000" s="100"/>
      <c r="K1000" s="100"/>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8" t="s">
        <v>0</v>
      </c>
      <c r="B1" s="179" t="s">
        <v>1</v>
      </c>
      <c r="C1" s="171" t="s">
        <v>3</v>
      </c>
      <c r="D1" s="179" t="s">
        <v>1888</v>
      </c>
      <c r="E1" s="179" t="s">
        <v>4</v>
      </c>
      <c r="F1" s="179" t="s">
        <v>6</v>
      </c>
      <c r="G1" s="171" t="s">
        <v>7</v>
      </c>
      <c r="H1" s="171" t="s">
        <v>8</v>
      </c>
      <c r="I1" s="172" t="s">
        <v>9</v>
      </c>
      <c r="J1" s="173" t="s">
        <v>10</v>
      </c>
    </row>
    <row r="2">
      <c r="A2" s="20" t="s">
        <v>1889</v>
      </c>
      <c r="B2" s="180" t="s">
        <v>1890</v>
      </c>
      <c r="C2" s="59" t="s">
        <v>1835</v>
      </c>
      <c r="D2" s="53"/>
      <c r="E2" s="53" t="s">
        <v>1891</v>
      </c>
      <c r="F2" s="57" t="s">
        <v>1892</v>
      </c>
      <c r="G2" s="59">
        <v>1.0</v>
      </c>
      <c r="H2" s="59" t="s">
        <v>92</v>
      </c>
      <c r="I2" s="59" t="s">
        <v>69</v>
      </c>
    </row>
    <row r="3">
      <c r="A3" s="53" t="s">
        <v>1893</v>
      </c>
      <c r="B3" s="180" t="s">
        <v>1890</v>
      </c>
      <c r="C3" s="59" t="s">
        <v>35</v>
      </c>
      <c r="D3" s="53" t="s">
        <v>1894</v>
      </c>
      <c r="E3" s="74" t="s">
        <v>1895</v>
      </c>
      <c r="F3" s="57" t="s">
        <v>1892</v>
      </c>
      <c r="G3" s="59">
        <v>1.0</v>
      </c>
      <c r="H3" s="59" t="s">
        <v>56</v>
      </c>
      <c r="I3" s="59" t="s">
        <v>39</v>
      </c>
    </row>
    <row r="4">
      <c r="A4" s="53" t="s">
        <v>1896</v>
      </c>
      <c r="B4" s="180" t="s">
        <v>1890</v>
      </c>
      <c r="C4" s="59" t="s">
        <v>1897</v>
      </c>
      <c r="D4" s="53" t="s">
        <v>1894</v>
      </c>
      <c r="E4" s="53" t="s">
        <v>1898</v>
      </c>
      <c r="F4" s="57" t="s">
        <v>1892</v>
      </c>
      <c r="G4" s="59">
        <v>3.0</v>
      </c>
      <c r="H4" s="59" t="s">
        <v>208</v>
      </c>
      <c r="I4" s="59" t="s">
        <v>69</v>
      </c>
    </row>
    <row r="5">
      <c r="A5" s="53" t="s">
        <v>1899</v>
      </c>
      <c r="B5" s="181" t="s">
        <v>1890</v>
      </c>
      <c r="C5" s="59" t="s">
        <v>77</v>
      </c>
      <c r="D5" s="53" t="s">
        <v>1900</v>
      </c>
      <c r="E5" s="53" t="s">
        <v>1901</v>
      </c>
      <c r="F5" s="57" t="s">
        <v>1892</v>
      </c>
      <c r="G5" s="59">
        <v>5.0</v>
      </c>
      <c r="H5" s="59" t="s">
        <v>1902</v>
      </c>
      <c r="I5" s="59" t="s">
        <v>39</v>
      </c>
    </row>
    <row r="6">
      <c r="A6" s="31" t="s">
        <v>1903</v>
      </c>
      <c r="B6" s="182" t="s">
        <v>1904</v>
      </c>
      <c r="C6" s="68" t="s">
        <v>407</v>
      </c>
      <c r="D6" s="31"/>
      <c r="E6" s="31" t="s">
        <v>1905</v>
      </c>
      <c r="F6" s="33" t="s">
        <v>1892</v>
      </c>
      <c r="G6" s="68">
        <v>0.0</v>
      </c>
      <c r="H6" s="68" t="s">
        <v>1906</v>
      </c>
      <c r="I6" s="68" t="s">
        <v>39</v>
      </c>
    </row>
    <row r="7">
      <c r="A7" s="53" t="s">
        <v>1907</v>
      </c>
      <c r="B7" s="183" t="s">
        <v>1904</v>
      </c>
      <c r="C7" s="59" t="s">
        <v>1835</v>
      </c>
      <c r="D7" s="53"/>
      <c r="E7" s="53" t="s">
        <v>1908</v>
      </c>
      <c r="F7" s="57" t="s">
        <v>1892</v>
      </c>
      <c r="G7" s="59">
        <v>3.0</v>
      </c>
      <c r="H7" s="59" t="s">
        <v>1909</v>
      </c>
      <c r="I7" s="59" t="s">
        <v>69</v>
      </c>
    </row>
    <row r="8">
      <c r="A8" s="53" t="s">
        <v>1910</v>
      </c>
      <c r="B8" s="183" t="s">
        <v>1904</v>
      </c>
      <c r="C8" s="59" t="s">
        <v>407</v>
      </c>
      <c r="D8" s="53"/>
      <c r="E8" s="53" t="s">
        <v>1911</v>
      </c>
      <c r="F8" s="57" t="s">
        <v>1892</v>
      </c>
      <c r="G8" s="59">
        <v>4.0</v>
      </c>
      <c r="H8" s="59" t="s">
        <v>558</v>
      </c>
      <c r="I8" s="59" t="s">
        <v>33</v>
      </c>
    </row>
    <row r="9">
      <c r="A9" s="53" t="s">
        <v>1912</v>
      </c>
      <c r="B9" s="183" t="s">
        <v>1904</v>
      </c>
      <c r="C9" s="59" t="s">
        <v>1835</v>
      </c>
      <c r="D9" s="53"/>
      <c r="E9" s="53" t="s">
        <v>1913</v>
      </c>
      <c r="F9" s="57" t="s">
        <v>1892</v>
      </c>
      <c r="G9" s="59">
        <v>5.0</v>
      </c>
      <c r="H9" s="59" t="s">
        <v>542</v>
      </c>
      <c r="I9" s="59" t="s">
        <v>39</v>
      </c>
    </row>
    <row r="10">
      <c r="A10" s="53" t="s">
        <v>655</v>
      </c>
      <c r="B10" s="182" t="s">
        <v>1904</v>
      </c>
      <c r="C10" s="68" t="s">
        <v>656</v>
      </c>
      <c r="D10" s="31"/>
      <c r="E10" s="31" t="s">
        <v>1914</v>
      </c>
      <c r="F10" s="33" t="s">
        <v>1892</v>
      </c>
      <c r="G10" s="68">
        <v>6.0</v>
      </c>
      <c r="H10" s="68" t="s">
        <v>1915</v>
      </c>
      <c r="I10" s="68" t="s">
        <v>69</v>
      </c>
    </row>
    <row r="11">
      <c r="A11" s="53"/>
      <c r="B11" s="184" t="s">
        <v>1916</v>
      </c>
      <c r="C11" s="59" t="s">
        <v>656</v>
      </c>
      <c r="D11" s="53"/>
      <c r="E11" s="53" t="s">
        <v>1917</v>
      </c>
      <c r="F11" s="57" t="s">
        <v>1892</v>
      </c>
      <c r="G11" s="59">
        <v>1.0</v>
      </c>
      <c r="H11" s="59" t="s">
        <v>1373</v>
      </c>
      <c r="I11" s="59" t="s">
        <v>39</v>
      </c>
    </row>
    <row r="12">
      <c r="A12" s="53" t="s">
        <v>1918</v>
      </c>
      <c r="B12" s="184" t="s">
        <v>1916</v>
      </c>
      <c r="C12" s="59" t="s">
        <v>656</v>
      </c>
      <c r="D12" s="53"/>
      <c r="E12" s="53" t="s">
        <v>1919</v>
      </c>
      <c r="F12" s="57" t="s">
        <v>1892</v>
      </c>
      <c r="G12" s="59">
        <v>2.0</v>
      </c>
      <c r="H12" s="59" t="s">
        <v>1350</v>
      </c>
      <c r="I12" s="59" t="s">
        <v>39</v>
      </c>
    </row>
    <row r="13">
      <c r="A13" s="53" t="s">
        <v>1920</v>
      </c>
      <c r="B13" s="184" t="s">
        <v>1916</v>
      </c>
      <c r="C13" s="59" t="s">
        <v>1921</v>
      </c>
      <c r="D13" s="53"/>
      <c r="E13" s="185" t="s">
        <v>1922</v>
      </c>
      <c r="F13" s="57" t="s">
        <v>1892</v>
      </c>
      <c r="G13" s="59">
        <v>3.0</v>
      </c>
      <c r="H13" s="59" t="s">
        <v>1373</v>
      </c>
      <c r="I13" s="59" t="s">
        <v>69</v>
      </c>
    </row>
    <row r="14">
      <c r="A14" s="31" t="s">
        <v>1923</v>
      </c>
      <c r="B14" s="186" t="s">
        <v>1916</v>
      </c>
      <c r="C14" s="59" t="s">
        <v>77</v>
      </c>
      <c r="D14" s="53"/>
      <c r="E14" s="53" t="s">
        <v>1924</v>
      </c>
      <c r="F14" s="57" t="s">
        <v>1892</v>
      </c>
      <c r="G14" s="59">
        <v>4.0</v>
      </c>
      <c r="H14" s="59" t="s">
        <v>1288</v>
      </c>
      <c r="I14" s="59" t="s">
        <v>33</v>
      </c>
    </row>
    <row r="15">
      <c r="A15" s="53" t="s">
        <v>1925</v>
      </c>
      <c r="B15" s="184" t="s">
        <v>1916</v>
      </c>
      <c r="C15" s="59" t="s">
        <v>1243</v>
      </c>
      <c r="D15" s="53"/>
      <c r="E15" s="33" t="s">
        <v>1926</v>
      </c>
      <c r="F15" s="33" t="s">
        <v>1892</v>
      </c>
      <c r="G15" s="59">
        <v>6.0</v>
      </c>
      <c r="H15" s="59" t="s">
        <v>1927</v>
      </c>
      <c r="I15" s="59" t="s">
        <v>69</v>
      </c>
    </row>
    <row r="16">
      <c r="A16" s="20" t="s">
        <v>1928</v>
      </c>
      <c r="B16" s="92" t="s">
        <v>1916</v>
      </c>
      <c r="C16" s="19" t="s">
        <v>1929</v>
      </c>
      <c r="F16" s="20" t="s">
        <v>1892</v>
      </c>
      <c r="G16" s="100"/>
      <c r="I16" s="19" t="s">
        <v>39</v>
      </c>
    </row>
    <row r="17">
      <c r="A17" s="53" t="s">
        <v>1284</v>
      </c>
      <c r="B17" s="187" t="s">
        <v>1930</v>
      </c>
      <c r="C17" s="59" t="s">
        <v>44</v>
      </c>
      <c r="D17" s="53"/>
      <c r="E17" s="185" t="s">
        <v>1931</v>
      </c>
      <c r="F17" s="57" t="s">
        <v>1892</v>
      </c>
      <c r="G17" s="59">
        <v>1.0</v>
      </c>
      <c r="H17" s="59" t="s">
        <v>1491</v>
      </c>
      <c r="I17" s="59" t="s">
        <v>69</v>
      </c>
    </row>
    <row r="18">
      <c r="A18" s="53" t="s">
        <v>1932</v>
      </c>
      <c r="B18" s="187" t="s">
        <v>1930</v>
      </c>
      <c r="C18" s="59" t="s">
        <v>1521</v>
      </c>
      <c r="D18" s="53"/>
      <c r="E18" s="53" t="s">
        <v>1933</v>
      </c>
      <c r="F18" s="57" t="s">
        <v>1892</v>
      </c>
      <c r="G18" s="59">
        <v>1.0</v>
      </c>
      <c r="H18" s="59" t="s">
        <v>1934</v>
      </c>
      <c r="I18" s="59" t="s">
        <v>39</v>
      </c>
    </row>
    <row r="19">
      <c r="A19" s="10" t="s">
        <v>1935</v>
      </c>
      <c r="B19" s="70"/>
      <c r="C19" s="19"/>
      <c r="E19" s="20"/>
      <c r="F19" s="20" t="s">
        <v>1892</v>
      </c>
      <c r="G19" s="19"/>
      <c r="H19" s="19"/>
      <c r="I19" s="12"/>
    </row>
    <row r="20">
      <c r="A20" s="27" t="s">
        <v>1936</v>
      </c>
      <c r="B20" s="70" t="s">
        <v>1916</v>
      </c>
      <c r="C20" s="24" t="s">
        <v>360</v>
      </c>
      <c r="D20" s="10"/>
      <c r="E20" s="10" t="s">
        <v>1937</v>
      </c>
      <c r="F20" s="10"/>
      <c r="G20" s="12">
        <v>2.0</v>
      </c>
      <c r="H20" s="12" t="s">
        <v>1300</v>
      </c>
      <c r="I20" s="24" t="s">
        <v>33</v>
      </c>
    </row>
    <row r="21">
      <c r="A21" s="20" t="s">
        <v>1938</v>
      </c>
      <c r="B21" s="18" t="s">
        <v>1890</v>
      </c>
      <c r="C21" s="19" t="s">
        <v>35</v>
      </c>
      <c r="D21" s="20" t="s">
        <v>1939</v>
      </c>
      <c r="E21" s="20" t="s">
        <v>1940</v>
      </c>
      <c r="G21" s="19">
        <v>2.0</v>
      </c>
      <c r="I21" s="100"/>
    </row>
    <row r="22">
      <c r="A22" s="20" t="s">
        <v>1941</v>
      </c>
      <c r="B22" s="20" t="s">
        <v>1942</v>
      </c>
      <c r="C22" s="100"/>
      <c r="G22" s="100"/>
      <c r="I22" s="19" t="s">
        <v>69</v>
      </c>
    </row>
    <row r="23">
      <c r="A23" s="20" t="s">
        <v>1943</v>
      </c>
      <c r="B23" s="20" t="s">
        <v>1944</v>
      </c>
      <c r="C23" s="100"/>
      <c r="G23" s="100"/>
      <c r="I23" s="100"/>
    </row>
    <row r="24">
      <c r="A24" s="20" t="s">
        <v>1936</v>
      </c>
      <c r="B24" s="20" t="s">
        <v>1916</v>
      </c>
      <c r="C24" s="19"/>
      <c r="G24" s="19"/>
      <c r="H24" s="19"/>
      <c r="I24" s="19"/>
    </row>
    <row r="25">
      <c r="A25" s="20" t="s">
        <v>1945</v>
      </c>
      <c r="B25" s="92" t="s">
        <v>1916</v>
      </c>
      <c r="C25" s="19" t="s">
        <v>1946</v>
      </c>
      <c r="E25" s="20" t="s">
        <v>1947</v>
      </c>
      <c r="F25" s="20" t="s">
        <v>1532</v>
      </c>
      <c r="G25" s="19">
        <v>0.0</v>
      </c>
      <c r="H25" s="19" t="s">
        <v>1324</v>
      </c>
      <c r="I25" s="19" t="s">
        <v>33</v>
      </c>
    </row>
    <row r="26">
      <c r="A26" s="20" t="s">
        <v>1948</v>
      </c>
    </row>
    <row r="27">
      <c r="C27" s="100"/>
      <c r="E27" s="20" t="s">
        <v>1949</v>
      </c>
    </row>
    <row r="28">
      <c r="E28" s="20" t="s">
        <v>1950</v>
      </c>
    </row>
    <row r="29">
      <c r="E29" s="20" t="s">
        <v>1951</v>
      </c>
    </row>
    <row r="30">
      <c r="E30" s="20" t="s">
        <v>1952</v>
      </c>
    </row>
    <row r="31">
      <c r="E31" s="20" t="s">
        <v>1953</v>
      </c>
    </row>
    <row r="32">
      <c r="E32" s="20" t="s">
        <v>1954</v>
      </c>
    </row>
    <row r="33">
      <c r="E33" s="20" t="s">
        <v>1955</v>
      </c>
    </row>
    <row r="34">
      <c r="E34" s="20" t="s">
        <v>1956</v>
      </c>
    </row>
    <row r="35">
      <c r="A35" s="20" t="s">
        <v>1957</v>
      </c>
      <c r="B35" s="83" t="s">
        <v>1767</v>
      </c>
      <c r="C35" s="12" t="s">
        <v>1958</v>
      </c>
      <c r="D35" s="27"/>
      <c r="E35" s="10" t="s">
        <v>1959</v>
      </c>
      <c r="F35" s="10" t="s">
        <v>697</v>
      </c>
      <c r="G35" s="12">
        <v>2.0</v>
      </c>
      <c r="H35" s="12" t="s">
        <v>1086</v>
      </c>
      <c r="I35" s="12" t="s">
        <v>69</v>
      </c>
    </row>
    <row r="36">
      <c r="A36" s="20" t="s">
        <v>1960</v>
      </c>
      <c r="B36" s="81" t="s">
        <v>1767</v>
      </c>
      <c r="C36" s="19" t="s">
        <v>1835</v>
      </c>
      <c r="D36" s="20" t="s">
        <v>31</v>
      </c>
      <c r="F36" s="19">
        <v>2.0</v>
      </c>
      <c r="G36" s="19" t="s">
        <v>1079</v>
      </c>
      <c r="H36" s="19" t="s">
        <v>69</v>
      </c>
    </row>
    <row r="37">
      <c r="A37" s="53" t="s">
        <v>1284</v>
      </c>
      <c r="B37" s="20" t="s">
        <v>1961</v>
      </c>
      <c r="C37" s="20" t="s">
        <v>44</v>
      </c>
      <c r="D37" s="20" t="s">
        <v>1962</v>
      </c>
      <c r="F37" s="19">
        <v>0.0</v>
      </c>
      <c r="G37" s="19" t="s">
        <v>1264</v>
      </c>
      <c r="H37" s="19" t="s">
        <v>69</v>
      </c>
      <c r="I37" s="20" t="s">
        <v>1963</v>
      </c>
    </row>
    <row r="38">
      <c r="E38" s="20" t="s">
        <v>1964</v>
      </c>
    </row>
    <row r="39">
      <c r="E39" s="20" t="s">
        <v>1965</v>
      </c>
    </row>
    <row r="42">
      <c r="D42" s="14" t="s">
        <v>1949</v>
      </c>
    </row>
    <row r="43">
      <c r="D43" s="14" t="s">
        <v>1950</v>
      </c>
    </row>
    <row r="44">
      <c r="D44" s="14" t="s">
        <v>1951</v>
      </c>
    </row>
    <row r="45">
      <c r="D45" s="14" t="s">
        <v>1952</v>
      </c>
    </row>
    <row r="46">
      <c r="D46" s="14" t="s">
        <v>1953</v>
      </c>
    </row>
    <row r="47">
      <c r="D47" s="20" t="s">
        <v>1966</v>
      </c>
    </row>
    <row r="48">
      <c r="D48" s="20" t="s">
        <v>1967</v>
      </c>
    </row>
    <row r="49">
      <c r="D49" s="20" t="s">
        <v>1968</v>
      </c>
    </row>
    <row r="53">
      <c r="D53" s="20" t="s">
        <v>1969</v>
      </c>
    </row>
    <row r="54">
      <c r="D54" s="20" t="s">
        <v>1970</v>
      </c>
    </row>
    <row r="55">
      <c r="D55" s="20" t="s">
        <v>1852</v>
      </c>
    </row>
    <row r="56">
      <c r="A56" s="20" t="s">
        <v>1971</v>
      </c>
      <c r="D56" s="20" t="s">
        <v>1972</v>
      </c>
    </row>
    <row r="57">
      <c r="D57" s="20" t="s">
        <v>1973</v>
      </c>
    </row>
    <row r="58">
      <c r="A58" s="20" t="s">
        <v>1974</v>
      </c>
      <c r="D58" s="20" t="s">
        <v>1975</v>
      </c>
    </row>
    <row r="59">
      <c r="A59" s="20" t="s">
        <v>1865</v>
      </c>
      <c r="D59" s="20" t="s">
        <v>1866</v>
      </c>
    </row>
    <row r="62">
      <c r="D62" s="20" t="s">
        <v>1976</v>
      </c>
    </row>
    <row r="63">
      <c r="D63" s="20" t="s">
        <v>1977</v>
      </c>
    </row>
    <row r="65">
      <c r="D65" s="20" t="s">
        <v>1978</v>
      </c>
    </row>
    <row r="67">
      <c r="D67" s="20" t="s">
        <v>1979</v>
      </c>
    </row>
    <row r="68">
      <c r="D68" s="20" t="s">
        <v>1980</v>
      </c>
    </row>
    <row r="69">
      <c r="B69" s="20" t="s">
        <v>1981</v>
      </c>
    </row>
    <row r="71">
      <c r="D71" s="20" t="s">
        <v>1982</v>
      </c>
    </row>
    <row r="72">
      <c r="A72" s="20" t="s">
        <v>1983</v>
      </c>
      <c r="D72" s="20" t="s">
        <v>1984</v>
      </c>
    </row>
    <row r="73">
      <c r="D73" s="20" t="s">
        <v>1985</v>
      </c>
    </row>
    <row r="74">
      <c r="D74" s="20" t="s">
        <v>1986</v>
      </c>
    </row>
    <row r="75">
      <c r="A75" s="20" t="s">
        <v>1269</v>
      </c>
      <c r="D75" s="20" t="s">
        <v>1987</v>
      </c>
    </row>
    <row r="76">
      <c r="D76" s="20" t="s">
        <v>1988</v>
      </c>
    </row>
    <row r="77">
      <c r="D77" s="20" t="s">
        <v>1989</v>
      </c>
    </row>
    <row r="78">
      <c r="D78" s="20" t="s">
        <v>1990</v>
      </c>
    </row>
    <row r="79">
      <c r="D79" s="20" t="s">
        <v>1991</v>
      </c>
    </row>
    <row r="80">
      <c r="D80" s="20" t="s">
        <v>1992</v>
      </c>
    </row>
    <row r="81">
      <c r="D81" s="20" t="s">
        <v>1993</v>
      </c>
    </row>
    <row r="82">
      <c r="D82" s="20" t="s">
        <v>1994</v>
      </c>
    </row>
    <row r="84">
      <c r="D84" s="20" t="s">
        <v>1995</v>
      </c>
    </row>
    <row r="86">
      <c r="D86" s="20" t="s">
        <v>1996</v>
      </c>
    </row>
    <row r="87">
      <c r="D87" s="20" t="s">
        <v>1997</v>
      </c>
    </row>
    <row r="88">
      <c r="D88" s="20" t="s">
        <v>1998</v>
      </c>
    </row>
    <row r="89">
      <c r="D89" s="20" t="s">
        <v>1999</v>
      </c>
    </row>
    <row r="90">
      <c r="D90" s="20" t="s">
        <v>2000</v>
      </c>
    </row>
    <row r="91">
      <c r="D91" s="20" t="s">
        <v>2001</v>
      </c>
    </row>
    <row r="93">
      <c r="D93" s="20" t="s">
        <v>2002</v>
      </c>
    </row>
    <row r="94">
      <c r="D94" s="20" t="s">
        <v>2003</v>
      </c>
    </row>
    <row r="95">
      <c r="E95" s="20" t="s">
        <v>2004</v>
      </c>
    </row>
    <row r="96">
      <c r="D96" s="20" t="s">
        <v>2005</v>
      </c>
    </row>
    <row r="97">
      <c r="D97" s="20" t="s">
        <v>2006</v>
      </c>
    </row>
    <row r="98">
      <c r="A98" s="20" t="s">
        <v>2007</v>
      </c>
      <c r="D98" s="20" t="s">
        <v>2008</v>
      </c>
    </row>
    <row r="99">
      <c r="D99" s="33" t="s">
        <v>1807</v>
      </c>
    </row>
    <row r="100">
      <c r="D100" s="20" t="s">
        <v>2009</v>
      </c>
    </row>
    <row r="101">
      <c r="A101" s="20" t="s">
        <v>2010</v>
      </c>
      <c r="D101" s="20" t="s">
        <v>2011</v>
      </c>
    </row>
    <row r="102">
      <c r="D102" s="188" t="s">
        <v>2012</v>
      </c>
    </row>
    <row r="103">
      <c r="E103" s="20" t="s">
        <v>2013</v>
      </c>
    </row>
    <row r="104">
      <c r="A104" s="20" t="s">
        <v>2014</v>
      </c>
      <c r="E104" s="20" t="s">
        <v>2015</v>
      </c>
    </row>
    <row r="105">
      <c r="E105" s="20" t="s">
        <v>2016</v>
      </c>
    </row>
    <row r="106">
      <c r="A106" s="27"/>
      <c r="B106" s="20" t="s">
        <v>2017</v>
      </c>
      <c r="D106" s="20" t="s">
        <v>2018</v>
      </c>
      <c r="F106" s="10"/>
      <c r="G106" s="10"/>
      <c r="H106" s="10"/>
      <c r="I106" s="189"/>
      <c r="J106" s="12"/>
      <c r="K106" s="190"/>
      <c r="L106" s="24"/>
    </row>
    <row r="107">
      <c r="A107" s="20" t="s">
        <v>2019</v>
      </c>
      <c r="I107" s="20" t="s">
        <v>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4" max="4" width="107.29"/>
  </cols>
  <sheetData>
    <row r="1">
      <c r="A1" s="191" t="s">
        <v>2020</v>
      </c>
      <c r="B1" s="116"/>
      <c r="C1" s="116"/>
      <c r="D1" s="116"/>
      <c r="E1" s="116"/>
      <c r="F1" s="116"/>
      <c r="G1" s="116"/>
      <c r="H1" s="116"/>
      <c r="I1" s="20"/>
      <c r="J1" s="20"/>
      <c r="K1" s="20"/>
    </row>
    <row r="2">
      <c r="A2" s="116" t="s">
        <v>2021</v>
      </c>
      <c r="B2" s="116" t="s">
        <v>2022</v>
      </c>
      <c r="C2" s="116" t="s">
        <v>2023</v>
      </c>
      <c r="D2" s="116" t="s">
        <v>2024</v>
      </c>
      <c r="E2" s="116" t="s">
        <v>7</v>
      </c>
      <c r="F2" s="116" t="s">
        <v>2025</v>
      </c>
      <c r="G2" s="116" t="s">
        <v>9</v>
      </c>
      <c r="H2" s="116" t="s">
        <v>2026</v>
      </c>
      <c r="I2" s="20" t="s">
        <v>2027</v>
      </c>
      <c r="J2" s="20" t="s">
        <v>2028</v>
      </c>
      <c r="K2" s="20" t="s">
        <v>2029</v>
      </c>
    </row>
    <row r="3">
      <c r="A3" s="10" t="s">
        <v>1125</v>
      </c>
      <c r="B3" s="10" t="s">
        <v>14</v>
      </c>
      <c r="C3" s="12" t="s">
        <v>1048</v>
      </c>
      <c r="D3" s="10" t="s">
        <v>1126</v>
      </c>
      <c r="E3" s="12">
        <v>0.0</v>
      </c>
      <c r="F3" s="12" t="s">
        <v>1106</v>
      </c>
      <c r="G3" s="12" t="s">
        <v>33</v>
      </c>
      <c r="H3" s="20">
        <v>2.0</v>
      </c>
      <c r="J3" s="14">
        <f t="shared" ref="J3:J23" si="1">H3*E3</f>
        <v>0</v>
      </c>
      <c r="K3" s="20" t="s">
        <v>2030</v>
      </c>
    </row>
    <row r="4">
      <c r="A4" s="20" t="s">
        <v>487</v>
      </c>
      <c r="B4" s="10" t="s">
        <v>11</v>
      </c>
      <c r="C4" s="12" t="s">
        <v>44</v>
      </c>
      <c r="D4" s="10" t="s">
        <v>488</v>
      </c>
      <c r="E4" s="12">
        <v>1.0</v>
      </c>
      <c r="F4" s="45" t="s">
        <v>453</v>
      </c>
      <c r="G4" s="12" t="s">
        <v>33</v>
      </c>
      <c r="H4" s="20">
        <v>1.0</v>
      </c>
      <c r="J4" s="14">
        <f t="shared" si="1"/>
        <v>1</v>
      </c>
      <c r="K4" s="20" t="s">
        <v>2030</v>
      </c>
    </row>
    <row r="5">
      <c r="A5" s="10" t="s">
        <v>1076</v>
      </c>
      <c r="B5" s="10" t="s">
        <v>14</v>
      </c>
      <c r="C5" s="12" t="s">
        <v>656</v>
      </c>
      <c r="D5" s="10" t="s">
        <v>1077</v>
      </c>
      <c r="E5" s="12">
        <v>1.0</v>
      </c>
      <c r="F5" s="12" t="s">
        <v>1079</v>
      </c>
      <c r="G5" s="12" t="s">
        <v>33</v>
      </c>
      <c r="H5" s="20">
        <v>1.0</v>
      </c>
      <c r="I5" s="20" t="s">
        <v>2031</v>
      </c>
      <c r="J5" s="14">
        <f t="shared" si="1"/>
        <v>1</v>
      </c>
      <c r="K5" s="20" t="s">
        <v>2030</v>
      </c>
    </row>
    <row r="6">
      <c r="A6" s="20" t="s">
        <v>1084</v>
      </c>
      <c r="B6" s="10" t="s">
        <v>14</v>
      </c>
      <c r="C6" s="12" t="s">
        <v>44</v>
      </c>
      <c r="D6" s="10" t="s">
        <v>61</v>
      </c>
      <c r="E6" s="12">
        <v>1.0</v>
      </c>
      <c r="F6" s="12" t="s">
        <v>1086</v>
      </c>
      <c r="G6" s="12" t="s">
        <v>33</v>
      </c>
      <c r="H6" s="20">
        <v>1.0</v>
      </c>
      <c r="J6" s="14">
        <f t="shared" si="1"/>
        <v>1</v>
      </c>
      <c r="K6" s="20" t="s">
        <v>2030</v>
      </c>
    </row>
    <row r="7">
      <c r="A7" s="10" t="s">
        <v>1187</v>
      </c>
      <c r="B7" s="10" t="s">
        <v>14</v>
      </c>
      <c r="C7" s="12" t="s">
        <v>44</v>
      </c>
      <c r="D7" s="10" t="s">
        <v>1188</v>
      </c>
      <c r="E7" s="12">
        <v>1.0</v>
      </c>
      <c r="F7" s="12" t="s">
        <v>1079</v>
      </c>
      <c r="G7" s="12" t="s">
        <v>69</v>
      </c>
      <c r="H7" s="20">
        <v>1.0</v>
      </c>
      <c r="I7" s="20" t="s">
        <v>2032</v>
      </c>
      <c r="J7" s="14">
        <f t="shared" si="1"/>
        <v>1</v>
      </c>
      <c r="K7" s="20" t="s">
        <v>2030</v>
      </c>
    </row>
    <row r="8">
      <c r="A8" s="22" t="s">
        <v>906</v>
      </c>
      <c r="B8" s="10" t="s">
        <v>907</v>
      </c>
      <c r="C8" s="12" t="s">
        <v>908</v>
      </c>
      <c r="D8" s="10"/>
      <c r="E8" s="12">
        <v>2.0</v>
      </c>
      <c r="F8" s="12" t="s">
        <v>910</v>
      </c>
      <c r="G8" s="12" t="s">
        <v>33</v>
      </c>
      <c r="H8" s="20">
        <v>2.0</v>
      </c>
      <c r="I8" s="20" t="s">
        <v>2031</v>
      </c>
      <c r="J8" s="14">
        <f t="shared" si="1"/>
        <v>4</v>
      </c>
      <c r="K8" s="20" t="s">
        <v>2030</v>
      </c>
    </row>
    <row r="9">
      <c r="A9" s="25" t="s">
        <v>1099</v>
      </c>
      <c r="B9" s="10" t="s">
        <v>14</v>
      </c>
      <c r="C9" s="12" t="s">
        <v>428</v>
      </c>
      <c r="D9" s="10" t="s">
        <v>1100</v>
      </c>
      <c r="E9" s="12">
        <v>2.0</v>
      </c>
      <c r="F9" s="12" t="s">
        <v>1102</v>
      </c>
      <c r="G9" s="12" t="s">
        <v>33</v>
      </c>
      <c r="H9" s="20">
        <v>2.0</v>
      </c>
      <c r="J9" s="14">
        <f t="shared" si="1"/>
        <v>4</v>
      </c>
      <c r="K9" s="20" t="s">
        <v>2030</v>
      </c>
    </row>
    <row r="10">
      <c r="A10" s="10" t="s">
        <v>950</v>
      </c>
      <c r="B10" s="28" t="s">
        <v>907</v>
      </c>
      <c r="C10" s="12" t="s">
        <v>951</v>
      </c>
      <c r="D10" s="10" t="s">
        <v>952</v>
      </c>
      <c r="E10" s="12">
        <v>2.0</v>
      </c>
      <c r="F10" s="12" t="s">
        <v>925</v>
      </c>
      <c r="G10" s="12" t="s">
        <v>69</v>
      </c>
      <c r="H10" s="20">
        <v>1.0</v>
      </c>
      <c r="I10" s="20" t="s">
        <v>2031</v>
      </c>
      <c r="J10" s="14">
        <f t="shared" si="1"/>
        <v>2</v>
      </c>
      <c r="K10" s="20" t="s">
        <v>2030</v>
      </c>
    </row>
    <row r="11">
      <c r="A11" s="10" t="s">
        <v>473</v>
      </c>
      <c r="B11" s="28" t="s">
        <v>11</v>
      </c>
      <c r="C11" s="12" t="s">
        <v>470</v>
      </c>
      <c r="E11" s="12">
        <v>3.0</v>
      </c>
      <c r="F11" s="12" t="s">
        <v>475</v>
      </c>
      <c r="G11" s="12" t="s">
        <v>33</v>
      </c>
      <c r="H11" s="20">
        <v>2.0</v>
      </c>
      <c r="J11" s="14">
        <f t="shared" si="1"/>
        <v>6</v>
      </c>
      <c r="K11" s="20" t="s">
        <v>2030</v>
      </c>
    </row>
    <row r="12">
      <c r="A12" s="10" t="s">
        <v>539</v>
      </c>
      <c r="B12" s="28" t="s">
        <v>11</v>
      </c>
      <c r="C12" s="12" t="s">
        <v>407</v>
      </c>
      <c r="D12" s="10" t="s">
        <v>540</v>
      </c>
      <c r="E12" s="12">
        <v>3.0</v>
      </c>
      <c r="F12" s="12" t="s">
        <v>542</v>
      </c>
      <c r="G12" s="19" t="s">
        <v>33</v>
      </c>
      <c r="H12" s="20">
        <v>2.0</v>
      </c>
      <c r="J12" s="14">
        <f t="shared" si="1"/>
        <v>6</v>
      </c>
      <c r="K12" s="20" t="s">
        <v>2030</v>
      </c>
    </row>
    <row r="13">
      <c r="A13" s="25" t="s">
        <v>1091</v>
      </c>
      <c r="B13" s="28" t="s">
        <v>14</v>
      </c>
      <c r="C13" s="12" t="s">
        <v>121</v>
      </c>
      <c r="D13" s="10" t="s">
        <v>1092</v>
      </c>
      <c r="E13" s="12">
        <v>3.0</v>
      </c>
      <c r="F13" s="12" t="s">
        <v>1094</v>
      </c>
      <c r="G13" s="12" t="s">
        <v>33</v>
      </c>
      <c r="H13" s="20">
        <v>1.0</v>
      </c>
      <c r="J13" s="14">
        <f t="shared" si="1"/>
        <v>3</v>
      </c>
      <c r="K13" s="20" t="s">
        <v>2030</v>
      </c>
    </row>
    <row r="14">
      <c r="A14" s="10" t="s">
        <v>1080</v>
      </c>
      <c r="B14" s="28" t="s">
        <v>14</v>
      </c>
      <c r="C14" s="12" t="s">
        <v>135</v>
      </c>
      <c r="D14" s="10"/>
      <c r="E14" s="12">
        <v>4.0</v>
      </c>
      <c r="F14" s="12" t="s">
        <v>1072</v>
      </c>
      <c r="G14" s="12" t="s">
        <v>33</v>
      </c>
      <c r="H14" s="20">
        <v>2.0</v>
      </c>
      <c r="J14" s="14">
        <f t="shared" si="1"/>
        <v>8</v>
      </c>
      <c r="K14" s="20" t="s">
        <v>2030</v>
      </c>
    </row>
    <row r="15">
      <c r="A15" s="27" t="s">
        <v>1157</v>
      </c>
      <c r="B15" s="28" t="s">
        <v>14</v>
      </c>
      <c r="C15" s="12" t="s">
        <v>44</v>
      </c>
      <c r="D15" s="10" t="s">
        <v>1158</v>
      </c>
      <c r="E15" s="12">
        <v>4.0</v>
      </c>
      <c r="F15" s="12" t="s">
        <v>1102</v>
      </c>
      <c r="G15" s="24" t="s">
        <v>39</v>
      </c>
      <c r="H15" s="20">
        <v>1.0</v>
      </c>
      <c r="J15" s="14">
        <f t="shared" si="1"/>
        <v>4</v>
      </c>
      <c r="K15" s="20" t="s">
        <v>2030</v>
      </c>
    </row>
    <row r="16">
      <c r="A16" s="31" t="s">
        <v>869</v>
      </c>
      <c r="B16" s="65" t="s">
        <v>11</v>
      </c>
      <c r="C16" s="66" t="s">
        <v>135</v>
      </c>
      <c r="D16" s="33" t="s">
        <v>870</v>
      </c>
      <c r="E16" s="66">
        <v>4.0</v>
      </c>
      <c r="F16" s="66" t="s">
        <v>431</v>
      </c>
      <c r="G16" s="68" t="s">
        <v>69</v>
      </c>
      <c r="H16" s="20">
        <v>1.0</v>
      </c>
      <c r="J16" s="14">
        <f t="shared" si="1"/>
        <v>4</v>
      </c>
      <c r="K16" s="20" t="s">
        <v>2030</v>
      </c>
    </row>
    <row r="17">
      <c r="A17" s="25" t="s">
        <v>501</v>
      </c>
      <c r="B17" s="28" t="s">
        <v>11</v>
      </c>
      <c r="C17" s="12" t="s">
        <v>502</v>
      </c>
      <c r="D17" s="10" t="s">
        <v>503</v>
      </c>
      <c r="E17" s="12">
        <v>5.0</v>
      </c>
      <c r="F17" s="12" t="s">
        <v>505</v>
      </c>
      <c r="G17" s="12" t="s">
        <v>33</v>
      </c>
      <c r="H17" s="20">
        <v>2.0</v>
      </c>
      <c r="I17" s="20" t="s">
        <v>2031</v>
      </c>
      <c r="J17" s="14">
        <f t="shared" si="1"/>
        <v>10</v>
      </c>
      <c r="K17" s="20" t="s">
        <v>2030</v>
      </c>
    </row>
    <row r="18">
      <c r="A18" s="20" t="s">
        <v>1087</v>
      </c>
      <c r="B18" s="10" t="s">
        <v>14</v>
      </c>
      <c r="C18" s="12" t="s">
        <v>470</v>
      </c>
      <c r="E18" s="12">
        <v>5.0</v>
      </c>
      <c r="F18" s="19" t="s">
        <v>1089</v>
      </c>
      <c r="G18" s="12" t="s">
        <v>33</v>
      </c>
      <c r="H18" s="20">
        <v>2.0</v>
      </c>
      <c r="J18" s="14">
        <f t="shared" si="1"/>
        <v>10</v>
      </c>
      <c r="K18" s="20" t="s">
        <v>2030</v>
      </c>
    </row>
    <row r="19">
      <c r="A19" s="10" t="s">
        <v>674</v>
      </c>
      <c r="B19" s="10" t="s">
        <v>11</v>
      </c>
      <c r="C19" s="12" t="s">
        <v>407</v>
      </c>
      <c r="D19" s="10" t="s">
        <v>675</v>
      </c>
      <c r="E19" s="12">
        <v>5.0</v>
      </c>
      <c r="F19" s="12" t="s">
        <v>505</v>
      </c>
      <c r="G19" s="12" t="s">
        <v>39</v>
      </c>
      <c r="H19" s="20">
        <v>1.0</v>
      </c>
      <c r="J19" s="14">
        <f t="shared" si="1"/>
        <v>5</v>
      </c>
      <c r="K19" s="20" t="s">
        <v>2030</v>
      </c>
    </row>
    <row r="20">
      <c r="A20" s="10" t="s">
        <v>1112</v>
      </c>
      <c r="B20" s="10" t="s">
        <v>14</v>
      </c>
      <c r="C20" s="12" t="s">
        <v>1048</v>
      </c>
      <c r="D20" s="82" t="s">
        <v>1113</v>
      </c>
      <c r="E20" s="12">
        <v>6.0</v>
      </c>
      <c r="F20" s="12" t="s">
        <v>1115</v>
      </c>
      <c r="G20" s="12" t="s">
        <v>33</v>
      </c>
      <c r="H20" s="20">
        <v>1.0</v>
      </c>
      <c r="J20" s="14">
        <f t="shared" si="1"/>
        <v>6</v>
      </c>
      <c r="K20" s="20" t="s">
        <v>2030</v>
      </c>
    </row>
    <row r="21">
      <c r="A21" s="20" t="s">
        <v>1212</v>
      </c>
      <c r="B21" s="20" t="s">
        <v>14</v>
      </c>
      <c r="C21" s="19" t="s">
        <v>470</v>
      </c>
      <c r="D21" s="20" t="s">
        <v>1213</v>
      </c>
      <c r="E21" s="19">
        <v>7.0</v>
      </c>
      <c r="F21" s="19" t="s">
        <v>1177</v>
      </c>
      <c r="G21" s="19" t="s">
        <v>39</v>
      </c>
      <c r="H21" s="20">
        <v>1.0</v>
      </c>
      <c r="I21" s="20" t="s">
        <v>2031</v>
      </c>
      <c r="J21" s="14">
        <f t="shared" si="1"/>
        <v>7</v>
      </c>
      <c r="K21" s="20" t="s">
        <v>2030</v>
      </c>
    </row>
    <row r="22">
      <c r="A22" s="20" t="s">
        <v>1215</v>
      </c>
      <c r="B22" s="20" t="s">
        <v>14</v>
      </c>
      <c r="C22" s="19" t="s">
        <v>297</v>
      </c>
      <c r="D22" s="20" t="s">
        <v>1216</v>
      </c>
      <c r="E22" s="19">
        <v>4.0</v>
      </c>
      <c r="F22" s="19" t="s">
        <v>304</v>
      </c>
      <c r="G22" s="19" t="s">
        <v>69</v>
      </c>
      <c r="H22" s="20">
        <v>2.0</v>
      </c>
      <c r="J22" s="14">
        <f t="shared" si="1"/>
        <v>8</v>
      </c>
      <c r="K22" s="20" t="s">
        <v>2030</v>
      </c>
    </row>
    <row r="23">
      <c r="A23" s="20" t="s">
        <v>904</v>
      </c>
      <c r="B23" s="20" t="s">
        <v>11</v>
      </c>
      <c r="C23" s="19" t="s">
        <v>564</v>
      </c>
      <c r="D23" s="20" t="s">
        <v>905</v>
      </c>
      <c r="E23" s="19">
        <v>3.0</v>
      </c>
      <c r="F23" s="19" t="s">
        <v>567</v>
      </c>
      <c r="G23" s="19" t="s">
        <v>69</v>
      </c>
      <c r="H23" s="20">
        <v>1.0</v>
      </c>
      <c r="J23" s="14">
        <f t="shared" si="1"/>
        <v>3</v>
      </c>
      <c r="K23" s="20" t="s">
        <v>2030</v>
      </c>
    </row>
    <row r="24">
      <c r="A24" s="192"/>
      <c r="B24" s="192"/>
      <c r="C24" s="192"/>
      <c r="D24" s="192"/>
      <c r="E24" s="192"/>
      <c r="F24" s="192"/>
      <c r="G24" s="193" t="s">
        <v>1724</v>
      </c>
      <c r="H24" s="194">
        <f>SUM(H3:H23)</f>
        <v>30</v>
      </c>
      <c r="I24" s="194"/>
      <c r="J24" s="194">
        <f>(SUM(J3:J23)/H24)</f>
        <v>3.133333333</v>
      </c>
      <c r="K24" s="192"/>
    </row>
  </sheetData>
  <autoFilter ref="$A$2:$K$24"/>
  <conditionalFormatting sqref="B20:B23 B25:B27">
    <cfRule type="cellIs" dxfId="0" priority="1" operator="equal">
      <formula>"Void"</formula>
    </cfRule>
  </conditionalFormatting>
  <conditionalFormatting sqref="B20:B23 B25:B27">
    <cfRule type="cellIs" dxfId="1" priority="2" operator="equal">
      <formula>"Divine"</formula>
    </cfRule>
  </conditionalFormatting>
  <conditionalFormatting sqref="B20:B23 B25:B27">
    <cfRule type="cellIs" dxfId="2" priority="3" operator="equal">
      <formula>"Mortal"</formula>
    </cfRule>
  </conditionalFormatting>
  <conditionalFormatting sqref="B20:B23 B25:B27">
    <cfRule type="cellIs" dxfId="3" priority="4" operator="equal">
      <formula>"Elemental"</formula>
    </cfRule>
  </conditionalFormatting>
  <conditionalFormatting sqref="B20:B23 B25:B27">
    <cfRule type="cellIs" dxfId="4" priority="5" operator="equal">
      <formula>"Nature"</formula>
    </cfRule>
  </conditionalFormatting>
  <conditionalFormatting sqref="B19">
    <cfRule type="cellIs" dxfId="0" priority="6" operator="equal">
      <formula>"Void"</formula>
    </cfRule>
  </conditionalFormatting>
  <conditionalFormatting sqref="B19">
    <cfRule type="cellIs" dxfId="1" priority="7" operator="equal">
      <formula>"Divine"</formula>
    </cfRule>
  </conditionalFormatting>
  <conditionalFormatting sqref="B19">
    <cfRule type="cellIs" dxfId="2" priority="8" operator="equal">
      <formula>"Mortal"</formula>
    </cfRule>
  </conditionalFormatting>
  <conditionalFormatting sqref="B19">
    <cfRule type="cellIs" dxfId="3" priority="9" operator="equal">
      <formula>"Elemental"</formula>
    </cfRule>
  </conditionalFormatting>
  <conditionalFormatting sqref="B19">
    <cfRule type="cellIs" dxfId="4" priority="10" operator="equal">
      <formula>"Nature"</formula>
    </cfRule>
  </conditionalFormatting>
  <conditionalFormatting sqref="B18">
    <cfRule type="cellIs" dxfId="0" priority="11" operator="equal">
      <formula>"Void"</formula>
    </cfRule>
  </conditionalFormatting>
  <conditionalFormatting sqref="B18">
    <cfRule type="cellIs" dxfId="1" priority="12" operator="equal">
      <formula>"Divine"</formula>
    </cfRule>
  </conditionalFormatting>
  <conditionalFormatting sqref="B18">
    <cfRule type="cellIs" dxfId="2" priority="13" operator="equal">
      <formula>"Mortal"</formula>
    </cfRule>
  </conditionalFormatting>
  <conditionalFormatting sqref="B18">
    <cfRule type="cellIs" dxfId="3" priority="14" operator="equal">
      <formula>"Elemental"</formula>
    </cfRule>
  </conditionalFormatting>
  <conditionalFormatting sqref="B18">
    <cfRule type="cellIs" dxfId="4" priority="15" operator="equal">
      <formula>"Nature"</formula>
    </cfRule>
  </conditionalFormatting>
  <conditionalFormatting sqref="B17">
    <cfRule type="cellIs" dxfId="0" priority="16" operator="equal">
      <formula>"Void"</formula>
    </cfRule>
  </conditionalFormatting>
  <conditionalFormatting sqref="B17">
    <cfRule type="cellIs" dxfId="1" priority="17" operator="equal">
      <formula>"Divine"</formula>
    </cfRule>
  </conditionalFormatting>
  <conditionalFormatting sqref="B17">
    <cfRule type="cellIs" dxfId="2" priority="18" operator="equal">
      <formula>"Mortal"</formula>
    </cfRule>
  </conditionalFormatting>
  <conditionalFormatting sqref="B17">
    <cfRule type="cellIs" dxfId="3" priority="19" operator="equal">
      <formula>"Elemental"</formula>
    </cfRule>
  </conditionalFormatting>
  <conditionalFormatting sqref="B17">
    <cfRule type="cellIs" dxfId="4" priority="20" operator="equal">
      <formula>"Nature"</formula>
    </cfRule>
  </conditionalFormatting>
  <conditionalFormatting sqref="B14:B16">
    <cfRule type="cellIs" dxfId="0" priority="21" operator="equal">
      <formula>"Void"</formula>
    </cfRule>
  </conditionalFormatting>
  <conditionalFormatting sqref="B14:B16">
    <cfRule type="cellIs" dxfId="1" priority="22" operator="equal">
      <formula>"Divine"</formula>
    </cfRule>
  </conditionalFormatting>
  <conditionalFormatting sqref="B14:B16">
    <cfRule type="cellIs" dxfId="2" priority="23" operator="equal">
      <formula>"Mortal"</formula>
    </cfRule>
  </conditionalFormatting>
  <conditionalFormatting sqref="B14:B16">
    <cfRule type="cellIs" dxfId="3" priority="24" operator="equal">
      <formula>"Elemental"</formula>
    </cfRule>
  </conditionalFormatting>
  <conditionalFormatting sqref="B14:B16">
    <cfRule type="cellIs" dxfId="4" priority="25" operator="equal">
      <formula>"Nature"</formula>
    </cfRule>
  </conditionalFormatting>
  <conditionalFormatting sqref="B13">
    <cfRule type="cellIs" dxfId="0" priority="26" operator="equal">
      <formula>"Void"</formula>
    </cfRule>
  </conditionalFormatting>
  <conditionalFormatting sqref="B13">
    <cfRule type="cellIs" dxfId="1" priority="27" operator="equal">
      <formula>"Divine"</formula>
    </cfRule>
  </conditionalFormatting>
  <conditionalFormatting sqref="B13">
    <cfRule type="cellIs" dxfId="2" priority="28" operator="equal">
      <formula>"Mortal"</formula>
    </cfRule>
  </conditionalFormatting>
  <conditionalFormatting sqref="B13">
    <cfRule type="cellIs" dxfId="3" priority="29" operator="equal">
      <formula>"Elemental"</formula>
    </cfRule>
  </conditionalFormatting>
  <conditionalFormatting sqref="B13">
    <cfRule type="cellIs" dxfId="4" priority="30" operator="equal">
      <formula>"Nature"</formula>
    </cfRule>
  </conditionalFormatting>
  <conditionalFormatting sqref="B12">
    <cfRule type="cellIs" dxfId="0" priority="31" operator="equal">
      <formula>"Void"</formula>
    </cfRule>
  </conditionalFormatting>
  <conditionalFormatting sqref="B12">
    <cfRule type="cellIs" dxfId="1" priority="32" operator="equal">
      <formula>"Divine"</formula>
    </cfRule>
  </conditionalFormatting>
  <conditionalFormatting sqref="B12">
    <cfRule type="cellIs" dxfId="2" priority="33" operator="equal">
      <formula>"Mortal"</formula>
    </cfRule>
  </conditionalFormatting>
  <conditionalFormatting sqref="B12">
    <cfRule type="cellIs" dxfId="3" priority="34" operator="equal">
      <formula>"Elemental"</formula>
    </cfRule>
  </conditionalFormatting>
  <conditionalFormatting sqref="B12">
    <cfRule type="cellIs" dxfId="4" priority="35" operator="equal">
      <formula>"Nature"</formula>
    </cfRule>
  </conditionalFormatting>
  <conditionalFormatting sqref="B11">
    <cfRule type="cellIs" dxfId="0" priority="36" operator="equal">
      <formula>"Void"</formula>
    </cfRule>
  </conditionalFormatting>
  <conditionalFormatting sqref="B11">
    <cfRule type="cellIs" dxfId="1" priority="37" operator="equal">
      <formula>"Divine"</formula>
    </cfRule>
  </conditionalFormatting>
  <conditionalFormatting sqref="B11">
    <cfRule type="cellIs" dxfId="2" priority="38" operator="equal">
      <formula>"Mortal"</formula>
    </cfRule>
  </conditionalFormatting>
  <conditionalFormatting sqref="B11">
    <cfRule type="cellIs" dxfId="3" priority="39" operator="equal">
      <formula>"Elemental"</formula>
    </cfRule>
  </conditionalFormatting>
  <conditionalFormatting sqref="B11">
    <cfRule type="cellIs" dxfId="4" priority="40" operator="equal">
      <formula>"Nature"</formula>
    </cfRule>
  </conditionalFormatting>
  <conditionalFormatting sqref="B10">
    <cfRule type="cellIs" dxfId="0" priority="41" operator="equal">
      <formula>"Void"</formula>
    </cfRule>
  </conditionalFormatting>
  <conditionalFormatting sqref="B10">
    <cfRule type="cellIs" dxfId="1" priority="42" operator="equal">
      <formula>"Divine"</formula>
    </cfRule>
  </conditionalFormatting>
  <conditionalFormatting sqref="B10">
    <cfRule type="cellIs" dxfId="2" priority="43" operator="equal">
      <formula>"Mortal"</formula>
    </cfRule>
  </conditionalFormatting>
  <conditionalFormatting sqref="B10">
    <cfRule type="cellIs" dxfId="3" priority="44" operator="equal">
      <formula>"Elemental"</formula>
    </cfRule>
  </conditionalFormatting>
  <conditionalFormatting sqref="B10">
    <cfRule type="cellIs" dxfId="4" priority="45" operator="equal">
      <formula>"Nature"</formula>
    </cfRule>
  </conditionalFormatting>
  <conditionalFormatting sqref="B9">
    <cfRule type="cellIs" dxfId="0" priority="46" operator="equal">
      <formula>"Void"</formula>
    </cfRule>
  </conditionalFormatting>
  <conditionalFormatting sqref="B9">
    <cfRule type="cellIs" dxfId="1" priority="47" operator="equal">
      <formula>"Divine"</formula>
    </cfRule>
  </conditionalFormatting>
  <conditionalFormatting sqref="B9">
    <cfRule type="cellIs" dxfId="2" priority="48" operator="equal">
      <formula>"Mortal"</formula>
    </cfRule>
  </conditionalFormatting>
  <conditionalFormatting sqref="B9">
    <cfRule type="cellIs" dxfId="3" priority="49" operator="equal">
      <formula>"Elemental"</formula>
    </cfRule>
  </conditionalFormatting>
  <conditionalFormatting sqref="B9">
    <cfRule type="cellIs" dxfId="4" priority="50" operator="equal">
      <formula>"Nature"</formula>
    </cfRule>
  </conditionalFormatting>
  <conditionalFormatting sqref="B7:B8">
    <cfRule type="cellIs" dxfId="0" priority="51" operator="equal">
      <formula>"Void"</formula>
    </cfRule>
  </conditionalFormatting>
  <conditionalFormatting sqref="B7:B8">
    <cfRule type="cellIs" dxfId="1" priority="52" operator="equal">
      <formula>"Divine"</formula>
    </cfRule>
  </conditionalFormatting>
  <conditionalFormatting sqref="B7:B8">
    <cfRule type="cellIs" dxfId="2" priority="53" operator="equal">
      <formula>"Mortal"</formula>
    </cfRule>
  </conditionalFormatting>
  <conditionalFormatting sqref="B7:B8">
    <cfRule type="cellIs" dxfId="3" priority="54" operator="equal">
      <formula>"Elemental"</formula>
    </cfRule>
  </conditionalFormatting>
  <conditionalFormatting sqref="B7:B8">
    <cfRule type="cellIs" dxfId="4" priority="55" operator="equal">
      <formula>"Nature"</formula>
    </cfRule>
  </conditionalFormatting>
  <conditionalFormatting sqref="B3:B6">
    <cfRule type="cellIs" dxfId="0" priority="56" operator="equal">
      <formula>"Void"</formula>
    </cfRule>
  </conditionalFormatting>
  <conditionalFormatting sqref="B3:B6">
    <cfRule type="cellIs" dxfId="1" priority="57" operator="equal">
      <formula>"Divine"</formula>
    </cfRule>
  </conditionalFormatting>
  <conditionalFormatting sqref="B3:B6">
    <cfRule type="cellIs" dxfId="2" priority="58" operator="equal">
      <formula>"Mortal"</formula>
    </cfRule>
  </conditionalFormatting>
  <conditionalFormatting sqref="B3:B6">
    <cfRule type="cellIs" dxfId="3" priority="59" operator="equal">
      <formula>"Elemental"</formula>
    </cfRule>
  </conditionalFormatting>
  <conditionalFormatting sqref="B3:B6">
    <cfRule type="cellIs" dxfId="4" priority="60" operator="equal">
      <formula>"Nature"</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15.86"/>
    <col customWidth="1" min="3" max="3" width="22.57"/>
    <col customWidth="1" min="4" max="4" width="95.86"/>
  </cols>
  <sheetData>
    <row r="1">
      <c r="A1" s="191" t="s">
        <v>2033</v>
      </c>
      <c r="B1" s="116"/>
      <c r="C1" s="116"/>
      <c r="D1" s="116"/>
      <c r="E1" s="116"/>
      <c r="F1" s="116"/>
      <c r="G1" s="116"/>
      <c r="H1" s="116"/>
      <c r="I1" s="20"/>
      <c r="J1" s="20"/>
      <c r="K1" s="20"/>
    </row>
    <row r="2">
      <c r="A2" s="116" t="s">
        <v>2021</v>
      </c>
      <c r="B2" s="116" t="s">
        <v>2022</v>
      </c>
      <c r="C2" s="116" t="s">
        <v>2023</v>
      </c>
      <c r="D2" s="116" t="s">
        <v>2024</v>
      </c>
      <c r="E2" s="116" t="s">
        <v>7</v>
      </c>
      <c r="F2" s="116" t="s">
        <v>2025</v>
      </c>
      <c r="G2" s="116" t="s">
        <v>9</v>
      </c>
      <c r="H2" s="116" t="s">
        <v>2026</v>
      </c>
      <c r="I2" s="20" t="s">
        <v>2027</v>
      </c>
      <c r="J2" s="20" t="s">
        <v>2028</v>
      </c>
      <c r="K2" s="20" t="s">
        <v>2029</v>
      </c>
    </row>
    <row r="3">
      <c r="A3" s="34" t="s">
        <v>1475</v>
      </c>
      <c r="B3" s="20" t="s">
        <v>1465</v>
      </c>
      <c r="C3" s="51" t="s">
        <v>1471</v>
      </c>
      <c r="D3" s="34" t="s">
        <v>1476</v>
      </c>
      <c r="E3" s="19">
        <v>0.0</v>
      </c>
      <c r="F3" s="19" t="s">
        <v>1478</v>
      </c>
      <c r="G3" s="19" t="s">
        <v>69</v>
      </c>
      <c r="H3" s="20">
        <v>1.0</v>
      </c>
      <c r="I3" s="20" t="s">
        <v>2031</v>
      </c>
      <c r="J3" s="14">
        <f t="shared" ref="J3:J23" si="1">H3*E3</f>
        <v>0</v>
      </c>
      <c r="K3" s="20" t="s">
        <v>2034</v>
      </c>
    </row>
    <row r="4">
      <c r="A4" s="10" t="s">
        <v>1437</v>
      </c>
      <c r="B4" s="10" t="s">
        <v>12</v>
      </c>
      <c r="C4" s="12" t="s">
        <v>1371</v>
      </c>
      <c r="D4" s="10" t="s">
        <v>1438</v>
      </c>
      <c r="E4" s="12">
        <v>1.0</v>
      </c>
      <c r="F4" s="12" t="s">
        <v>1300</v>
      </c>
      <c r="G4" s="12" t="s">
        <v>33</v>
      </c>
      <c r="H4" s="20">
        <v>1.0</v>
      </c>
      <c r="I4" s="20" t="s">
        <v>2031</v>
      </c>
      <c r="J4" s="14">
        <f t="shared" si="1"/>
        <v>1</v>
      </c>
      <c r="K4" s="20" t="s">
        <v>2034</v>
      </c>
    </row>
    <row r="5">
      <c r="A5" s="10" t="s">
        <v>1385</v>
      </c>
      <c r="B5" s="10" t="s">
        <v>12</v>
      </c>
      <c r="C5" s="12" t="s">
        <v>1243</v>
      </c>
      <c r="D5" s="20" t="s">
        <v>1386</v>
      </c>
      <c r="E5" s="12">
        <v>2.0</v>
      </c>
      <c r="F5" s="12" t="s">
        <v>1300</v>
      </c>
      <c r="G5" s="12" t="s">
        <v>33</v>
      </c>
      <c r="H5" s="20">
        <v>1.0</v>
      </c>
      <c r="J5" s="14">
        <f t="shared" si="1"/>
        <v>2</v>
      </c>
      <c r="K5" s="20" t="s">
        <v>2034</v>
      </c>
    </row>
    <row r="6">
      <c r="A6" s="10" t="s">
        <v>1402</v>
      </c>
      <c r="B6" s="10" t="s">
        <v>12</v>
      </c>
      <c r="C6" s="12" t="s">
        <v>656</v>
      </c>
      <c r="D6" s="34" t="s">
        <v>1403</v>
      </c>
      <c r="E6" s="12">
        <v>2.0</v>
      </c>
      <c r="F6" s="12" t="s">
        <v>1300</v>
      </c>
      <c r="G6" s="12" t="s">
        <v>33</v>
      </c>
      <c r="H6" s="20">
        <v>2.0</v>
      </c>
      <c r="J6" s="14">
        <f t="shared" si="1"/>
        <v>4</v>
      </c>
      <c r="K6" s="20" t="s">
        <v>2034</v>
      </c>
    </row>
    <row r="7">
      <c r="A7" s="10" t="s">
        <v>1483</v>
      </c>
      <c r="B7" s="10" t="s">
        <v>1465</v>
      </c>
      <c r="C7" s="12" t="s">
        <v>1484</v>
      </c>
      <c r="D7" s="10"/>
      <c r="E7" s="12">
        <v>2.0</v>
      </c>
      <c r="F7" s="12" t="s">
        <v>1486</v>
      </c>
      <c r="G7" s="12" t="s">
        <v>33</v>
      </c>
      <c r="H7" s="20">
        <v>2.0</v>
      </c>
      <c r="I7" s="20" t="s">
        <v>2031</v>
      </c>
      <c r="J7" s="14">
        <f t="shared" si="1"/>
        <v>4</v>
      </c>
      <c r="K7" s="20" t="s">
        <v>2034</v>
      </c>
    </row>
    <row r="8">
      <c r="A8" s="10" t="s">
        <v>1584</v>
      </c>
      <c r="B8" s="10" t="s">
        <v>13</v>
      </c>
      <c r="C8" s="12" t="s">
        <v>1266</v>
      </c>
      <c r="E8" s="12">
        <v>2.0</v>
      </c>
      <c r="F8" s="12" t="s">
        <v>1507</v>
      </c>
      <c r="G8" s="12" t="s">
        <v>33</v>
      </c>
      <c r="H8" s="20">
        <v>1.0</v>
      </c>
      <c r="J8" s="14">
        <f t="shared" si="1"/>
        <v>2</v>
      </c>
      <c r="K8" s="20" t="s">
        <v>2034</v>
      </c>
    </row>
    <row r="9">
      <c r="A9" s="25" t="s">
        <v>1642</v>
      </c>
      <c r="B9" s="10" t="s">
        <v>13</v>
      </c>
      <c r="C9" s="12" t="s">
        <v>1643</v>
      </c>
      <c r="D9" s="10" t="s">
        <v>1644</v>
      </c>
      <c r="E9" s="12">
        <v>2.0</v>
      </c>
      <c r="F9" s="12" t="s">
        <v>1510</v>
      </c>
      <c r="G9" s="12" t="s">
        <v>33</v>
      </c>
      <c r="H9" s="20">
        <v>2.0</v>
      </c>
      <c r="J9" s="14">
        <f t="shared" si="1"/>
        <v>4</v>
      </c>
      <c r="K9" s="20" t="s">
        <v>2034</v>
      </c>
    </row>
    <row r="10">
      <c r="A10" s="77" t="s">
        <v>1458</v>
      </c>
      <c r="B10" s="10" t="s">
        <v>12</v>
      </c>
      <c r="C10" s="12" t="s">
        <v>1441</v>
      </c>
      <c r="D10" s="10" t="s">
        <v>1459</v>
      </c>
      <c r="E10" s="12">
        <v>2.0</v>
      </c>
      <c r="F10" s="12" t="s">
        <v>1307</v>
      </c>
      <c r="G10" s="24" t="s">
        <v>69</v>
      </c>
      <c r="H10" s="20">
        <v>1.0</v>
      </c>
      <c r="I10" s="20" t="s">
        <v>2031</v>
      </c>
      <c r="J10" s="14">
        <f t="shared" si="1"/>
        <v>2</v>
      </c>
      <c r="K10" s="20" t="s">
        <v>2034</v>
      </c>
    </row>
    <row r="11">
      <c r="A11" s="25" t="s">
        <v>1499</v>
      </c>
      <c r="B11" s="10" t="s">
        <v>13</v>
      </c>
      <c r="C11" s="12" t="s">
        <v>1500</v>
      </c>
      <c r="D11" s="10" t="s">
        <v>1501</v>
      </c>
      <c r="E11" s="12">
        <v>2.0</v>
      </c>
      <c r="F11" s="12" t="s">
        <v>1503</v>
      </c>
      <c r="G11" s="12" t="s">
        <v>69</v>
      </c>
      <c r="H11" s="20">
        <v>1.0</v>
      </c>
      <c r="I11" s="20" t="s">
        <v>2031</v>
      </c>
      <c r="J11" s="14">
        <f t="shared" si="1"/>
        <v>2</v>
      </c>
      <c r="K11" s="20" t="s">
        <v>2034</v>
      </c>
    </row>
    <row r="12">
      <c r="A12" s="20" t="s">
        <v>1328</v>
      </c>
      <c r="B12" s="10" t="s">
        <v>12</v>
      </c>
      <c r="C12" s="19" t="s">
        <v>1329</v>
      </c>
      <c r="D12" s="20" t="s">
        <v>1330</v>
      </c>
      <c r="E12" s="19">
        <v>3.0</v>
      </c>
      <c r="F12" s="19" t="s">
        <v>1288</v>
      </c>
      <c r="G12" s="19" t="s">
        <v>33</v>
      </c>
      <c r="H12" s="20">
        <v>2.0</v>
      </c>
      <c r="J12" s="14">
        <f t="shared" si="1"/>
        <v>6</v>
      </c>
      <c r="K12" s="20" t="s">
        <v>2034</v>
      </c>
    </row>
    <row r="13">
      <c r="A13" s="10" t="s">
        <v>1378</v>
      </c>
      <c r="B13" s="10" t="s">
        <v>12</v>
      </c>
      <c r="C13" s="12" t="s">
        <v>1243</v>
      </c>
      <c r="D13" s="20" t="s">
        <v>1379</v>
      </c>
      <c r="E13" s="12">
        <v>3.0</v>
      </c>
      <c r="F13" s="12" t="s">
        <v>1373</v>
      </c>
      <c r="G13" s="12" t="s">
        <v>33</v>
      </c>
      <c r="H13" s="35">
        <v>2.0</v>
      </c>
      <c r="J13" s="14">
        <f t="shared" si="1"/>
        <v>6</v>
      </c>
      <c r="K13" s="20" t="s">
        <v>2034</v>
      </c>
    </row>
    <row r="14">
      <c r="A14" s="27" t="s">
        <v>1597</v>
      </c>
      <c r="B14" s="10" t="s">
        <v>13</v>
      </c>
      <c r="C14" s="12" t="s">
        <v>1033</v>
      </c>
      <c r="D14" s="10" t="s">
        <v>565</v>
      </c>
      <c r="E14" s="24">
        <v>3.0</v>
      </c>
      <c r="F14" s="12" t="s">
        <v>1503</v>
      </c>
      <c r="G14" s="24" t="s">
        <v>33</v>
      </c>
      <c r="H14" s="20">
        <v>1.0</v>
      </c>
      <c r="J14" s="14">
        <f t="shared" si="1"/>
        <v>3</v>
      </c>
      <c r="K14" s="20" t="s">
        <v>2034</v>
      </c>
    </row>
    <row r="15">
      <c r="A15" s="10" t="s">
        <v>1370</v>
      </c>
      <c r="B15" s="10" t="s">
        <v>12</v>
      </c>
      <c r="C15" s="12" t="s">
        <v>1371</v>
      </c>
      <c r="E15" s="12">
        <v>4.0</v>
      </c>
      <c r="F15" s="12" t="s">
        <v>1373</v>
      </c>
      <c r="G15" s="12" t="s">
        <v>33</v>
      </c>
      <c r="H15" s="20">
        <v>2.0</v>
      </c>
      <c r="J15" s="14">
        <f t="shared" si="1"/>
        <v>8</v>
      </c>
      <c r="K15" s="20" t="s">
        <v>2034</v>
      </c>
    </row>
    <row r="16">
      <c r="A16" s="10" t="s">
        <v>1332</v>
      </c>
      <c r="B16" s="10" t="s">
        <v>12</v>
      </c>
      <c r="C16" s="32" t="s">
        <v>181</v>
      </c>
      <c r="D16" s="10" t="s">
        <v>1333</v>
      </c>
      <c r="E16" s="12">
        <v>4.0</v>
      </c>
      <c r="F16" s="12" t="s">
        <v>1292</v>
      </c>
      <c r="G16" s="12" t="s">
        <v>39</v>
      </c>
      <c r="H16" s="20">
        <v>1.0</v>
      </c>
      <c r="I16" s="20" t="s">
        <v>2031</v>
      </c>
      <c r="J16" s="14">
        <f t="shared" si="1"/>
        <v>4</v>
      </c>
      <c r="K16" s="20" t="s">
        <v>2034</v>
      </c>
    </row>
    <row r="17">
      <c r="A17" s="20" t="s">
        <v>1338</v>
      </c>
      <c r="B17" s="92" t="s">
        <v>12</v>
      </c>
      <c r="C17" s="19" t="s">
        <v>1339</v>
      </c>
      <c r="D17" s="20" t="s">
        <v>1340</v>
      </c>
      <c r="E17" s="19">
        <v>4.0</v>
      </c>
      <c r="F17" s="19" t="s">
        <v>1341</v>
      </c>
      <c r="G17" s="19" t="s">
        <v>69</v>
      </c>
      <c r="H17" s="20">
        <v>2.0</v>
      </c>
      <c r="J17" s="14">
        <f t="shared" si="1"/>
        <v>8</v>
      </c>
      <c r="K17" s="20" t="s">
        <v>2034</v>
      </c>
    </row>
    <row r="18">
      <c r="A18" s="53" t="s">
        <v>1591</v>
      </c>
      <c r="B18" s="10" t="s">
        <v>13</v>
      </c>
      <c r="C18" s="56" t="s">
        <v>1278</v>
      </c>
      <c r="D18" s="57" t="s">
        <v>2035</v>
      </c>
      <c r="E18" s="56">
        <v>4.0</v>
      </c>
      <c r="F18" s="56" t="s">
        <v>1514</v>
      </c>
      <c r="G18" s="56" t="s">
        <v>69</v>
      </c>
      <c r="H18" s="20">
        <v>1.0</v>
      </c>
      <c r="J18" s="14">
        <f t="shared" si="1"/>
        <v>4</v>
      </c>
      <c r="K18" s="20" t="s">
        <v>2034</v>
      </c>
    </row>
    <row r="19">
      <c r="A19" s="10" t="s">
        <v>1429</v>
      </c>
      <c r="B19" s="10" t="s">
        <v>12</v>
      </c>
      <c r="C19" s="12" t="s">
        <v>272</v>
      </c>
      <c r="D19" s="10" t="s">
        <v>1430</v>
      </c>
      <c r="E19" s="12">
        <v>5.0</v>
      </c>
      <c r="F19" s="12" t="s">
        <v>1292</v>
      </c>
      <c r="G19" s="12" t="s">
        <v>33</v>
      </c>
      <c r="H19" s="20">
        <v>1.0</v>
      </c>
      <c r="J19" s="14">
        <f t="shared" si="1"/>
        <v>5</v>
      </c>
      <c r="K19" s="20" t="s">
        <v>2034</v>
      </c>
    </row>
    <row r="20">
      <c r="A20" s="27" t="s">
        <v>1629</v>
      </c>
      <c r="B20" s="10" t="s">
        <v>13</v>
      </c>
      <c r="C20" s="12" t="s">
        <v>1630</v>
      </c>
      <c r="E20" s="12">
        <v>5.0</v>
      </c>
      <c r="F20" s="12" t="s">
        <v>1498</v>
      </c>
      <c r="G20" s="24" t="s">
        <v>33</v>
      </c>
      <c r="H20" s="20">
        <v>2.0</v>
      </c>
      <c r="J20" s="14">
        <f t="shared" si="1"/>
        <v>10</v>
      </c>
      <c r="K20" s="20" t="s">
        <v>2034</v>
      </c>
    </row>
    <row r="21">
      <c r="A21" s="20" t="s">
        <v>1374</v>
      </c>
      <c r="B21" s="20" t="s">
        <v>12</v>
      </c>
      <c r="C21" s="19" t="s">
        <v>1375</v>
      </c>
      <c r="D21" s="20" t="s">
        <v>1376</v>
      </c>
      <c r="E21" s="19">
        <v>5.0</v>
      </c>
      <c r="F21" s="19" t="s">
        <v>1292</v>
      </c>
      <c r="G21" s="19" t="s">
        <v>39</v>
      </c>
      <c r="H21" s="20">
        <v>1.0</v>
      </c>
      <c r="J21" s="14">
        <f t="shared" si="1"/>
        <v>5</v>
      </c>
      <c r="K21" s="20" t="s">
        <v>2034</v>
      </c>
    </row>
    <row r="22">
      <c r="A22" s="20" t="s">
        <v>1650</v>
      </c>
      <c r="B22" s="20" t="s">
        <v>13</v>
      </c>
      <c r="C22" s="19" t="s">
        <v>1495</v>
      </c>
      <c r="D22" s="20" t="s">
        <v>1651</v>
      </c>
      <c r="E22" s="19">
        <v>6.0</v>
      </c>
      <c r="F22" s="19" t="s">
        <v>1519</v>
      </c>
      <c r="G22" s="19" t="s">
        <v>39</v>
      </c>
      <c r="H22" s="20">
        <v>1.0</v>
      </c>
      <c r="J22" s="14">
        <f t="shared" si="1"/>
        <v>6</v>
      </c>
      <c r="K22" s="20" t="s">
        <v>2034</v>
      </c>
    </row>
    <row r="23">
      <c r="A23" s="20" t="s">
        <v>1335</v>
      </c>
      <c r="B23" s="20" t="s">
        <v>12</v>
      </c>
      <c r="C23" s="19" t="s">
        <v>272</v>
      </c>
      <c r="D23" s="10" t="s">
        <v>1336</v>
      </c>
      <c r="E23" s="19">
        <v>3.0</v>
      </c>
      <c r="F23" s="19" t="s">
        <v>1288</v>
      </c>
      <c r="G23" s="19" t="s">
        <v>33</v>
      </c>
      <c r="H23" s="20">
        <v>2.0</v>
      </c>
      <c r="J23" s="14">
        <f t="shared" si="1"/>
        <v>6</v>
      </c>
      <c r="K23" s="20" t="s">
        <v>2034</v>
      </c>
    </row>
    <row r="24">
      <c r="A24" s="194"/>
      <c r="B24" s="194"/>
      <c r="C24" s="194"/>
      <c r="D24" s="194"/>
      <c r="E24" s="194"/>
      <c r="F24" s="194"/>
      <c r="G24" s="193" t="s">
        <v>1724</v>
      </c>
      <c r="H24" s="195">
        <f>SUM(H3:H23)</f>
        <v>30</v>
      </c>
      <c r="I24" s="194"/>
      <c r="J24" s="194">
        <f>SUM(J3:J22)/H24</f>
        <v>2.866666667</v>
      </c>
      <c r="K24" s="194"/>
    </row>
    <row r="25">
      <c r="I25" s="14"/>
      <c r="J25" s="14"/>
      <c r="K25" s="14"/>
      <c r="L25" s="14"/>
      <c r="M25" s="14"/>
      <c r="N25" s="14"/>
    </row>
    <row r="26">
      <c r="H26" s="14"/>
      <c r="I26" s="14"/>
      <c r="J26" s="14"/>
      <c r="K26" s="14"/>
    </row>
  </sheetData>
  <autoFilter ref="$A$2:$AB$24">
    <sortState ref="A2:AB24">
      <sortCondition ref="E2:E24"/>
      <sortCondition ref="G2:G24"/>
    </sortState>
  </autoFilter>
  <conditionalFormatting sqref="I25:N26 O25:AB25 H26">
    <cfRule type="notContainsBlanks" dxfId="5" priority="1">
      <formula>LEN(TRIM(I25))&gt;0</formula>
    </cfRule>
  </conditionalFormatting>
  <conditionalFormatting sqref="B3 B8:B9 B11:B14 B18 B20:B23 B26">
    <cfRule type="cellIs" dxfId="0" priority="2" operator="equal">
      <formula>"Void"</formula>
    </cfRule>
  </conditionalFormatting>
  <conditionalFormatting sqref="B3 B8:B9 B11:B14 B18 B20:B23 B26">
    <cfRule type="cellIs" dxfId="1" priority="3" operator="equal">
      <formula>"Divine"</formula>
    </cfRule>
  </conditionalFormatting>
  <conditionalFormatting sqref="B3 B8:B9 B11:B14 B18 B20:B23 B26">
    <cfRule type="cellIs" dxfId="2" priority="4" operator="equal">
      <formula>"Mortal"</formula>
    </cfRule>
  </conditionalFormatting>
  <conditionalFormatting sqref="B3 B8:B9 B11:B14 B18 B20:B23 B26">
    <cfRule type="cellIs" dxfId="3" priority="5" operator="equal">
      <formula>"Elemental"</formula>
    </cfRule>
  </conditionalFormatting>
  <conditionalFormatting sqref="B3 B8:B9 B11:B14 B18 B20:B23 B26">
    <cfRule type="cellIs" dxfId="4" priority="6" operator="equal">
      <formula>"Nature"</formula>
    </cfRule>
  </conditionalFormatting>
  <conditionalFormatting sqref="B3">
    <cfRule type="cellIs" dxfId="4" priority="7" operator="equal">
      <formula>"Nature"</formula>
    </cfRule>
  </conditionalFormatting>
  <conditionalFormatting sqref="B3">
    <cfRule type="cellIs" dxfId="4" priority="8" operator="equal">
      <formula>"Nature"</formula>
    </cfRule>
  </conditionalFormatting>
  <conditionalFormatting sqref="B3 B8:B9 B11:B14 B20">
    <cfRule type="cellIs" dxfId="4" priority="9" operator="equal">
      <formula>"Nature"</formula>
    </cfRule>
  </conditionalFormatting>
  <conditionalFormatting sqref="B3">
    <cfRule type="cellIs" dxfId="4" priority="10" operator="equal">
      <formula>"Nature"</formula>
    </cfRule>
  </conditionalFormatting>
  <conditionalFormatting sqref="B3 B19:B20">
    <cfRule type="cellIs" dxfId="4" priority="11" operator="equal">
      <formula>"Nature"</formula>
    </cfRule>
  </conditionalFormatting>
  <conditionalFormatting sqref="B3">
    <cfRule type="cellIs" dxfId="4" priority="12" operator="equal">
      <formula>"Nature"</formula>
    </cfRule>
  </conditionalFormatting>
  <conditionalFormatting sqref="B3">
    <cfRule type="cellIs" dxfId="4" priority="13" operator="equal">
      <formula>"Nature"</formula>
    </cfRule>
  </conditionalFormatting>
  <conditionalFormatting sqref="B3 B8:B9 B11:B14 B20">
    <cfRule type="cellIs" dxfId="4" priority="14" operator="equal">
      <formula>"Nature"</formula>
    </cfRule>
  </conditionalFormatting>
  <conditionalFormatting sqref="B3">
    <cfRule type="cellIs" dxfId="4" priority="15" operator="equal">
      <formula>"Nature"</formula>
    </cfRule>
  </conditionalFormatting>
  <conditionalFormatting sqref="B3">
    <cfRule type="cellIs" dxfId="4" priority="16" operator="equal">
      <formula>"Nature"</formula>
    </cfRule>
  </conditionalFormatting>
  <conditionalFormatting sqref="B3 B8:B9 B11:B17 B20">
    <cfRule type="cellIs" dxfId="4" priority="17" operator="equal">
      <formula>"Nature"</formula>
    </cfRule>
  </conditionalFormatting>
  <conditionalFormatting sqref="B3 B13">
    <cfRule type="cellIs" dxfId="4" priority="18" operator="equal">
      <formula>"Nature"</formula>
    </cfRule>
  </conditionalFormatting>
  <conditionalFormatting sqref="B3">
    <cfRule type="cellIs" dxfId="4" priority="19" operator="equal">
      <formula>"Nature"</formula>
    </cfRule>
  </conditionalFormatting>
  <conditionalFormatting sqref="B3">
    <cfRule type="cellIs" dxfId="4" priority="20" operator="equal">
      <formula>"Nature"</formula>
    </cfRule>
  </conditionalFormatting>
  <conditionalFormatting sqref="B3 B12">
    <cfRule type="cellIs" dxfId="4" priority="21" operator="equal">
      <formula>"Nature"</formula>
    </cfRule>
  </conditionalFormatting>
  <conditionalFormatting sqref="B3">
    <cfRule type="cellIs" dxfId="4" priority="22" operator="equal">
      <formula>"Nature"</formula>
    </cfRule>
  </conditionalFormatting>
  <conditionalFormatting sqref="B3">
    <cfRule type="cellIs" dxfId="4" priority="23" operator="equal">
      <formula>"Nature"</formula>
    </cfRule>
  </conditionalFormatting>
  <conditionalFormatting sqref="B3 B11 B20">
    <cfRule type="cellIs" dxfId="4" priority="24" operator="equal">
      <formula>"Nature"</formula>
    </cfRule>
  </conditionalFormatting>
  <conditionalFormatting sqref="B3 B10">
    <cfRule type="cellIs" dxfId="4" priority="25" operator="equal">
      <formula>"Nature"</formula>
    </cfRule>
  </conditionalFormatting>
  <conditionalFormatting sqref="B3 B8:B9 B11:B12 B20">
    <cfRule type="cellIs" dxfId="4" priority="26" operator="equal">
      <formula>"Nature"</formula>
    </cfRule>
  </conditionalFormatting>
  <conditionalFormatting sqref="B3 B7">
    <cfRule type="cellIs" dxfId="4" priority="27" operator="equal">
      <formula>"Nature"</formula>
    </cfRule>
  </conditionalFormatting>
  <conditionalFormatting sqref="B3 B5:B6">
    <cfRule type="cellIs" dxfId="4" priority="28" operator="equal">
      <formula>"Nature"</formula>
    </cfRule>
  </conditionalFormatting>
  <conditionalFormatting sqref="B3:B4">
    <cfRule type="cellIs" dxfId="4" priority="29" operator="equal">
      <formula>"Nature"</formula>
    </cfRule>
  </conditionalFormatting>
  <conditionalFormatting sqref="B3">
    <cfRule type="cellIs" dxfId="4" priority="30" operator="equal">
      <formula>"Nature"</formula>
    </cfRule>
  </conditionalFormatting>
  <dataValidations>
    <dataValidation type="custom" allowBlank="1" showDropDown="1" showErrorMessage="1" sqref="I25:N25 H26:K26">
      <formula1>IFERROR(ISURL(H25), true)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15.86"/>
    <col customWidth="1" min="3" max="3" width="22.57"/>
    <col customWidth="1" min="4" max="4" width="95.86"/>
  </cols>
  <sheetData>
    <row r="1">
      <c r="A1" s="191" t="s">
        <v>2036</v>
      </c>
      <c r="B1" s="116"/>
      <c r="C1" s="116"/>
      <c r="D1" s="116"/>
      <c r="E1" s="116"/>
      <c r="F1" s="116"/>
      <c r="G1" s="116"/>
      <c r="H1" s="116"/>
      <c r="I1" s="20"/>
      <c r="J1" s="20"/>
      <c r="K1" s="20"/>
    </row>
    <row r="2">
      <c r="A2" s="116" t="s">
        <v>2021</v>
      </c>
      <c r="B2" s="116" t="s">
        <v>2022</v>
      </c>
      <c r="C2" s="116" t="s">
        <v>2023</v>
      </c>
      <c r="D2" s="116" t="s">
        <v>2024</v>
      </c>
      <c r="E2" s="116" t="s">
        <v>7</v>
      </c>
      <c r="F2" s="116" t="s">
        <v>2025</v>
      </c>
      <c r="G2" s="116" t="s">
        <v>9</v>
      </c>
      <c r="H2" s="116" t="s">
        <v>2026</v>
      </c>
      <c r="I2" s="20" t="s">
        <v>2027</v>
      </c>
      <c r="J2" s="20" t="s">
        <v>2028</v>
      </c>
      <c r="K2" s="20" t="s">
        <v>2029</v>
      </c>
    </row>
    <row r="3">
      <c r="A3" s="38"/>
      <c r="B3" s="196"/>
      <c r="C3" s="197"/>
      <c r="D3" s="38"/>
      <c r="E3" s="197"/>
      <c r="F3" s="197"/>
      <c r="G3" s="197"/>
      <c r="H3" s="196"/>
      <c r="I3" s="196"/>
      <c r="J3" s="14">
        <f t="shared" ref="J3:J23" si="1">H3*E3</f>
        <v>0</v>
      </c>
      <c r="K3" s="20" t="s">
        <v>2037</v>
      </c>
    </row>
    <row r="4">
      <c r="A4" s="198"/>
      <c r="B4" s="198"/>
      <c r="C4" s="199"/>
      <c r="D4" s="198"/>
      <c r="E4" s="199"/>
      <c r="F4" s="199"/>
      <c r="G4" s="199"/>
      <c r="H4" s="196"/>
      <c r="I4" s="196"/>
      <c r="J4" s="14">
        <f t="shared" si="1"/>
        <v>0</v>
      </c>
      <c r="K4" s="20" t="s">
        <v>2037</v>
      </c>
    </row>
    <row r="5">
      <c r="A5" s="198"/>
      <c r="B5" s="198"/>
      <c r="C5" s="199"/>
      <c r="D5" s="196"/>
      <c r="E5" s="199"/>
      <c r="F5" s="199"/>
      <c r="G5" s="199"/>
      <c r="H5" s="196"/>
      <c r="I5" s="196"/>
      <c r="J5" s="14">
        <f t="shared" si="1"/>
        <v>0</v>
      </c>
      <c r="K5" s="20" t="s">
        <v>2037</v>
      </c>
    </row>
    <row r="6">
      <c r="A6" s="198"/>
      <c r="B6" s="198"/>
      <c r="C6" s="199"/>
      <c r="D6" s="38"/>
      <c r="E6" s="199"/>
      <c r="F6" s="199"/>
      <c r="G6" s="199"/>
      <c r="H6" s="196"/>
      <c r="I6" s="196"/>
      <c r="J6" s="14">
        <f t="shared" si="1"/>
        <v>0</v>
      </c>
      <c r="K6" s="20" t="s">
        <v>2037</v>
      </c>
    </row>
    <row r="7">
      <c r="A7" s="198"/>
      <c r="B7" s="198"/>
      <c r="C7" s="199"/>
      <c r="D7" s="198"/>
      <c r="E7" s="199"/>
      <c r="F7" s="199"/>
      <c r="G7" s="199"/>
      <c r="H7" s="196"/>
      <c r="I7" s="196"/>
      <c r="J7" s="14">
        <f t="shared" si="1"/>
        <v>0</v>
      </c>
      <c r="K7" s="20" t="s">
        <v>2037</v>
      </c>
    </row>
    <row r="8">
      <c r="A8" s="198"/>
      <c r="B8" s="198"/>
      <c r="C8" s="199"/>
      <c r="D8" s="196"/>
      <c r="E8" s="199"/>
      <c r="F8" s="199"/>
      <c r="G8" s="199"/>
      <c r="H8" s="196"/>
      <c r="I8" s="196"/>
      <c r="J8" s="14">
        <f t="shared" si="1"/>
        <v>0</v>
      </c>
      <c r="K8" s="20" t="s">
        <v>2037</v>
      </c>
    </row>
    <row r="9">
      <c r="A9" s="200"/>
      <c r="B9" s="198"/>
      <c r="C9" s="199"/>
      <c r="D9" s="198"/>
      <c r="E9" s="199"/>
      <c r="F9" s="199"/>
      <c r="G9" s="199"/>
      <c r="H9" s="196"/>
      <c r="I9" s="196"/>
      <c r="J9" s="14">
        <f t="shared" si="1"/>
        <v>0</v>
      </c>
      <c r="K9" s="20" t="s">
        <v>2037</v>
      </c>
    </row>
    <row r="10">
      <c r="A10" s="201"/>
      <c r="B10" s="198"/>
      <c r="C10" s="199"/>
      <c r="D10" s="198"/>
      <c r="E10" s="199"/>
      <c r="F10" s="199"/>
      <c r="G10" s="202"/>
      <c r="H10" s="196"/>
      <c r="I10" s="196"/>
      <c r="J10" s="14">
        <f t="shared" si="1"/>
        <v>0</v>
      </c>
      <c r="K10" s="20" t="s">
        <v>2037</v>
      </c>
    </row>
    <row r="11">
      <c r="A11" s="200"/>
      <c r="B11" s="198"/>
      <c r="C11" s="199"/>
      <c r="D11" s="198"/>
      <c r="E11" s="199"/>
      <c r="F11" s="199"/>
      <c r="G11" s="199"/>
      <c r="H11" s="196"/>
      <c r="I11" s="196"/>
      <c r="J11" s="14">
        <f t="shared" si="1"/>
        <v>0</v>
      </c>
      <c r="K11" s="20" t="s">
        <v>2037</v>
      </c>
    </row>
    <row r="12">
      <c r="A12" s="196"/>
      <c r="B12" s="198"/>
      <c r="C12" s="197"/>
      <c r="D12" s="196"/>
      <c r="E12" s="197"/>
      <c r="F12" s="197"/>
      <c r="G12" s="197"/>
      <c r="H12" s="196"/>
      <c r="I12" s="196"/>
      <c r="J12" s="14">
        <f t="shared" si="1"/>
        <v>0</v>
      </c>
      <c r="K12" s="20" t="s">
        <v>2037</v>
      </c>
    </row>
    <row r="13">
      <c r="A13" s="198"/>
      <c r="B13" s="198"/>
      <c r="C13" s="199"/>
      <c r="D13" s="196"/>
      <c r="E13" s="199"/>
      <c r="F13" s="199"/>
      <c r="G13" s="199"/>
      <c r="H13" s="38"/>
      <c r="I13" s="196"/>
      <c r="J13" s="14">
        <f t="shared" si="1"/>
        <v>0</v>
      </c>
      <c r="K13" s="20" t="s">
        <v>2037</v>
      </c>
    </row>
    <row r="14">
      <c r="A14" s="203"/>
      <c r="B14" s="198"/>
      <c r="C14" s="199"/>
      <c r="D14" s="198"/>
      <c r="E14" s="202"/>
      <c r="F14" s="199"/>
      <c r="G14" s="202"/>
      <c r="H14" s="196"/>
      <c r="I14" s="196"/>
      <c r="J14" s="14">
        <f t="shared" si="1"/>
        <v>0</v>
      </c>
      <c r="K14" s="20" t="s">
        <v>2037</v>
      </c>
    </row>
    <row r="15">
      <c r="A15" s="198"/>
      <c r="B15" s="198"/>
      <c r="C15" s="199"/>
      <c r="D15" s="196"/>
      <c r="E15" s="199"/>
      <c r="F15" s="199"/>
      <c r="G15" s="199"/>
      <c r="H15" s="196"/>
      <c r="I15" s="196"/>
      <c r="J15" s="14">
        <f t="shared" si="1"/>
        <v>0</v>
      </c>
      <c r="K15" s="20" t="s">
        <v>2037</v>
      </c>
    </row>
    <row r="16">
      <c r="A16" s="198"/>
      <c r="B16" s="198"/>
      <c r="C16" s="199"/>
      <c r="D16" s="198"/>
      <c r="E16" s="199"/>
      <c r="F16" s="199"/>
      <c r="G16" s="199"/>
      <c r="H16" s="196"/>
      <c r="I16" s="196"/>
      <c r="J16" s="14">
        <f t="shared" si="1"/>
        <v>0</v>
      </c>
      <c r="K16" s="20" t="s">
        <v>2037</v>
      </c>
    </row>
    <row r="17">
      <c r="A17" s="196"/>
      <c r="B17" s="38"/>
      <c r="C17" s="197"/>
      <c r="D17" s="196"/>
      <c r="E17" s="197"/>
      <c r="F17" s="197"/>
      <c r="G17" s="197"/>
      <c r="H17" s="196"/>
      <c r="I17" s="196"/>
      <c r="J17" s="14">
        <f t="shared" si="1"/>
        <v>0</v>
      </c>
      <c r="K17" s="20" t="s">
        <v>2037</v>
      </c>
    </row>
    <row r="18">
      <c r="A18" s="204"/>
      <c r="B18" s="198"/>
      <c r="C18" s="205"/>
      <c r="D18" s="206"/>
      <c r="E18" s="205"/>
      <c r="F18" s="205"/>
      <c r="G18" s="205"/>
      <c r="H18" s="196"/>
      <c r="I18" s="196"/>
      <c r="J18" s="14">
        <f t="shared" si="1"/>
        <v>0</v>
      </c>
      <c r="K18" s="20" t="s">
        <v>2037</v>
      </c>
    </row>
    <row r="19">
      <c r="A19" s="198"/>
      <c r="B19" s="198"/>
      <c r="C19" s="199"/>
      <c r="D19" s="198"/>
      <c r="E19" s="199"/>
      <c r="F19" s="199"/>
      <c r="G19" s="199"/>
      <c r="H19" s="196"/>
      <c r="I19" s="196"/>
      <c r="J19" s="14">
        <f t="shared" si="1"/>
        <v>0</v>
      </c>
      <c r="K19" s="20" t="s">
        <v>2037</v>
      </c>
    </row>
    <row r="20">
      <c r="A20" s="203"/>
      <c r="B20" s="198"/>
      <c r="C20" s="199"/>
      <c r="D20" s="196"/>
      <c r="E20" s="199"/>
      <c r="F20" s="199"/>
      <c r="G20" s="202"/>
      <c r="H20" s="196"/>
      <c r="I20" s="196"/>
      <c r="J20" s="14">
        <f t="shared" si="1"/>
        <v>0</v>
      </c>
      <c r="K20" s="20" t="s">
        <v>2037</v>
      </c>
    </row>
    <row r="21">
      <c r="A21" s="196"/>
      <c r="B21" s="196"/>
      <c r="C21" s="197"/>
      <c r="D21" s="196"/>
      <c r="E21" s="197"/>
      <c r="F21" s="197"/>
      <c r="G21" s="197"/>
      <c r="H21" s="196"/>
      <c r="I21" s="196"/>
      <c r="J21" s="14">
        <f t="shared" si="1"/>
        <v>0</v>
      </c>
      <c r="K21" s="20" t="s">
        <v>2037</v>
      </c>
    </row>
    <row r="22">
      <c r="A22" s="196"/>
      <c r="B22" s="196"/>
      <c r="C22" s="197"/>
      <c r="D22" s="196"/>
      <c r="E22" s="197"/>
      <c r="F22" s="197"/>
      <c r="G22" s="197"/>
      <c r="H22" s="196"/>
      <c r="I22" s="196"/>
      <c r="J22" s="14">
        <f t="shared" si="1"/>
        <v>0</v>
      </c>
      <c r="K22" s="20" t="s">
        <v>2037</v>
      </c>
    </row>
    <row r="23">
      <c r="A23" s="196"/>
      <c r="B23" s="196"/>
      <c r="C23" s="197"/>
      <c r="D23" s="198"/>
      <c r="E23" s="197"/>
      <c r="F23" s="197"/>
      <c r="G23" s="197"/>
      <c r="H23" s="196"/>
      <c r="I23" s="196"/>
      <c r="J23" s="14">
        <f t="shared" si="1"/>
        <v>0</v>
      </c>
      <c r="K23" s="20" t="s">
        <v>2037</v>
      </c>
    </row>
    <row r="24">
      <c r="A24" s="194"/>
      <c r="B24" s="194"/>
      <c r="C24" s="194"/>
      <c r="D24" s="194"/>
      <c r="E24" s="194"/>
      <c r="F24" s="194"/>
      <c r="G24" s="193" t="s">
        <v>1724</v>
      </c>
      <c r="H24" s="195">
        <f>SUM(H3:H23)</f>
        <v>0</v>
      </c>
      <c r="I24" s="194"/>
      <c r="J24" s="194" t="str">
        <f>SUM(J3:J22)/H24</f>
        <v>#DIV/0!</v>
      </c>
      <c r="K24" s="194"/>
    </row>
    <row r="25">
      <c r="I25" s="14"/>
      <c r="J25" s="14"/>
      <c r="K25" s="14"/>
      <c r="L25" s="14"/>
      <c r="M25" s="14"/>
      <c r="N25" s="14"/>
    </row>
    <row r="26">
      <c r="H26" s="14"/>
      <c r="I26" s="14"/>
      <c r="J26" s="14"/>
      <c r="K26" s="14"/>
    </row>
  </sheetData>
  <autoFilter ref="$A$2:$AB$24">
    <sortState ref="A2:AB24">
      <sortCondition ref="E2:E24"/>
      <sortCondition ref="G2:G24"/>
    </sortState>
  </autoFilter>
  <conditionalFormatting sqref="I25:N26 O25:AB25 H26">
    <cfRule type="notContainsBlanks" dxfId="5" priority="1">
      <formula>LEN(TRIM(I25))&gt;0</formula>
    </cfRule>
  </conditionalFormatting>
  <conditionalFormatting sqref="B3 B8:B9 B11:B14 B18 B20:B23 B26">
    <cfRule type="cellIs" dxfId="0" priority="2" operator="equal">
      <formula>"Void"</formula>
    </cfRule>
  </conditionalFormatting>
  <conditionalFormatting sqref="B3 B8:B9 B11:B14 B18 B20:B23 B26">
    <cfRule type="cellIs" dxfId="1" priority="3" operator="equal">
      <formula>"Divine"</formula>
    </cfRule>
  </conditionalFormatting>
  <conditionalFormatting sqref="B3 B8:B9 B11:B14 B18 B20:B23 B26">
    <cfRule type="cellIs" dxfId="2" priority="4" operator="equal">
      <formula>"Mortal"</formula>
    </cfRule>
  </conditionalFormatting>
  <conditionalFormatting sqref="B3 B8:B9 B11:B14 B18 B20:B23 B26">
    <cfRule type="cellIs" dxfId="3" priority="5" operator="equal">
      <formula>"Elemental"</formula>
    </cfRule>
  </conditionalFormatting>
  <conditionalFormatting sqref="B3 B8:B9 B11:B14 B18 B20:B23 B26">
    <cfRule type="cellIs" dxfId="4" priority="6" operator="equal">
      <formula>"Nature"</formula>
    </cfRule>
  </conditionalFormatting>
  <conditionalFormatting sqref="B3">
    <cfRule type="cellIs" dxfId="4" priority="7" operator="equal">
      <formula>"Nature"</formula>
    </cfRule>
  </conditionalFormatting>
  <conditionalFormatting sqref="B3">
    <cfRule type="cellIs" dxfId="4" priority="8" operator="equal">
      <formula>"Nature"</formula>
    </cfRule>
  </conditionalFormatting>
  <conditionalFormatting sqref="B3 B8:B9 B11:B14 B20">
    <cfRule type="cellIs" dxfId="4" priority="9" operator="equal">
      <formula>"Nature"</formula>
    </cfRule>
  </conditionalFormatting>
  <conditionalFormatting sqref="B3">
    <cfRule type="cellIs" dxfId="4" priority="10" operator="equal">
      <formula>"Nature"</formula>
    </cfRule>
  </conditionalFormatting>
  <conditionalFormatting sqref="B3 B19:B20">
    <cfRule type="cellIs" dxfId="4" priority="11" operator="equal">
      <formula>"Nature"</formula>
    </cfRule>
  </conditionalFormatting>
  <conditionalFormatting sqref="B3">
    <cfRule type="cellIs" dxfId="4" priority="12" operator="equal">
      <formula>"Nature"</formula>
    </cfRule>
  </conditionalFormatting>
  <conditionalFormatting sqref="B3">
    <cfRule type="cellIs" dxfId="4" priority="13" operator="equal">
      <formula>"Nature"</formula>
    </cfRule>
  </conditionalFormatting>
  <conditionalFormatting sqref="B3 B8:B9 B11:B14 B20">
    <cfRule type="cellIs" dxfId="4" priority="14" operator="equal">
      <formula>"Nature"</formula>
    </cfRule>
  </conditionalFormatting>
  <conditionalFormatting sqref="B3">
    <cfRule type="cellIs" dxfId="4" priority="15" operator="equal">
      <formula>"Nature"</formula>
    </cfRule>
  </conditionalFormatting>
  <conditionalFormatting sqref="B3">
    <cfRule type="cellIs" dxfId="4" priority="16" operator="equal">
      <formula>"Nature"</formula>
    </cfRule>
  </conditionalFormatting>
  <conditionalFormatting sqref="B3 B8:B9 B11:B17 B20">
    <cfRule type="cellIs" dxfId="4" priority="17" operator="equal">
      <formula>"Nature"</formula>
    </cfRule>
  </conditionalFormatting>
  <conditionalFormatting sqref="B3 B13">
    <cfRule type="cellIs" dxfId="4" priority="18" operator="equal">
      <formula>"Nature"</formula>
    </cfRule>
  </conditionalFormatting>
  <conditionalFormatting sqref="B3">
    <cfRule type="cellIs" dxfId="4" priority="19" operator="equal">
      <formula>"Nature"</formula>
    </cfRule>
  </conditionalFormatting>
  <conditionalFormatting sqref="B3">
    <cfRule type="cellIs" dxfId="4" priority="20" operator="equal">
      <formula>"Nature"</formula>
    </cfRule>
  </conditionalFormatting>
  <conditionalFormatting sqref="B3 B12">
    <cfRule type="cellIs" dxfId="4" priority="21" operator="equal">
      <formula>"Nature"</formula>
    </cfRule>
  </conditionalFormatting>
  <conditionalFormatting sqref="B3">
    <cfRule type="cellIs" dxfId="4" priority="22" operator="equal">
      <formula>"Nature"</formula>
    </cfRule>
  </conditionalFormatting>
  <conditionalFormatting sqref="B3">
    <cfRule type="cellIs" dxfId="4" priority="23" operator="equal">
      <formula>"Nature"</formula>
    </cfRule>
  </conditionalFormatting>
  <conditionalFormatting sqref="B3 B11 B20">
    <cfRule type="cellIs" dxfId="4" priority="24" operator="equal">
      <formula>"Nature"</formula>
    </cfRule>
  </conditionalFormatting>
  <conditionalFormatting sqref="B3 B10">
    <cfRule type="cellIs" dxfId="4" priority="25" operator="equal">
      <formula>"Nature"</formula>
    </cfRule>
  </conditionalFormatting>
  <conditionalFormatting sqref="B3 B8:B9 B11:B12 B20">
    <cfRule type="cellIs" dxfId="4" priority="26" operator="equal">
      <formula>"Nature"</formula>
    </cfRule>
  </conditionalFormatting>
  <conditionalFormatting sqref="B3 B7">
    <cfRule type="cellIs" dxfId="4" priority="27" operator="equal">
      <formula>"Nature"</formula>
    </cfRule>
  </conditionalFormatting>
  <conditionalFormatting sqref="B3 B5:B6">
    <cfRule type="cellIs" dxfId="4" priority="28" operator="equal">
      <formula>"Nature"</formula>
    </cfRule>
  </conditionalFormatting>
  <conditionalFormatting sqref="B3:B4">
    <cfRule type="cellIs" dxfId="4" priority="29" operator="equal">
      <formula>"Nature"</formula>
    </cfRule>
  </conditionalFormatting>
  <conditionalFormatting sqref="B3">
    <cfRule type="cellIs" dxfId="4" priority="30" operator="equal">
      <formula>"Nature"</formula>
    </cfRule>
  </conditionalFormatting>
  <dataValidations>
    <dataValidation type="custom" allowBlank="1" showDropDown="1" showErrorMessage="1" sqref="I25:N25 H26:K26">
      <formula1>IFERROR(ISURL(H25), true)</formula1>
    </dataValidation>
  </dataValidations>
  <drawing r:id="rId1"/>
</worksheet>
</file>