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Karten'!$A$1:$AB$344</definedName>
  </definedNames>
  <calcPr/>
</workbook>
</file>

<file path=xl/sharedStrings.xml><?xml version="1.0" encoding="utf-8"?>
<sst xmlns="http://schemas.openxmlformats.org/spreadsheetml/2006/main" count="3287" uniqueCount="1824">
  <si>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</si>
  <si>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</si>
  <si>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</si>
  <si>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</si>
  <si>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</si>
  <si>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</si>
  <si>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</si>
  <si>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</si>
  <si>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</si>
  <si>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</si>
  <si>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</si>
  <si>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</si>
  <si>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</si>
  <si>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</si>
  <si>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</si>
  <si>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</si>
  <si>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</si>
  <si>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</si>
  <si>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</si>
  <si>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</si>
  <si>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</si>
  <si>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</si>
  <si>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</si>
  <si>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</si>
  <si>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</si>
  <si>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</si>
  <si>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</si>
  <si>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</si>
  <si>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Aethergolem</t>
  </si>
  <si>
    <t>Construct Wizard</t>
  </si>
  <si>
    <t>Ascend: Construct.</t>
  </si>
  <si>
    <t>Ascend</t>
  </si>
  <si>
    <t>D</t>
  </si>
  <si>
    <t>Common</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</si>
  <si>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</si>
  <si>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</si>
  <si>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</si>
  <si>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</si>
  <si>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</si>
  <si>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</si>
  <si>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</si>
  <si>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</si>
  <si>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</si>
  <si>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Ascendant Faithweaver</t>
  </si>
  <si>
    <t>Human</t>
  </si>
  <si>
    <t>Ascend: Divine. When this ascends, glimpse 2.</t>
  </si>
  <si>
    <t>Avenging Force</t>
  </si>
  <si>
    <t>Angel Warrior</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</si>
  <si>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</si>
  <si>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</si>
  <si>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</si>
  <si>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</si>
  <si>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</si>
  <si>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</si>
  <si>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</si>
  <si>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</si>
  <si>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</si>
  <si>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</si>
  <si>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</si>
  <si>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Blackmarble Gargoyle</t>
  </si>
  <si>
    <t>Construct Dragon</t>
  </si>
  <si>
    <t>Deploy: Gain Taunt.</t>
  </si>
  <si>
    <t>Birthed from obsidian skies, this divine Beast hungers not for reverence, but for blood.</t>
  </si>
  <si>
    <t>D, D, ?, ?, ?, ?</t>
  </si>
  <si>
    <t>black marble gargoyle, snaking around a large tower, large, threatening, dragonic, stone creature, made of living stone, historical and mythical art style, colorful</t>
  </si>
  <si>
    <t>https://alpha.midjourney.com/jobs/a408d92c-6e6e-4d30-93ad-e526a5c9555f?index=3</t>
  </si>
  <si>
    <t>Chronosand Sphinx</t>
  </si>
  <si>
    <t>Crystallize: Gain Crystalborn. Deploy: Every Player may return one of their Crystals to their Hand.</t>
  </si>
  <si>
    <t>Its gaze stretches into tomorrow, trapping foes in a slow dance of dwindling chances.</t>
  </si>
  <si>
    <t>Uncommon</t>
  </si>
  <si>
    <t>chronosand sphinx, leaning on a huge hourglass, blue glow, time magic, large, wise, thoughtful, sandstone creature, made of stone, historical and mythical art style, colorful</t>
  </si>
  <si>
    <t>https://alpha.midjourney.com/jobs/8c6c5803-34bd-4238-bf4b-5436f269949d?index=3</t>
  </si>
  <si>
    <t>Crusader of the Desert Winds</t>
  </si>
  <si>
    <t>Crusader Spirit Warrior</t>
  </si>
  <si>
    <t>Deploy: Gains +1 Power for each adjacent enemy Unit of a different Realm.</t>
  </si>
  <si>
    <t>Drawing might from each new foe, his power echoes the desert's vastness.</t>
  </si>
  <si>
    <t>Cryptosphinx</t>
  </si>
  <si>
    <t>Construct</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</si>
  <si>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</si>
  <si>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</si>
  <si>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</si>
  <si>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</si>
  <si>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</si>
  <si>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</si>
  <si>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</si>
  <si>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</si>
  <si>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</si>
  <si>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</si>
  <si>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</si>
  <si>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</si>
  <si>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</si>
  <si>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</si>
  <si>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</si>
  <si>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</si>
  <si>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Diviner of Fates</t>
  </si>
  <si>
    <t>Angel Wizard</t>
  </si>
  <si>
    <t>Deploy: Gain Ward. You may move an adjacent enemy Unit.</t>
  </si>
  <si>
    <t>Even the fate of gods is nothing but a game when you can see the future.</t>
  </si>
  <si>
    <t>D, ?, ?</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</si>
  <si>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</si>
  <si>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</si>
  <si>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</si>
  <si>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</si>
  <si>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Doma Angel</t>
  </si>
  <si>
    <t>In her shadow, destiny is sealed.</t>
  </si>
  <si>
    <t>D, ?</t>
  </si>
  <si>
    <t>Dream traveler, historical and mythical art style, colorful, angel, mystical, unreal, dreamlike, semi transparent, weightless</t>
  </si>
  <si>
    <t>https://alpha.midjourney.com/jobs/e10bf9b3-3d4a-458c-b4e9-595c4cddd9bf?index=0</t>
  </si>
  <si>
    <t>https://alpha.midjourney.com/jobs/bf2b9797-ca47-418b-8b51-f73b166d794e?index=0</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</si>
  <si>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</si>
  <si>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</si>
  <si>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</si>
  <si>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</si>
  <si>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</si>
  <si>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</si>
  <si>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Dream Traveler</t>
  </si>
  <si>
    <t>Deploy: This gains Ward. Crystallize: You may return a friendly Unit to your Hand.</t>
  </si>
  <si>
    <t>Bounce</t>
  </si>
  <si>
    <t>https://alpha.midjourney.com/jobs/1ae58892-c0c7-4cd2-b4f2-61e436a76acb?index=0</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</si>
  <si>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</si>
  <si>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</si>
  <si>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</si>
  <si>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</si>
  <si>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</si>
  <si>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</si>
  <si>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</si>
  <si>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</si>
  <si>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</si>
  <si>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</si>
  <si>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</si>
  <si>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</si>
  <si>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</si>
  <si>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Guardian Angel</t>
  </si>
  <si>
    <t>Deploy: Gain Ward. Start of your Turn: You may bury this to unearth a friendly Unit. It gains Ward.</t>
  </si>
  <si>
    <t>Silent sentry of the skies, shielding the innocent with unseen wings.</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</si>
  <si>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</si>
  <si>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</si>
  <si>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</si>
  <si>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</si>
  <si>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</si>
  <si>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Hallowed Exorcist</t>
  </si>
  <si>
    <t>Human Hunter</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</si>
  <si>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</si>
  <si>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</si>
  <si>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</si>
  <si>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</si>
  <si>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Harmonic Echo</t>
  </si>
  <si>
    <t>Angel Spirit</t>
  </si>
  <si>
    <t>Ally of Angel: This and an adjacent friendly Unit gain Ward and +1 Power.</t>
  </si>
  <si>
    <t>In its wake, a symphony lingers, resonating with the pulse of the divine.</t>
  </si>
  <si>
    <t>D, D, ?, ?</t>
  </si>
  <si>
    <t>harmonic echo, historical and mythical art style, serene, peaceful, calm, happy, angel playing harp, ancient greek</t>
  </si>
  <si>
    <t>https://alpha.midjourney.com/jobs/2fb88f6b-7b37-40f3-9ddf-e46da64b9024?index=2</t>
  </si>
  <si>
    <t>Herald of Eternal Grace</t>
  </si>
  <si>
    <t>Crystallize: Unleash &lt;D&gt;&lt;D&gt;&lt;D&gt;: Cleanse a Unit or give a Unit Ward.</t>
  </si>
  <si>
    <t>????????</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</si>
  <si>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</si>
  <si>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</si>
  <si>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</si>
  <si>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</si>
  <si>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</si>
  <si>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</si>
  <si>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</si>
  <si>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</si>
  <si>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</si>
  <si>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Start of your Turn: You may bury a friendly Angel Unit to bury an adjacent enemy Unit.</t>
  </si>
  <si>
    <t>The gavel strikes with the weight of lost souls, his justice as dark as the void.</t>
  </si>
  <si>
    <t>Kylix of Excess</t>
  </si>
  <si>
    <t>Construct Demon</t>
  </si>
  <si>
    <t xml:space="preserve">Ascend: Void. Crystallize: Gain Crystalborn. When this ascends, draw two Cards. </t>
  </si>
  <si>
    <t>Ascend, Artifact</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</si>
  <si>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</si>
  <si>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</si>
  <si>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</si>
  <si>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</si>
  <si>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</si>
  <si>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Monolith of Meditation</t>
  </si>
  <si>
    <t>Deploy and Conquer: Cleanse a Unit in this Lane.</t>
  </si>
  <si>
    <t>Unmoving and serene, it stands as a testament to the quiet power of thought over turmoil.</t>
  </si>
  <si>
    <t>D, ?, ?, ?, ?, ?</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</si>
  <si>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</si>
  <si>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</si>
  <si>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</si>
  <si>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</si>
  <si>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</si>
  <si>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</si>
  <si>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Oasis Sprite</t>
  </si>
  <si>
    <t>Angel Plant</t>
  </si>
  <si>
    <t>Crystallize: Gain Crystalborn. Deploy: Draw a Card.</t>
  </si>
  <si>
    <t>From her touch, the desert blooms and weary travelers find respite.</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</si>
  <si>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</si>
  <si>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</si>
  <si>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</si>
  <si>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</si>
  <si>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</si>
  <si>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</si>
  <si>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</si>
  <si>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</si>
  <si>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Pyramidion</t>
  </si>
  <si>
    <t>Whenever a friendly Construct is deployed adjacently, all friendly Construct Units in this Lane gain +1 Power.</t>
  </si>
  <si>
    <t>Remote</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</si>
  <si>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</si>
  <si>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</si>
  <si>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</si>
  <si>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</si>
  <si>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</si>
  <si>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</si>
  <si>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</si>
  <si>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</si>
  <si>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</si>
  <si>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</si>
  <si>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Solarsteel Prodigy</t>
  </si>
  <si>
    <t>Ascend: Construct or Warrior or Angel. Deploy: Gain +2 Power.</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</si>
  <si>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</si>
  <si>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</si>
  <si>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</si>
  <si>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</si>
  <si>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Swiftblade Revenger</t>
  </si>
  <si>
    <t>Whenever an enemy Unit is deployed adjacently, you may move this.</t>
  </si>
  <si>
    <t>With twin blades dancing like lightning, her vengeance is as swift as it is deadly.</t>
  </si>
  <si>
    <t>The Kitty of Thamiel</t>
  </si>
  <si>
    <t>Animal Spirit</t>
  </si>
  <si>
    <t>Deploy: If you have 12 or fewer Cards your Deck, gain +4 Power and draw a Card.</t>
  </si>
  <si>
    <t>Deck</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</si>
  <si>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</si>
  <si>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</si>
  <si>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</si>
  <si>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</si>
  <si>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</si>
  <si>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</si>
  <si>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</si>
  <si>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</si>
  <si>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</si>
  <si>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</si>
  <si>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</si>
  <si>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</si>
  <si>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</si>
  <si>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Towering Obelisk of Xi</t>
  </si>
  <si>
    <t>Ascend: Construct. When this ascends, all friendly Units with Ascend gain +2 Power.</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</si>
  <si>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</si>
  <si>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</si>
  <si>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</si>
  <si>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</si>
  <si>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</si>
  <si>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</si>
  <si>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Winged Ushabti</t>
  </si>
  <si>
    <t>Construct Insect</t>
  </si>
  <si>
    <t>Crystallize: This Turn, you may bury this to give a friendly Unit Ascend.</t>
  </si>
  <si>
    <t>Found more insect statuettes, remarkably detailed. Purpose? Unknown, but likely venerating ancient, lost species.</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</si>
  <si>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</si>
  <si>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</si>
  <si>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</si>
  <si>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</si>
  <si>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</si>
  <si>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</si>
  <si>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</si>
  <si>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</si>
  <si>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</si>
  <si>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</si>
  <si>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</si>
  <si>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</si>
  <si>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Crimson Flamechick</t>
  </si>
  <si>
    <t>Divine Elemental</t>
  </si>
  <si>
    <t>When this gets buried, bury an adjacent enemy Unit.</t>
  </si>
  <si>
    <t>A spark today, an inferno tomorrow; its flame never extinguished, merely reborn.</t>
  </si>
  <si>
    <t>D, E</t>
  </si>
  <si>
    <t>crimson flamechick, tiny cute little phoenix, burning wings, small bird, tiny bird--no fire human humanoid</t>
  </si>
  <si>
    <t>https://alpha.midjourney.com/jobs/0867635b-b993-4e89-adc9-840fac5e98ae?index=2</t>
  </si>
  <si>
    <t>Golden Phoenix</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</si>
  <si>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</si>
  <si>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</si>
  <si>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</si>
  <si>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</si>
  <si>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</si>
  <si>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</si>
  <si>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</si>
  <si>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</si>
  <si>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</si>
  <si>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</si>
  <si>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</si>
  <si>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</si>
  <si>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</si>
  <si>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</si>
  <si>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</si>
  <si>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</si>
  <si>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</si>
  <si>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</si>
  <si>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Thunderswarm Celestial</t>
  </si>
  <si>
    <t>Angel Bannerbearer Warrior</t>
  </si>
  <si>
    <t>Whenever he flaps his wings, muted thunder rumbles, and soft arcs of electricity dance around his form.</t>
  </si>
  <si>
    <t>thunderswarm celestial, norse angel, broad shoulders, red beard, from the front</t>
  </si>
  <si>
    <t>https://alpha.midjourney.com/jobs/496903ec-9e29-4e96-baed-fbc1c72e67a2?index=3</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</si>
  <si>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</si>
  <si>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</si>
  <si>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</si>
  <si>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Desertwind Relic Hunter</t>
  </si>
  <si>
    <t>Divine Mortal</t>
  </si>
  <si>
    <t>Deploy: Unearth a Crystal to give a friendly Unit in this Lane +3 Power.</t>
  </si>
  <si>
    <t>Beneath the sun's relentless gaze, he realized: some powers were buried for a reason, their containment not loss, but salvation.</t>
  </si>
  <si>
    <t>D, M, ?, ?, ?</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</si>
  <si>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</si>
  <si>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</si>
  <si>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</si>
  <si>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</si>
  <si>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</si>
  <si>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</si>
  <si>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</si>
  <si>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</si>
  <si>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</si>
  <si>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</si>
  <si>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</si>
  <si>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</si>
  <si>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Human Wizard</t>
  </si>
  <si>
    <t>Deploy: Choose one: - Cleanse a Unit in this Lane. - Unearth a Unit in this Lane and give it +2 Power.</t>
  </si>
  <si>
    <t>Bathed in moonlight, her healing touch mends more than flesh; it soothes the soul.</t>
  </si>
  <si>
    <t>D, M, ?, ?</t>
  </si>
  <si>
    <t>ancient greek moon priestess--no fire human humanoid</t>
  </si>
  <si>
    <t>https://alpha.midjourney.com/jobs/fe304cba-fe68-4bea-a089-694d2e71a394?index=2</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</si>
  <si>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</si>
  <si>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</si>
  <si>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</si>
  <si>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</si>
  <si>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</si>
  <si>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</si>
  <si>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Shattercrown Luminary</t>
  </si>
  <si>
    <t>Deploy: Glimpse 3. You may reveal the top Card of your Deck. If it's a Common Card, draw it.</t>
  </si>
  <si>
    <t>From the humblest depths, she reveals unseen potential.</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</si>
  <si>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</si>
  <si>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</si>
  <si>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</si>
  <si>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</si>
  <si>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</si>
  <si>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</si>
  <si>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</si>
  <si>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</si>
  <si>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</si>
  <si>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</si>
  <si>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</si>
  <si>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</si>
  <si>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</si>
  <si>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</si>
  <si>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</si>
  <si>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</si>
  <si>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</si>
  <si>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</si>
  <si>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</si>
  <si>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</si>
  <si>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Obelisk Waypost</t>
  </si>
  <si>
    <t>Construct Plant</t>
  </si>
  <si>
    <t>Start of your Turn: You may bury this to glimpse 2, to crystallize the top Card of your Deck and to draw a Card.</t>
  </si>
  <si>
    <t>Without a guide, the desert is a death sentence.</t>
  </si>
  <si>
    <t>D, N, ?,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</si>
  <si>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</si>
  <si>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</si>
  <si>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</si>
  <si>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</si>
  <si>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</si>
  <si>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</si>
  <si>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</si>
  <si>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</si>
  <si>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</si>
  <si>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</si>
  <si>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</si>
  <si>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</si>
  <si>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</si>
  <si>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</si>
  <si>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</si>
  <si>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</si>
  <si>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</si>
  <si>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</si>
  <si>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</si>
  <si>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</si>
  <si>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</si>
  <si>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</si>
  <si>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</si>
  <si>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Blackwing Usurper</t>
  </si>
  <si>
    <t>Divine Void</t>
  </si>
  <si>
    <t>Deploy: Gain Taunt. Ritual: Gain 3 Power. Ritual: Draw a Card.</t>
  </si>
  <si>
    <t>With a noble's grace and a traitor's heart, he delves into the depths of celestial betrayal.</t>
  </si>
  <si>
    <t>D, V, V, ?, ?</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</si>
  <si>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</si>
  <si>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</si>
  <si>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</si>
  <si>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</si>
  <si>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</si>
  <si>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</si>
  <si>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</si>
  <si>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</si>
  <si>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</si>
  <si>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</si>
  <si>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</si>
  <si>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</si>
  <si>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</si>
  <si>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</si>
  <si>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</si>
  <si>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</si>
  <si>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</si>
  <si>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</si>
  <si>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</si>
  <si>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</si>
  <si>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</si>
  <si>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</si>
  <si>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</si>
  <si>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</si>
  <si>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</si>
  <si>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</si>
  <si>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</si>
  <si>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</si>
  <si>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</si>
  <si>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</si>
  <si>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</si>
  <si>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</si>
  <si>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</si>
  <si>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</si>
  <si>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</si>
  <si>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</si>
  <si>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</si>
  <si>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</si>
  <si>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</si>
  <si>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</si>
  <si>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</si>
  <si>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</si>
  <si>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</si>
  <si>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</si>
  <si>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</si>
  <si>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</si>
  <si>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</si>
  <si>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Airstep Sifu</t>
  </si>
  <si>
    <t>Ally of Spirit: Draw a Card and gain +2 Power.</t>
  </si>
  <si>
    <t>With every step, a choice: draw from the well of knowledge or the wellspring of power.</t>
  </si>
  <si>
    <t>E, ?, ?</t>
  </si>
  <si>
    <t>Amberlock Dragonling</t>
  </si>
  <si>
    <t>Dragon</t>
  </si>
  <si>
    <t>Ritual: Gain +4 Power.</t>
  </si>
  <si>
    <t>Clutched in youthful talons lies a fragment of legend, making each hunt not just a pursuit for prey, but a dance with destiny.</t>
  </si>
  <si>
    <t>E, ?</t>
  </si>
  <si>
    <t>amberlock dragonling, baby dragon, climbing out of a dragon egg, cute, adorable, colorful</t>
  </si>
  <si>
    <t>https://alpha.midjourney.com/jobs/31869c2e-79e0-44a2-bcb2-ef2489f226ad?index=3</t>
  </si>
  <si>
    <t>https://alpha.midjourney.com/jobs/86e09484-75c2-4d9e-b33e-31faa3d4e251?index=2</t>
  </si>
  <si>
    <t>https://alpha.midjourney.com/jobs/68e2c61d-f9ac-435e-8eb9-44ef82724758?index=1</t>
  </si>
  <si>
    <t>https://alpha.midjourney.com/jobs/02a937b0-dc30-4b61-a80a-775950a47d1e?index=0</t>
  </si>
  <si>
    <t>https://alpha.midjourney.com/jobs/f8926069-73ab-4045-b918-9cb77758a03b?index=3</t>
  </si>
  <si>
    <t>https://alpha.midjourney.com/jobs/a02f660a-1dce-436f-acb5-465e63f5bbc5?index=1</t>
  </si>
  <si>
    <t>https://alpha.midjourney.com/jobs/0e687280-8a8e-4bab-ba7e-71eecfd6f625?index=2</t>
  </si>
  <si>
    <t>https://alpha.midjourney.com/jobs/5e110d2e-a7e4-436b-bb11-4fb86e1580e9?index=3</t>
  </si>
  <si>
    <t>https://alpha.midjourney.com/jobs/5e110d2e-a7e4-436b-bb11-4fb86e1580e9?index=2</t>
  </si>
  <si>
    <t>https://alpha.midjourney.com/jobs/750ed738-29ba-42b6-8f6f-d878ddac70d4?index=1</t>
  </si>
  <si>
    <t>Arcanum Grandmaster</t>
  </si>
  <si>
    <t>Deploy: Gains +2 Power for each other friendly Wizard Unit.</t>
  </si>
  <si>
    <t>Under his watchful eye, talent flourishes; he is the guiding force behind a century of magical mastery.</t>
  </si>
  <si>
    <t>E, ?, ?, ?, ?</t>
  </si>
  <si>
    <t>Auraborne Wyvern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</si>
  <si>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</si>
  <si>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</si>
  <si>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</si>
  <si>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</si>
  <si>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</si>
  <si>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</si>
  <si>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Blood Moon Scarab</t>
  </si>
  <si>
    <t>Insect</t>
  </si>
  <si>
    <t>Whenever a Unit in this Lane is unearthed, gain its Power.</t>
  </si>
  <si>
    <t>E, E, ?</t>
  </si>
  <si>
    <t>blood moon scarab, insect, scuttling around, ancient mountain ruins</t>
  </si>
  <si>
    <t>https://alpha.midjourney.com/jobs/f076bedf-28b1-43a4-bdf8-5e57ad378122?index=3</t>
  </si>
  <si>
    <t>https://alpha.midjourney.com/jobs/2245d2f9-6faa-4d4c-9ddb-94e018ca54af?index=0</t>
  </si>
  <si>
    <t>https://alpha.midjourney.com/jobs/2245d2f9-6faa-4d4c-9ddb-94e018ca54af?index=2</t>
  </si>
  <si>
    <t>https://alpha.midjourney.com/jobs/8c7e4ea8-e35f-4309-86b6-e6a9f1efaecb?index=1</t>
  </si>
  <si>
    <t>https://alpha.midjourney.com/jobs/8c7e4ea8-e35f-4309-86b6-e6a9f1efaecb?index=2</t>
  </si>
  <si>
    <t>https://alpha.midjourney.com/jobs/ae00d456-a481-4034-a8c2-fdb97fffe7f6?index=1</t>
  </si>
  <si>
    <t>https://alpha.midjourney.com/jobs/ae00d456-a481-4034-a8c2-fdb97fffe7f6?index=2</t>
  </si>
  <si>
    <t>https://alpha.midjourney.com/jobs/78ae5a97-8656-4c23-992f-61f8947a1950?index=3</t>
  </si>
  <si>
    <t>https://alpha.midjourney.com/jobs/78ae5a97-8656-4c23-992f-61f8947a1950?index=2</t>
  </si>
  <si>
    <t>https://alpha.midjourney.com/jobs/237ccf0b-0f9d-4e23-b6d4-df327207e61c?index=1</t>
  </si>
  <si>
    <t>Boiling Blood Berserker</t>
  </si>
  <si>
    <t>Human Warrior</t>
  </si>
  <si>
    <t>Deploy: Gain Fear. Ascend: Dragon.</t>
  </si>
  <si>
    <t>His battle cry, a dragon's fury given voice.</t>
  </si>
  <si>
    <t>Cavern Lindwurm</t>
  </si>
  <si>
    <t>Ally of 5 or more Power: Gain Taunt and +3 Power.</t>
  </si>
  <si>
    <t>Where one dragon's roar shakes the cavern, two can bring mountains to their knees.</t>
  </si>
  <si>
    <t>E, E, ?, ?, ?</t>
  </si>
  <si>
    <t>cavern lindwurm, celtic snake dragon in a dimly lit cave, cruel, olive colored pale blind and broken scales</t>
  </si>
  <si>
    <t>https://alpha.midjourney.com/jobs/4cc82fb7-ff66-4625-86b9-bd6b6019e512?index=2</t>
  </si>
  <si>
    <t>https://alpha.midjourney.com/jobs/172ae98b-46c0-4825-b85b-219a47dfecc0?index=2</t>
  </si>
  <si>
    <t>https://alpha.midjourney.com/jobs/ab137782-70f1-4ba3-840a-49cf4fda7bbe?index=3</t>
  </si>
  <si>
    <t>https://alpha.midjourney.com/jobs/2780038d-6258-4c7a-a5e0-700cdfe423f9?index=0</t>
  </si>
  <si>
    <t>https://alpha.midjourney.com/jobs/20fb2d42-8fe0-4690-82e2-b7936769540e?index=1</t>
  </si>
  <si>
    <t>https://alpha.midjourney.com/jobs/bb160c1d-6202-4543-88a9-152dadcce248?index=2</t>
  </si>
  <si>
    <t>https://alpha.midjourney.com/jobs/42ab612c-d4a4-4640-b0eb-a0098355068a?index=2</t>
  </si>
  <si>
    <t>https://alpha.midjourney.com/jobs/42ab612c-d4a4-4640-b0eb-a0098355068a?index=1</t>
  </si>
  <si>
    <t>https://alpha.midjourney.com/jobs/da9010de-44c1-42bf-8bbc-f7eb026c1882?index=2</t>
  </si>
  <si>
    <t>https://alpha.midjourney.com/jobs/bdfca501-4b58-4f97-83e7-bcf89c7e7f5e?index=0</t>
  </si>
  <si>
    <t>Cheerful Pixies</t>
  </si>
  <si>
    <t>Spirit Wizard</t>
  </si>
  <si>
    <t>Deploy: Another friendly Elemental Unit in this Lane gains Taunt and +1 Power.</t>
  </si>
  <si>
    <t>With giggles and pranks, they lure foes closer, their laughter as entrancing as it is maddening.</t>
  </si>
  <si>
    <t>tiny fairy, mongolian, cheerful, with butterfly wings, in the forest, sitting in a flower, very small</t>
  </si>
  <si>
    <t>https://alpha.midjourney.com/jobs/5af4932e-1176-4e5d-a15a-6e1142f73928?index=2</t>
  </si>
  <si>
    <t>https://alpha.midjourney.com/jobs/e6e0a2be-8317-493d-9a2a-cb227f34a270?index=0</t>
  </si>
  <si>
    <t>https://alpha.midjourney.com/jobs/a530c54d-e253-4627-adf2-00999c92b877?index=1</t>
  </si>
  <si>
    <t>https://alpha.midjourney.com/jobs/05e7dc87-7c7f-400d-b1d6-3bce616d0bfb?index=0</t>
  </si>
  <si>
    <t>https://alpha.midjourney.com/jobs/a0c2bdad-9975-4339-8646-d109edd1ea08?index=0</t>
  </si>
  <si>
    <t>https://alpha.midjourney.com/jobs/e7a204c6-76d5-4cd7-9a02-e06393503315?index=2</t>
  </si>
  <si>
    <t>https://alpha.midjourney.com/jobs/36d433e2-f591-4ea5-b62a-5cb266b18ca8?index=3</t>
  </si>
  <si>
    <t>https://alpha.midjourney.com/jobs/e7a204c6-76d5-4cd7-9a02-e06393503315?index=0</t>
  </si>
  <si>
    <t>https://alpha.midjourney.com/jobs/05e7dc87-7c7f-400d-b1d6-3bce616d0bfb?index=2</t>
  </si>
  <si>
    <t>https://alpha.midjourney.com/jobs/b96d47c1-e03b-4dad-bc97-123945866ebe?index=3</t>
  </si>
  <si>
    <t>Cinderguard Irregulars</t>
  </si>
  <si>
    <t>In the ember's glow, hooded rebels rise, defying orders with fire in their eyes.</t>
  </si>
  <si>
    <t>cinderguard irregulars, 2 ancient roman bandits, red hoods, waiting in ambush, hiding behind tree, careful, cautious</t>
  </si>
  <si>
    <t>https://alpha.midjourney.com/jobs/b7bb5d22-b78d-4859-ab62-b8e907414ebf?index=1</t>
  </si>
  <si>
    <t>https://alpha.midjourney.com/jobs/f605d05d-eca6-4ad3-8b9d-de3c34ab78f5?index=1</t>
  </si>
  <si>
    <t>https://alpha.midjourney.com/jobs/021e9046-af64-4322-8e14-9b735bb77e33?index=3</t>
  </si>
  <si>
    <t>https://alpha.midjourney.com/jobs/6a07ff77-26e4-4409-95e3-13b470abd6f9?index=1</t>
  </si>
  <si>
    <t>https://alpha.midjourney.com/jobs/7dd032d6-0ed5-4d3f-926c-322526d5acea?index=3</t>
  </si>
  <si>
    <t>https://alpha.midjourney.com/jobs/78be4041-6983-4fec-ac2f-158748bc0f07?index=1</t>
  </si>
  <si>
    <t>https://alpha.midjourney.com/jobs/081fdde2-8231-41d5-aa5c-be3ff2f37b5d?index=2</t>
  </si>
  <si>
    <t>https://alpha.midjourney.com/jobs/e641b986-4bf2-46ee-bff1-f15abfe257b6?index=0</t>
  </si>
  <si>
    <t>https://alpha.midjourney.com/jobs/7f7e7244-f70d-4340-bc00-db8ba5869d51?index=0</t>
  </si>
  <si>
    <t>https://alpha.midjourney.com/jobs/fe6e9b6c-1cca-4a3d-b1ff-7bb7fd6ebc36?index=0</t>
  </si>
  <si>
    <t>Cinderguard Scribe</t>
  </si>
  <si>
    <t>Deploy: Choose one: - Glimpse 1. - Gain +1 Power.</t>
  </si>
  <si>
    <t>From his quill flows the ink of revolution, as fiery as the red hoods that mark their cause.</t>
  </si>
  <si>
    <t>cinderguard scribe, red hood, sitting in chamber, writing on a pergament scroll with a feather</t>
  </si>
  <si>
    <t>https://alpha.midjourney.com/jobs/d013a66e-19b4-4dec-ad91-83482b06319e?index=1</t>
  </si>
  <si>
    <t>https://alpha.midjourney.com/jobs/f6b88e68-28ee-4a1b-9280-939e7e23c7ec?index=1</t>
  </si>
  <si>
    <t>https://alpha.midjourney.com/jobs/f597e2fa-e022-4cff-be04-37c4d1d52ecb?index=3</t>
  </si>
  <si>
    <t>https://alpha.midjourney.com/jobs/1ddd3864-3f10-431d-9dbe-3e4a143074c6?index=2</t>
  </si>
  <si>
    <t>https://alpha.midjourney.com/jobs/65e663c8-cf04-4c54-9eb8-9755a000000b?index=2</t>
  </si>
  <si>
    <t>https://alpha.midjourney.com/jobs/1af2a498-3786-4ad5-aef0-a5378f2dfbf2?index=3</t>
  </si>
  <si>
    <t>https://alpha.midjourney.com/jobs/f9350fe6-d4bf-4a09-be2d-6d486b1be787?index=3</t>
  </si>
  <si>
    <t>https://alpha.midjourney.com/jobs/6364f253-c9ef-441f-a5a5-5cd35f3f48b4?index=2</t>
  </si>
  <si>
    <t>https://alpha.midjourney.com/jobs/6364f253-c9ef-441f-a5a5-5cd35f3f48b4?index=1</t>
  </si>
  <si>
    <t>https://alpha.midjourney.com/jobs/7438c9cc-d782-4fee-9713-d3f301d7df3e?index=1</t>
  </si>
  <si>
    <t>Daredevil Duo</t>
  </si>
  <si>
    <t>Dragon Human</t>
  </si>
  <si>
    <t>Crystallize and Deploy: Another friendly Unit gains Taunt.</t>
  </si>
  <si>
    <t>Where her courage leads, dragon fire follows - a ballet of blade and blaze, unmatched.</t>
  </si>
  <si>
    <t>E, E, ?, ?, ?, ?</t>
  </si>
  <si>
    <t>daredevil duo, a dragon and a female asian pirate swordfighter wearing a red sash</t>
  </si>
  <si>
    <t>https://alpha.midjourney.com/jobs/7e117333-a3b5-48ce-84fb-ea1d5889f52c?index=3</t>
  </si>
  <si>
    <t>https://alpha.midjourney.com/jobs/97f8b1ac-677e-491b-803f-a08321d0a5b3?index=0</t>
  </si>
  <si>
    <t>https://alpha.midjourney.com/jobs/9b9f1932-7b85-4dc2-b89b-c5db313881fe?index=1</t>
  </si>
  <si>
    <t>https://alpha.midjourney.com/jobs/97d76fab-e567-498a-9cd5-fce2669c45a7?index=1</t>
  </si>
  <si>
    <t>https://alpha.midjourney.com/jobs/e476fa49-0867-4ba0-b9df-543b391f48db?index=0</t>
  </si>
  <si>
    <t>https://alpha.midjourney.com/jobs/c55ff963-8780-49f5-820d-fdb412bd03ab?index=3</t>
  </si>
  <si>
    <t>https://alpha.midjourney.com/jobs/ecf46218-d382-4bbc-897b-729a460f33de?index=0</t>
  </si>
  <si>
    <t>https://alpha.midjourney.com/jobs/02663ec4-f725-4dc6-b3bf-a41c24089531?index=2</t>
  </si>
  <si>
    <t>https://alpha.midjourney.com/jobs/960b0142-dad3-4a5e-9497-c50337bfa517?index=0</t>
  </si>
  <si>
    <t>https://alpha.midjourney.com/jobs/41adfac4-fb2e-4621-a9ff-3a8e7c83e591?index=3</t>
  </si>
  <si>
    <t>Dewdrop Sprite</t>
  </si>
  <si>
    <t>Whenever a friendly Elemental Unit is deployed adjacently, gain +2 Power.</t>
  </si>
  <si>
    <t>In each glistening drop, a glint of magic, as fleeting and pure as morning's first light.</t>
  </si>
  <si>
    <t>dewdrop sprite, mongolian fairy, in the mountains, wings made of dew drops</t>
  </si>
  <si>
    <t>https://alpha.midjourney.com/jobs/f82cb067-a26e-43e4-a7b7-872ad83abf92?index=1</t>
  </si>
  <si>
    <t>https://alpha.midjourney.com/jobs/8fbe44e4-705c-4ee4-adbc-6e435546facc?index=3</t>
  </si>
  <si>
    <t>https://alpha.midjourney.com/jobs/bce87206-d1bc-4ae5-b2a8-99df10be783b?index=3</t>
  </si>
  <si>
    <t>https://alpha.midjourney.com/jobs/bce87206-d1bc-4ae5-b2a8-99df10be783b?index=2</t>
  </si>
  <si>
    <t>https://alpha.midjourney.com/jobs/a9cd8a18-681f-4ef7-927f-65a2d9169d26?index=0</t>
  </si>
  <si>
    <t>https://alpha.midjourney.com/jobs/9f273a40-8ff4-4686-8521-a3d630b0eaf9?index=1</t>
  </si>
  <si>
    <t>https://alpha.midjourney.com/jobs/7c0c6fe5-3d11-46e9-9fb2-27a3e4ad98d5?index=3</t>
  </si>
  <si>
    <t>https://alpha.midjourney.com/jobs/7c0c6fe5-3d11-46e9-9fb2-27a3e4ad98d5?index=0</t>
  </si>
  <si>
    <t>https://alpha.midjourney.com/jobs/e3dc4ec9-31d3-451f-b89d-f3942b80c042?index=2</t>
  </si>
  <si>
    <t>https://alpha.midjourney.com/jobs/7a2e29fb-bd98-4d30-88b2-8bfee70c4a47?index=0</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</si>
  <si>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</si>
  <si>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</si>
  <si>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</si>
  <si>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</si>
  <si>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</si>
  <si>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</si>
  <si>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</si>
  <si>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</si>
  <si>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</si>
  <si>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Dragon Egg</t>
  </si>
  <si>
    <t>Ambush: A Player conquered this Lane this Turn.</t>
  </si>
  <si>
    <t>Cracks in the egg foretell the birth of a legend, a creature born from flame and scale.</t>
  </si>
  <si>
    <t>stony egg with red scaled structure, in a large nest in the mountains</t>
  </si>
  <si>
    <t>https://alpha.midjourney.com/jobs/a4c0044f-a986-4aa9-87bf-000b67966a4b?index=0</t>
  </si>
  <si>
    <t>https://alpha.midjourney.com/jobs/1368b59f-6a3a-4f37-b704-dc0023c5a39b?index=0</t>
  </si>
  <si>
    <t>https://alpha.midjourney.com/jobs/1368b59f-6a3a-4f37-b704-dc0023c5a39b?index=3</t>
  </si>
  <si>
    <t>https://alpha.midjourney.com/jobs/3e4015d3-c57e-4d12-9ddb-df5fcfb9d19d?index=0</t>
  </si>
  <si>
    <t>Dragonfire Warlock</t>
  </si>
  <si>
    <t>Ally of Dragon: Unleash &lt;E&gt;&lt;E&gt;: Bury an adjacent enemy Unit.</t>
  </si>
  <si>
    <t>With incantations smoldering on his tongue, he breathes out not words, but the fire of dragons.</t>
  </si>
  <si>
    <t>dragonfire warlock, bhuddist fire summoning warlock</t>
  </si>
  <si>
    <t>https://alpha.midjourney.com/jobs/e1671c8d-c48c-402d-addf-9a0fccad1761?index=0</t>
  </si>
  <si>
    <t>https://alpha.midjourney.com/jobs/ba533218-851c-4bf4-a8d6-1d40dd59d983?index=0</t>
  </si>
  <si>
    <t>https://alpha.midjourney.com/jobs/01e8e033-593c-490d-a32f-a166ab8baa48?index=2</t>
  </si>
  <si>
    <t>https://alpha.midjourney.com/jobs/5eca18e5-b521-4e2a-9848-bc98673ae4d2?index=0</t>
  </si>
  <si>
    <t>https://alpha.midjourney.com/jobs/914ae491-f842-47a7-972e-d9a4a84c90f6?index=0</t>
  </si>
  <si>
    <t>https://alpha.midjourney.com/jobs/50351124-cb8d-40c5-ba32-ab7ed7975d03?index=3</t>
  </si>
  <si>
    <t>https://alpha.midjourney.com/jobs/9b90030e-860f-496a-a734-a45969d1b0dd?index=1</t>
  </si>
  <si>
    <t>https://alpha.midjourney.com/jobs/54eedfaf-453e-4a49-bd5b-d4012761a293?index=1</t>
  </si>
  <si>
    <t>https://alpha.midjourney.com/jobs/6e8217f3-8ac2-45b0-8dc4-ef5352b479ea?index=2</t>
  </si>
  <si>
    <t>https://alpha.midjourney.com/jobs/12dd80f9-bb06-4d38-91d8-e146559471c0?index=0</t>
  </si>
  <si>
    <t>Dragonwind Harbinger</t>
  </si>
  <si>
    <t>Deploy: Draw the top Dragon of your Deck. Shuffle your Deck.</t>
  </si>
  <si>
    <t>In his eerie lament lies the fate of worlds, a grim herald of the dragonfire that will consume all.</t>
  </si>
  <si>
    <t>E, ?, ?, ?</t>
  </si>
  <si>
    <t>wind harbinger, fire spirit searching the essence of ember, glowing skin, ghost, ephemeral, banshee, female, primeval, translucent, primal</t>
  </si>
  <si>
    <t>https://alpha.midjourney.com/jobs/e4901e8f-dc64-4a32-8b4e-4db18f9edb34?index=2</t>
  </si>
  <si>
    <t>https://alpha.midjourney.com/jobs/792d59ef-82cf-4773-9eb4-65105c9208ec?index=2</t>
  </si>
  <si>
    <t>https://alpha.midjourney.com/jobs/61d71d29-7f19-4719-9f9d-b595a90e7eac?index=3</t>
  </si>
  <si>
    <t>https://alpha.midjourney.com/jobs/8f47bfa6-8da8-478d-aba1-dff1a5520f1c?index=0</t>
  </si>
  <si>
    <t>https://alpha.midjourney.com/jobs/841174db-5c68-41e8-819a-09fa028c5943?index=3</t>
  </si>
  <si>
    <t>https://alpha.midjourney.com/jobs/841174db-5c68-41e8-819a-09fa028c5943?index=0</t>
  </si>
  <si>
    <t>https://alpha.midjourney.com/jobs/53760255-c6fe-4c4c-ac76-95aa017993f9?index=1</t>
  </si>
  <si>
    <t>https://alpha.midjourney.com/jobs/87f09264-db69-471c-a5b1-db98d924778f?index=0</t>
  </si>
  <si>
    <t>https://alpha.midjourney.com/jobs/87f09264-db69-471c-a5b1-db98d924778f?index=3</t>
  </si>
  <si>
    <t>https://alpha.midjourney.com/jobs/b5789562-2e2e-4ceb-8443-0ae424a3c7dd?index=3</t>
  </si>
  <si>
    <t>Dustdance Efreet</t>
  </si>
  <si>
    <t>Deploy: You may swap this with an adjacent enemy Unit.</t>
  </si>
  <si>
    <t>A sinister waltz in the dust, its dance is a trap for the unwary, a lure into the endless, shifting dunes.</t>
  </si>
  <si>
    <t>dust-elemental efreet, djinn, mongolian</t>
  </si>
  <si>
    <t>https://alpha.midjourney.com/jobs/ccfe11ca-d68d-42dd-b1cd-d5aa6d3c9b8b?index=2</t>
  </si>
  <si>
    <t>https://alpha.midjourney.com/jobs/ccfe11ca-d68d-42dd-b1cd-d5aa6d3c9b8b?index=0</t>
  </si>
  <si>
    <t>https://alpha.midjourney.com/jobs/fdd4f64e-d836-4c8f-9358-77cc88394b13?index=1</t>
  </si>
  <si>
    <t>https://alpha.midjourney.com/jobs/f309aeec-173a-46f1-b16b-f5f15141815a?index=0</t>
  </si>
  <si>
    <t>https://alpha.midjourney.com/jobs/f309aeec-173a-46f1-b16b-f5f15141815a?index=2</t>
  </si>
  <si>
    <t>https://alpha.midjourney.com/jobs/f14bf8bf-3033-40a6-9792-dd0d2005d4a4?index=2</t>
  </si>
  <si>
    <t>https://alpha.midjourney.com/jobs/f14bf8bf-3033-40a6-9792-dd0d2005d4a4?index=0</t>
  </si>
  <si>
    <t>https://alpha.midjourney.com/jobs/f14bf8bf-3033-40a6-9792-dd0d2005d4a4?index=1</t>
  </si>
  <si>
    <t>https://alpha.midjourney.com/jobs/1113a14a-e98b-4368-b526-2939a08de537?index=2</t>
  </si>
  <si>
    <t>https://alpha.midjourney.com/jobs/2c70cf34-6786-4493-bc7e-731c0f15efba?index=1</t>
  </si>
  <si>
    <t>Echo Beetle</t>
  </si>
  <si>
    <t>Whenever a Unit is deployed adjacently, swap it with that Unit.</t>
  </si>
  <si>
    <t>Note: Observing the beetle, I feel observed in return. Its awareness hints at unseen depths in insect cognition.</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</si>
  <si>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</si>
  <si>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</si>
  <si>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</si>
  <si>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</si>
  <si>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</si>
  <si>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</si>
  <si>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</si>
  <si>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Galeweaver</t>
  </si>
  <si>
    <t>Deploy: Swap an adjacent friendly Unit with the top Card of your Deck.</t>
  </si>
  <si>
    <t>As guardian of the gales, her touch is both a soothing balm and a tempest's fury, a spirit as unpredictable as the wind.</t>
  </si>
  <si>
    <t>galeweaver, wind spirit, fujin, kazakame, kamaitachi</t>
  </si>
  <si>
    <t>https://alpha.midjourney.com/jobs/ded5b3c8-a989-40e4-8be3-5ac67cf41736?index=0</t>
  </si>
  <si>
    <t>https://alpha.midjourney.com/jobs/7f5227db-8efa-4198-aad8-a7303c4834f9?index=0</t>
  </si>
  <si>
    <t>https://alpha.midjourney.com/jobs/affa39b4-9e17-48c4-8895-78b1f433b9f7?index=0</t>
  </si>
  <si>
    <t>https://alpha.midjourney.com/jobs/5b8a0ee5-409e-4609-8aba-0c49858830f9?index=3</t>
  </si>
  <si>
    <t>https://alpha.midjourney.com/jobs/5b8a0ee5-409e-4609-8aba-0c49858830f9?index=0</t>
  </si>
  <si>
    <t>https://alpha.midjourney.com/jobs/436c6169-6856-4831-9b5e-36c538fafa7c?index=3</t>
  </si>
  <si>
    <t>https://alpha.midjourney.com/jobs/658a4dd0-bf6d-47e7-86d8-52ee52a8f214?index=2</t>
  </si>
  <si>
    <t>https://alpha.midjourney.com/jobs/7bb8e808-62d2-41bb-8749-200a9089a3e9?index=2</t>
  </si>
  <si>
    <t>https://alpha.midjourney.com/jobs/4ccb8031-ae89-47b6-a633-e16eac63166b?index=3</t>
  </si>
  <si>
    <t>https://alpha.midjourney.com/jobs/7f81eb9e-f062-46de-9105-f93730a4e7fb?index=0</t>
  </si>
  <si>
    <t>Gashopper</t>
  </si>
  <si>
    <t>Deploy: For each friendly Elemental Crystal, you may put a Card from your Hand to the bottom of your Deck and draw a Card.</t>
  </si>
  <si>
    <t>Enhanced by sulfuric geysirs, each of its eyes sees another future.</t>
  </si>
  <si>
    <t>https://alpha.midjourney.com/jobs/aa3828cc-da5b-44fd-a991-7dfa8d358eca?index=1</t>
  </si>
  <si>
    <t>https://alpha.midjourney.com/jobs/bb66d639-f343-4845-af2a-5eb193006647?index=0</t>
  </si>
  <si>
    <t>https://alpha.midjourney.com/jobs/9d22a6ef-3cfd-4390-83a1-bcb607bfc60e?index=0</t>
  </si>
  <si>
    <t>https://alpha.midjourney.com/jobs/9d22a6ef-3cfd-4390-83a1-bcb607bfc60e?index=2</t>
  </si>
  <si>
    <t>https://alpha.midjourney.com/jobs/4a4fcd20-cf99-4f08-98be-e4a9a21447fd?index=2</t>
  </si>
  <si>
    <t>https://alpha.midjourney.com/jobs/edce3cff-dccc-4dd6-927a-c86b99379750?index=1</t>
  </si>
  <si>
    <t>Glinteye Hoarder</t>
  </si>
  <si>
    <t>Conquer: Draw 2 Cards and bury a friendly Crystal.</t>
  </si>
  <si>
    <t>A dragon's passion for gold cast into living form.</t>
  </si>
  <si>
    <t>glinteye hoarder, golden dragon, dragon with golden scales, sitting on a pile of gems</t>
  </si>
  <si>
    <t>https://alpha.midjourney.com/jobs/8ccfe4e3-0dd5-4f9c-be98-1629ec29694f?index=0</t>
  </si>
  <si>
    <t>https://alpha.midjourney.com/jobs/8ccfe4e3-0dd5-4f9c-be98-1629ec29694f?index=2</t>
  </si>
  <si>
    <t>https://alpha.midjourney.com/jobs/47e93cbb-0e71-491a-a49b-5685172b96b1?index=2</t>
  </si>
  <si>
    <t>https://alpha.midjourney.com/jobs/c0bbf41e-da40-447a-8817-ba761c755907?index=1</t>
  </si>
  <si>
    <t>https://alpha.midjourney.com/jobs/e27864a6-cc07-4984-b181-922b584c0d96?index=3</t>
  </si>
  <si>
    <t>https://alpha.midjourney.com/jobs/0a1168a7-16a3-4022-b822-fd13a508a624?index=0</t>
  </si>
  <si>
    <t>https://alpha.midjourney.com/jobs/e30e77bd-955e-4e8e-afe4-eae7161982c4?index=3</t>
  </si>
  <si>
    <t>https://alpha.midjourney.com/jobs/eaad0536-abea-4999-883c-e3e793929cf4?index=3</t>
  </si>
  <si>
    <t>https://alpha.midjourney.com/jobs/a3874385-0194-4c0f-ba14-08b4d7628a67?index=1</t>
  </si>
  <si>
    <t>https://alpha.midjourney.com/jobs/8c585bc8-5180-439e-8adb-c3a47c0150fe?index=2</t>
  </si>
  <si>
    <t>Hermit of the Horizon</t>
  </si>
  <si>
    <t>Wizard</t>
  </si>
  <si>
    <t>Crystallize: If you control a Wizard Unit, glimpse 3.</t>
  </si>
  <si>
    <t>In his lofty retreat, he communes with the winds of fate, a guardian of knowledge perched at the edge of the world.</t>
  </si>
  <si>
    <t>E, ?, ?, ?, ?, ?</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</si>
  <si>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</si>
  <si>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</si>
  <si>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</si>
  <si>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</si>
  <si>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Infernoblight, an ancient evil dragon burning down a roman city, hydra, giant, primeval, majestic</t>
  </si>
  <si>
    <t>https://alpha.midjourney.com/jobs/33f7cc2c-e93d-4e2c-9b65-000f7fec5b4d?index=3</t>
  </si>
  <si>
    <t>https://alpha.midjourney.com/jobs/d85c9fc4-fcbf-4427-9461-c7d69924fd22?index=3</t>
  </si>
  <si>
    <t>https://alpha.midjourney.com/jobs/ded1343a-822d-4000-b96d-307220437a47?index=3</t>
  </si>
  <si>
    <t>https://alpha.midjourney.com/jobs/7b986382-842d-4894-bfa5-8f3a13c28048?index=2</t>
  </si>
  <si>
    <t>https://alpha.midjourney.com/jobs/7b986382-842d-4894-bfa5-8f3a13c28048?index=1</t>
  </si>
  <si>
    <t>https://alpha.midjourney.com/jobs/3ece9766-fbca-4a9f-b43c-ceacdfd34356?index=0</t>
  </si>
  <si>
    <t>https://alpha.midjourney.com/jobs/23146584-f12d-4df7-9044-bc3fddd5aed1?index=2</t>
  </si>
  <si>
    <t>https://alpha.midjourney.com/jobs/e7c5e4fe-638b-4178-857e-6623f117ac1e?index=3</t>
  </si>
  <si>
    <t>https://alpha.midjourney.com/jobs/d1d4e43a-6294-4cca-b9e9-a8a9b7c14773?index=2</t>
  </si>
  <si>
    <t>https://alpha.midjourney.com/jobs/1b37b6ab-c626-42c3-a564-3b3f1a292370?index=3</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</si>
  <si>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</si>
  <si>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</si>
  <si>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</si>
  <si>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</si>
  <si>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</si>
  <si>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</si>
  <si>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</si>
  <si>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Nimbus Claw</t>
  </si>
  <si>
    <t>Conquer: Glimpse 3.</t>
  </si>
  <si>
    <t>Lead</t>
  </si>
  <si>
    <t>Omen Firefly</t>
  </si>
  <si>
    <t>Start of your Turn: You may bury this to obscure 2.</t>
  </si>
  <si>
    <t>Obscure</t>
  </si>
  <si>
    <t>Pixie Summoner</t>
  </si>
  <si>
    <t>Deploy: Unleash &lt;E&gt;&lt;E&gt;: Move an adjacent Unit. Gain Taunt.</t>
  </si>
  <si>
    <t>Pyretic Pet</t>
  </si>
  <si>
    <t>Ally of Wizard: You may return the Ally to your Hand to deploy a Unit from your Hand.</t>
  </si>
  <si>
    <t>"'This is why we can't have nice things,' I muttered as the tapestries turned to ashes. My dragon's purr was the only reply, pleased with its redecoration."</t>
  </si>
  <si>
    <t>Raijin</t>
  </si>
  <si>
    <t>Spirit Dragon</t>
  </si>
  <si>
    <t>Deploy: Copy the 'Unleash' ability of each Unit.</t>
  </si>
  <si>
    <t>Where black clouds gather, his presence is near, the air crackling with the energy of his blue lightning.</t>
  </si>
  <si>
    <t>E, E, E, ?, ?, ?</t>
  </si>
  <si>
    <t>Raijin's Familiar</t>
  </si>
  <si>
    <t>Deploy: Unleash &lt;E&gt;&lt;E&gt;&lt;E&gt;: You may move an adjacent Unit to any empty Slot on the Board.</t>
  </si>
  <si>
    <t>Red Crusader</t>
  </si>
  <si>
    <t>Warrior</t>
  </si>
  <si>
    <t>Crusader</t>
  </si>
  <si>
    <t>Roughlands Scourge</t>
  </si>
  <si>
    <t>Deploy: Gain Fear.</t>
  </si>
  <si>
    <t>Where its shadow falls, terror takes root, a draconic tyrant of the barren lands.</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</si>
  <si>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</si>
  <si>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</si>
  <si>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</si>
  <si>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</si>
  <si>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</si>
  <si>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</si>
  <si>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</si>
  <si>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</si>
  <si>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</si>
  <si>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</si>
  <si>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</si>
  <si>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Sand Witch</t>
  </si>
  <si>
    <t>Ascend: Elemental.</t>
  </si>
  <si>
    <t>Shardhorde Galewhelp</t>
  </si>
  <si>
    <t>Deploy: Unleash &lt;E&gt;&lt;E&gt;&lt;E&gt;: You may crystallize this and deploy another friendly Dragon Crystal into this Slot.</t>
  </si>
  <si>
    <t>In its youth, a mere gust; in its fury, a tempest – such is the nature of the Shardhorde's child.</t>
  </si>
  <si>
    <t>Shardhorde Leviathan</t>
  </si>
  <si>
    <t>Rising from oceanic depths, its crystalline form is a monolith of untamed power, a behemoth that knows no bounds.</t>
  </si>
  <si>
    <t>E, E, E, ?, ?, ?, ?</t>
  </si>
  <si>
    <t>shardhorde leviathan, lavender colored, giant gemstone crusted dragon, bellowing, towering mountains, wingless, serpentine, piercing through clouds, foggy</t>
  </si>
  <si>
    <t>https://alpha.midjourney.com/jobs/f04b4fbf-83ad-4f50-9c3a-68843e69ef11?index=2</t>
  </si>
  <si>
    <t>https://alpha.midjourney.com/jobs/23732ab2-74d0-4739-baaf-5e6c23e8873a?index=0</t>
  </si>
  <si>
    <t>https://alpha.midjourney.com/jobs/cb44e85d-870b-4bc6-8948-450c772daf5c?index=0</t>
  </si>
  <si>
    <t>https://alpha.midjourney.com/jobs/258f8be4-8fc8-47e9-9423-4d7e9f7e209b?index=0</t>
  </si>
  <si>
    <t>https://alpha.midjourney.com/jobs/97987280-b216-408a-9bcb-dd348cfcb803?index=1</t>
  </si>
  <si>
    <t>https://alpha.midjourney.com/jobs/736a8fe4-c031-4266-a180-8d5fa8d7a20c?index=3</t>
  </si>
  <si>
    <t>https://alpha.midjourney.com/jobs/f4364281-c341-4325-823b-cc159f62e3fa?index=3</t>
  </si>
  <si>
    <t>https://alpha.midjourney.com/jobs/f4364281-c341-4325-823b-cc159f62e3fa?index=1</t>
  </si>
  <si>
    <t>https://alpha.midjourney.com/jobs/3ffc8199-7676-44a0-b357-0e6a826b2531?index=1</t>
  </si>
  <si>
    <t>https://alpha.midjourney.com/jobs/c0768680-bd4c-4545-846f-002afd6a854b?index=0</t>
  </si>
  <si>
    <t>Shifting Sands</t>
  </si>
  <si>
    <t>Ambush: This Turn, a Unit was deployed adjacently. Unearth: Move an adjacent Unit.</t>
  </si>
  <si>
    <t>Skulloath Lootclaimer</t>
  </si>
  <si>
    <t>Deploy: Bury a Crystal.</t>
  </si>
  <si>
    <t>Sparkwielder</t>
  </si>
  <si>
    <t>Deploy: Reveal the top Card with an 'Unleash' ability from your Deck. Copy its 'Unleash' ability, then draw that Card.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</si>
  <si>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</si>
  <si>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</si>
  <si>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</si>
  <si>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</si>
  <si>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</si>
  <si>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</si>
  <si>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</si>
  <si>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</si>
  <si>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</si>
  <si>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</si>
  <si>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Stormbringer</t>
  </si>
  <si>
    <t>Deploy: Put an adjacent enemy Unit on the bottom of your Opponent's Deck. Move the top Card of your Opponent's Deck into that Slot.</t>
  </si>
  <si>
    <t>In his grasp, the calmest breeze becomes a maelstrom, a whirlwind of chaos at his command</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</si>
  <si>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</si>
  <si>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</si>
  <si>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</si>
  <si>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</si>
  <si>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</si>
  <si>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</si>
  <si>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Tectonic Shifter</t>
  </si>
  <si>
    <t>Demon Dinosaur</t>
  </si>
  <si>
    <t>Deploy: Gain Fear. Return an adjacent Unit to its Owner's Hand.</t>
  </si>
  <si>
    <t>tectonic shifter, groudon</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</si>
  <si>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</si>
  <si>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</si>
  <si>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</si>
  <si>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</si>
  <si>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</si>
  <si>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The Culling Claw</t>
  </si>
  <si>
    <t>Demon Dragon</t>
  </si>
  <si>
    <t>Crystallize: Gain Crystalborn. Whenever a Common Unit is deployed adjacently, bury it and gain its Power.</t>
  </si>
  <si>
    <t>Thunderfox</t>
  </si>
  <si>
    <t>Start of your Turn: You may bury this to give an adjacent friendly Unit +2 Power.</t>
  </si>
  <si>
    <t>Elusive as a spark in the storm, training it as a pet is a quest akin to capturing lightning itself.</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</si>
  <si>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</si>
  <si>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</si>
  <si>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</si>
  <si>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</si>
  <si>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</si>
  <si>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</si>
  <si>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</si>
  <si>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</si>
  <si>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</si>
  <si>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</si>
  <si>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</si>
  <si>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</si>
  <si>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</si>
  <si>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Twin Thundertail</t>
  </si>
  <si>
    <t>Ambush: A friendly Unit in this Lane unleashed this Turn. Unearth: Copy the 'Unleash' Ability of a friendly Unit in this Lane.</t>
  </si>
  <si>
    <t>Vengeful Gust</t>
  </si>
  <si>
    <t>Deploy: Bury a friendly Unit with the lowest Power.</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</si>
  <si>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</si>
  <si>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</si>
  <si>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</si>
  <si>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</si>
  <si>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</si>
  <si>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</si>
  <si>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</si>
  <si>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</si>
  <si>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</si>
  <si>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</si>
  <si>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</si>
  <si>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</si>
  <si>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Volcano Embodiment</t>
  </si>
  <si>
    <t>Born from molten fury, it stands as both creator and destroyer of lands.</t>
  </si>
  <si>
    <t>Windkite Acolyte</t>
  </si>
  <si>
    <t>Deploy: You may swap this with an adjacent friendly Unit and gain +2 Power.</t>
  </si>
  <si>
    <t>Soaring on ancient breezes, this acolyte wields the wisdom of the wind.</t>
  </si>
  <si>
    <t>Cinderguard Emberblade</t>
  </si>
  <si>
    <t>Elemental Mortal</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</si>
  <si>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</si>
  <si>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</si>
  <si>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</si>
  <si>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</si>
  <si>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</si>
  <si>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</si>
  <si>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</si>
  <si>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E, M, ?, ?</t>
  </si>
  <si>
    <t>Portalrunner</t>
  </si>
  <si>
    <t>Deploy: You may swap this with another friendly Wizard Unit. Both gain +2 Power.</t>
  </si>
  <si>
    <t>Master of spatial rifts, he strides through worlds unseen, his power a dance with the fabric of reality.</t>
  </si>
  <si>
    <t>Starfall Shaman</t>
  </si>
  <si>
    <t xml:space="preserve">Ritual: Glimpse 2 and draw 2 Cards. </t>
  </si>
  <si>
    <t>Guided by ancient constellations, he beckons knowledge from the heavens, a nod to the legendary magic of old.</t>
  </si>
  <si>
    <t>E, 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</si>
  <si>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</si>
  <si>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</si>
  <si>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</si>
  <si>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</si>
  <si>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</si>
  <si>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</si>
  <si>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</si>
  <si>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</si>
  <si>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</si>
  <si>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</si>
  <si>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</si>
  <si>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Eons-old Dragon</t>
  </si>
  <si>
    <t>Dragon Plant</t>
  </si>
  <si>
    <t>Deploy: All other Elemental Unit and Nature Units in this Lane gain +3 Power.</t>
  </si>
  <si>
    <t>In its slumber, time weaved the wilderness around it, a dragon as ancient as the forest it now embodies.</t>
  </si>
  <si>
    <t>E, E, N, N, ?, ?</t>
  </si>
  <si>
    <t>Lurking Canopystomper</t>
  </si>
  <si>
    <t>Dinosaur Warrior</t>
  </si>
  <si>
    <t>Deploy: If there is no adjacent friendly Unit with 5 or more Power, bury this.</t>
  </si>
  <si>
    <t>E, N, ?, ?, ?</t>
  </si>
  <si>
    <t>Resourceful Poacher</t>
  </si>
  <si>
    <t>Ally of Animal, Dinosaur or Dragon: Return an adjacent Unit to its Owner's Hand and draw a Card.</t>
  </si>
  <si>
    <t>Dinosaurs</t>
  </si>
  <si>
    <t>E, E, N, ?, ?</t>
  </si>
  <si>
    <t>Shardhorde Crystalfang</t>
  </si>
  <si>
    <t>Animal Bannerbearer Hunter</t>
  </si>
  <si>
    <t>Emerging from the heart of the earth, its malachite form gleams, a predator sculpted from nature's deepest treasures.</t>
  </si>
  <si>
    <t>E, N</t>
  </si>
  <si>
    <t>The Skyshrieker</t>
  </si>
  <si>
    <t>Deploy: Gain Fear. You may move an adjacent Unit.</t>
  </si>
  <si>
    <t>In times of crisis, his cry pierces the heavens, a sound that spells relief for the endangered and doom for their foes.</t>
  </si>
  <si>
    <t>Tidecrasher</t>
  </si>
  <si>
    <t>Deploy: Gain Fear and +1 Power for each adjacent empty Slot.</t>
  </si>
  <si>
    <t>He glides beneath the waves, a leviathan of legend, the subject of sailors' prayers and tales.</t>
  </si>
  <si>
    <t>Bringer of Bad Omens</t>
  </si>
  <si>
    <t>Elemental Void</t>
  </si>
  <si>
    <t>Deploy: Obscure 2. Glimpse 2.</t>
  </si>
  <si>
    <t>E, V</t>
  </si>
  <si>
    <t>Gaunt Visitation</t>
  </si>
  <si>
    <t>Undead Spirit</t>
  </si>
  <si>
    <t>Ambush: A Spirit Unit was deployed adjacently this Turn. Unearth: Adjacent friendly Spirit Units gain +2 Power and Fear.</t>
  </si>
  <si>
    <t>Spirits</t>
  </si>
  <si>
    <t>E, V, ?, ?, ?</t>
  </si>
  <si>
    <t>Lightning Manticore</t>
  </si>
  <si>
    <t>Ritual: Bury an enemy Crystal.</t>
  </si>
  <si>
    <t>It prowls the storm-laden skies, a beast of electric dread, its allegiance as dark as the clouds it rides.</t>
  </si>
  <si>
    <t>E, E, V, ?, ?, ?</t>
  </si>
  <si>
    <t>Pyroclastic Zombie</t>
  </si>
  <si>
    <t>Undead</t>
  </si>
  <si>
    <t>Ambush: The Opponent conquered this Lane this Turn.</t>
  </si>
  <si>
    <t>Born from flames and madness, he lumbers through the shadows, an urban legend made flesh and fire.</t>
  </si>
  <si>
    <t>Raging Minotaur</t>
  </si>
  <si>
    <t>Animal Demon</t>
  </si>
  <si>
    <t>Whenever an enemy Unit is deployed adjacently, gain +2 Power. Deploy: Gain Taunt.</t>
  </si>
  <si>
    <t>Trapped between man and monster, his every step is a thunder of rage against a fate he never chose.</t>
  </si>
  <si>
    <t>Skulloath Marauder</t>
  </si>
  <si>
    <t>Bannerbearer Undead Warrior</t>
  </si>
  <si>
    <t>Bound by dark pacts and whispered curses, he plunders, leaving only desolation in his wake.</t>
  </si>
  <si>
    <t>Venomshade Lamia</t>
  </si>
  <si>
    <t>Animal Warrior</t>
  </si>
  <si>
    <t>Conquer: Draw Cards until you have as many Cards in Hand as your Opponent.</t>
  </si>
  <si>
    <t>In the shadow of her coils, lies a toxic allure, as deadly as it is beguiling.</t>
  </si>
  <si>
    <t>Wasteland Overlord</t>
  </si>
  <si>
    <t>Deploy: Gain Fear. Whenever you deploy a Unit adjacently, that Unit gains Fear.</t>
  </si>
  <si>
    <t>A dragon reborn as a demon of wrath, his rampage carves a path of desolation, unstoppable and unguided.</t>
  </si>
  <si>
    <t>E, V, ?, ?</t>
  </si>
  <si>
    <t>Alchemist's Incense</t>
  </si>
  <si>
    <t>Ally Wizard: Glimpse 2.</t>
  </si>
  <si>
    <t>In his vials swirl the future of medicine and perhaps the key to untold power.</t>
  </si>
  <si>
    <t>M, ?, ?</t>
  </si>
  <si>
    <t>Ambrosia Bee</t>
  </si>
  <si>
    <t>Whenever a friendly Mortal Unit is deployed adjacently, gain +2 Power.</t>
  </si>
  <si>
    <t>From flower to hive, it crafts a honey so divine, battles are waged over mere droplets of its golden essence.</t>
  </si>
  <si>
    <t>M, ?</t>
  </si>
  <si>
    <t>Bastion Architect</t>
  </si>
  <si>
    <t>Deploy: A friendly Construct Unit in this Lane gains Ward, Taunt, and +2 Power.</t>
  </si>
  <si>
    <t>From his mind, mighty bastions rise and formidable siege engines emerge, playing both sides of war's relentless dance.</t>
  </si>
  <si>
    <t>Bloodfleet Harpooneer</t>
  </si>
  <si>
    <t>Deploy: Gain Fear. Bury an adjacent Unit.</t>
  </si>
  <si>
    <t>A terror of the deep, he and his leviathan companion embody the ruthless spirit of the sea's most notorious pirates.</t>
  </si>
  <si>
    <t>Bloodfleet Raider</t>
  </si>
  <si>
    <t>Whenever an friendly Unit is deployed adjacently, gain Taunt.</t>
  </si>
  <si>
    <t>With a laugh in the face of danger and a toast to the thrill of the sea, he raids under the Bloodfleet's flag, where freedom is the greatest treasure.</t>
  </si>
  <si>
    <t>M, M, ?, ?</t>
  </si>
  <si>
    <t>Blue Crusader</t>
  </si>
  <si>
    <t>Whenever an enemy non-Mortal Unit is deployed adjacently, gain +1 Power.</t>
  </si>
  <si>
    <t>Caring Mother</t>
  </si>
  <si>
    <t>Crystallize and Deploy: Another friendly Human Unit gains +2 Power.</t>
  </si>
  <si>
    <t>Her gentle lullabies echo promises of greatness, cradled in the heart of the city's forgotten streets.</t>
  </si>
  <si>
    <t>Cinderguard Saboteur</t>
  </si>
  <si>
    <t>Underneath the red hood lies a will that cannot be extinguished.</t>
  </si>
  <si>
    <t>Dojo Drill Instructor</t>
  </si>
  <si>
    <t>Deploy: Draw the top Warrior from your Deck. Shuffle your Deck.</t>
  </si>
  <si>
    <t>Its gears and circuits teach more than combat; they instill discipline that outlasts steel.</t>
  </si>
  <si>
    <t>Eagle of the Legion</t>
  </si>
  <si>
    <t>Animal Human</t>
  </si>
  <si>
    <t>Start of your Turn: A friendly Human Unit gains Fear or Taunt.</t>
  </si>
  <si>
    <t>"See her soar above the battle? That's not just any bird – that's ours, that is. And as long as she's flying, we're winning."</t>
  </si>
  <si>
    <t>Filthy Peasant</t>
  </si>
  <si>
    <t>In the shadow of grand coliseums and marble halls, he toils, an eternal cog in the city's endless sprawl.</t>
  </si>
  <si>
    <t>M</t>
  </si>
  <si>
    <t>Frontier Centurion</t>
  </si>
  <si>
    <t>Beyond the empire's walls, his blade draws the line.</t>
  </si>
  <si>
    <t>M, ?, ?, ?, ?</t>
  </si>
  <si>
    <t>Gem Merchant</t>
  </si>
  <si>
    <t>Ambush: A Unit was deployed in this Lane this Turn. Unearth: Another friendly Unit in this Lane gains +2 Power.</t>
  </si>
  <si>
    <t>Gladehost Shotmaster</t>
  </si>
  <si>
    <t>Crystallize: Unleash &lt;N&gt;&lt;N&gt;: Bury an enemy Unit adjacent to a friendly Hunter.</t>
  </si>
  <si>
    <t>In her hands, the bow is not just a weapon, but an extension of the forest's will, precise and deadly.</t>
  </si>
  <si>
    <t>Gold Colibri</t>
  </si>
  <si>
    <t>Deploy: Every friendly Crystal becomes all Realms until the end of your next Turn.</t>
  </si>
  <si>
    <t>A mechanical marvel, blending art and whimsy in its flight.</t>
  </si>
  <si>
    <t>Greedy Senator</t>
  </si>
  <si>
    <t>Deploy: Bury each friendly Unit in this Lane to gain its Power.</t>
  </si>
  <si>
    <t>For personal gain, he'd unbalance the scales of power.</t>
  </si>
  <si>
    <t>Imperial Tyrant</t>
  </si>
  <si>
    <t>Crystallize, Deploy and Conquer: Draw a Card if you are leading in Lanes.</t>
  </si>
  <si>
    <t>Ironclad Jailwalker</t>
  </si>
  <si>
    <t>Conquer: Your Opponent buries one of their Units in the conquered Lane.</t>
  </si>
  <si>
    <t>Neither walls nor bars, but a walking prison, relentless in its pursuit of order.</t>
  </si>
  <si>
    <t>Ironstride Courser</t>
  </si>
  <si>
    <t>Deploy: Choose one: - Each other friendly Unit in this Lane gets +1 Power. - Gain +3 Power.</t>
  </si>
  <si>
    <t>In the tumult of war, some tasks demand the relentless charge of reinforced steel.</t>
  </si>
  <si>
    <t>M, M, ?, ?, ?, ?</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</si>
  <si>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</si>
  <si>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</si>
  <si>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</si>
  <si>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</si>
  <si>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</si>
  <si>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</si>
  <si>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Master Strategist</t>
  </si>
  <si>
    <t>Conquer: Obscure for each friendly Unit in the conquered Lane.</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</si>
  <si>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</si>
  <si>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</si>
  <si>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</si>
  <si>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</si>
  <si>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</si>
  <si>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</si>
  <si>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Old Bessy</t>
  </si>
  <si>
    <t>Deploy: Unleash &lt;E&gt;&lt;D&gt;&lt;M&gt;&lt;N&gt;&lt;V&gt;: Double the Power of all adjacent friendly Units.</t>
  </si>
  <si>
    <t>Ancient eyes, a witness to empires' rise and fall.</t>
  </si>
  <si>
    <t>M, ?, ?, ?</t>
  </si>
  <si>
    <t>Old Fisherman</t>
  </si>
  <si>
    <t>Deploy: Gain Taunt. Whenever an Rare Unit is deployed adjacently, gain +3 Power.</t>
  </si>
  <si>
    <t>Ayo, son! Look at that catch!</t>
  </si>
  <si>
    <t>Paragon of Conquest</t>
  </si>
  <si>
    <t>Conquer: If you've won three Lanes, you win the Game.</t>
  </si>
  <si>
    <t>M, M, M, ?, ?, ?</t>
  </si>
  <si>
    <t>Pinwheel Illusionist</t>
  </si>
  <si>
    <t>Deploy: You may copy the 'Deploy' ability of a friendly Mortal Unit in this Lane.</t>
  </si>
  <si>
    <t>With each gesture, he captures the essence of another, a spectral echo of their abilities becoming his own.</t>
  </si>
  <si>
    <t>Pocket Dragon</t>
  </si>
  <si>
    <t>Deploy: Choose one: - You may move an adjacent friendly Unit. - Draw a Card.</t>
  </si>
  <si>
    <t>In the tranquility of his mundane home, this tiny dragon frolics, a creature more akin to playful pet than fearsome beast.</t>
  </si>
  <si>
    <t>Prime Golem</t>
  </si>
  <si>
    <t>Deploy: Move a friendly Construct Unit in this Lane.</t>
  </si>
  <si>
    <t>From the world's earliest tales, this colossal guardian emerges, embodying the enduring legacy of its first creators.</t>
  </si>
  <si>
    <t>Quadriga of Triumph</t>
  </si>
  <si>
    <t>Crystallize: Gain Crystalborn. Conquer: All friendly Units in the conquered Lane gain +1 Power.</t>
  </si>
  <si>
    <t>From the thunder of war to the silence of memory, this monument bears the legacy of an empire's greatest triumphs.</t>
  </si>
  <si>
    <t>Rampart Shellback</t>
  </si>
  <si>
    <t>Conquer: Double the Power of an adjacent friendly Unit.</t>
  </si>
  <si>
    <t>Ankylosaurus</t>
  </si>
  <si>
    <t>Recruiting Officer</t>
  </si>
  <si>
    <t>Deploy: Draw the top Card of your Deck that shares a Type with an adjacent friendly Unit. Shuffle your deck.</t>
  </si>
  <si>
    <t>More than a mere selector, he is a sculptor of potential, molding the empire's greatest asset – its warriors.</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</si>
  <si>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</si>
  <si>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</si>
  <si>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</si>
  <si>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</si>
  <si>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</si>
  <si>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</si>
  <si>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Scalehide Trapper</t>
  </si>
  <si>
    <t>Ambush: An enemy Unit with 6 or more Power was deployed adjacently this Turn. Unearth: Bury an adjacent enemy Unit.</t>
  </si>
  <si>
    <t>Against the backdrop of roaring giants, his silent patience weaves the web that brings titans to their knees.</t>
  </si>
  <si>
    <t>Scapegoat</t>
  </si>
  <si>
    <t>When a friendly Unit with a 'Ritual' ability is deployed, you may bury this to copy that Unit's 'Ritual' ability.</t>
  </si>
  <si>
    <t>Ritual</t>
  </si>
  <si>
    <t>Siegebreaker</t>
  </si>
  <si>
    <t>Deploy: If you have another Warrior Unit, gain Ward.</t>
  </si>
  <si>
    <t>An unstoppable juggernaut under the Empire's banner.</t>
  </si>
  <si>
    <t>M, M, M, ?</t>
  </si>
  <si>
    <t>Snow Crane</t>
  </si>
  <si>
    <t>Deploy: Draw a Card.</t>
  </si>
  <si>
    <t>Its elegant presence blesses the new year with hopes of prosperity and vitality.</t>
  </si>
  <si>
    <t>M, M</t>
  </si>
  <si>
    <t>Stormforged Recruit</t>
  </si>
  <si>
    <t>Ally of Mortal: +3 Power.</t>
  </si>
  <si>
    <t>Baptized in rain and thunder, from the chaos of war emerged a true hero.</t>
  </si>
  <si>
    <t>Supply Camel</t>
  </si>
  <si>
    <t>Deploy: A friendly Animal or Warrior in this Lane gains +3 Power.</t>
  </si>
  <si>
    <t>Carrying the weight of war, one step at a time.</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</si>
  <si>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</si>
  <si>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</si>
  <si>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</si>
  <si>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</si>
  <si>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</si>
  <si>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Tilling Yoke Beast</t>
  </si>
  <si>
    <t>Whenever you crystallize a Mortal Crystal, another friendly Unit gains +2 Power.</t>
  </si>
  <si>
    <t>Ordinary beasts cause only an ordinary harvest.</t>
  </si>
  <si>
    <t>Trading Post Camel</t>
  </si>
  <si>
    <t>Ascend: Mortal.</t>
  </si>
  <si>
    <t>Trapmaster</t>
  </si>
  <si>
    <t>Deploy: Copy the 'Unearth' ability of a friendly Unit.</t>
  </si>
  <si>
    <t>In the game of predator and prey, she crafts her cunning into every snare, her ambition as boundless as the wilds.</t>
  </si>
  <si>
    <t>Trusty Companion</t>
  </si>
  <si>
    <t>Ally of Human: Draw a Card and gain Fear.</t>
  </si>
  <si>
    <t>At a soldier's side, steadfast and brave, this canine heart knows no fear, only loyalty.</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</si>
  <si>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</si>
  <si>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</si>
  <si>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</si>
  <si>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</si>
  <si>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</si>
  <si>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</si>
  <si>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</si>
  <si>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</si>
  <si>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</si>
  <si>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Gladehost Kyudo Master</t>
  </si>
  <si>
    <t>Bannerbearer Human Hunter</t>
  </si>
  <si>
    <t>Within the silent woods, his arrow flies true, a dance of precision and harmony with nature's rhythm.</t>
  </si>
  <si>
    <t>M, N</t>
  </si>
  <si>
    <t>Rune Whisperer</t>
  </si>
  <si>
    <t>Deploy: You may return a friendly Crystal to your Hand to crystallize a Card from your Hand.</t>
  </si>
  <si>
    <t>With each ethereal touch, it awakens the ancient scripts, a bridge between the Shards and the arcane truths they hold.</t>
  </si>
  <si>
    <t>M, N, ?, ?</t>
  </si>
  <si>
    <t>Starborne Basilisk</t>
  </si>
  <si>
    <t>Animal Dragon</t>
  </si>
  <si>
    <t>Deploy: Take an additional Turn.</t>
  </si>
  <si>
    <t>Eclipsing suns and moons in its flight, the Starborne Basilisk weaves the future and past into the tapestry of the present.</t>
  </si>
  <si>
    <t>M, M, N, N, ?, ?, ?</t>
  </si>
  <si>
    <t>The Holy Chicken</t>
  </si>
  <si>
    <t>Crystallize: Choose a Realm. Until end of your Turn, all your Crystals also become Crystals of that Realm.</t>
  </si>
  <si>
    <t>M, N, ?</t>
  </si>
  <si>
    <t>The Life Tree</t>
  </si>
  <si>
    <t>Plant</t>
  </si>
  <si>
    <t>Start of your Turn: An adjacent Unit with lower Power than this gains +1 Power.</t>
  </si>
  <si>
    <t>Trained War Elephant</t>
  </si>
  <si>
    <t>Deploy: Gain +1 Power for each friendly Mortal Crystal.</t>
  </si>
  <si>
    <t>A titan among soldiers, its tusks carve a path of destruction, turning enemy lines into mere memories.</t>
  </si>
  <si>
    <t>M, M, N, ?</t>
  </si>
  <si>
    <t>Zodiac Samurai</t>
  </si>
  <si>
    <t>Deploy: Gain Ward. Gain +1 Power for each Animal.</t>
  </si>
  <si>
    <t>Bearing the might of the zodiac's beasts, his swordplay echoes the patterns written in the night sky.</t>
  </si>
  <si>
    <t>Chalice Bloodbrewer</t>
  </si>
  <si>
    <t>Mortal Void</t>
  </si>
  <si>
    <t>Angel Undead</t>
  </si>
  <si>
    <t>Deploy: Bury a friendly Mortal Crystal and gain its Power.</t>
  </si>
  <si>
    <t>In her ancient veins flows the command of night's children, her will bending the undead to her dark desires.</t>
  </si>
  <si>
    <t>M, V, V, ?</t>
  </si>
  <si>
    <t>Crescent Oracle</t>
  </si>
  <si>
    <t>Deploy: Choose one: You may bury a Crystal. - You may unearth a Crystal.</t>
  </si>
  <si>
    <t>M, V, ?, ?</t>
  </si>
  <si>
    <t>Forsaken Aristocrat</t>
  </si>
  <si>
    <t>Bannerbearer Human Undead</t>
  </si>
  <si>
    <t>Once adored in grand halls, now lurking in shadowed corners, thirsting for more than just respect.</t>
  </si>
  <si>
    <t>M, V</t>
  </si>
  <si>
    <t>Gemcrazed Clown</t>
  </si>
  <si>
    <t>Demon Wizard</t>
  </si>
  <si>
    <t>Deploy: You may unearth a Crystal to draw a Card.</t>
  </si>
  <si>
    <t>M, V, ?</t>
  </si>
  <si>
    <t>Necromancer</t>
  </si>
  <si>
    <t>Deploy: Deploy a friendly Spirit Crystal or friendly Undead Crystal adjacently.</t>
  </si>
  <si>
    <t>In the forgotten corners of the realm, he crafts his rebellion, an army born of death and bound to his dark will.</t>
  </si>
  <si>
    <t>M, M, V, ?,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</si>
  <si>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</si>
  <si>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</si>
  <si>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</si>
  <si>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</si>
  <si>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</si>
  <si>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</si>
  <si>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</si>
  <si>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</si>
  <si>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Vindictive Forsaken</t>
  </si>
  <si>
    <t>Whenever a Common Unit is deployed adjacently, bury a friendly Crystal.</t>
  </si>
  <si>
    <t>M, V, V, ?, ?, ?</t>
  </si>
  <si>
    <t>Willing Sacrifice</t>
  </si>
  <si>
    <t>Start of your Turn: You may bury this to draw the top Rare Unit from your Deck. Shuffle your Deck.</t>
  </si>
  <si>
    <t>Alpha of the Stampede</t>
  </si>
  <si>
    <t>Deploy: Move a friendly Dinosaur Unit into an adjacent empty Slot.</t>
  </si>
  <si>
    <t>N, ?, ?</t>
  </si>
  <si>
    <t>Amethyst Argosaurus</t>
  </si>
  <si>
    <t>Crystallize: A friendly Dinosaur Crystal gains Crystalborn.</t>
  </si>
  <si>
    <t>Veined with amethyst shards, its massive form pulsates with raw, unbridled energy.</t>
  </si>
  <si>
    <t>N, N, ?, ?, ?</t>
  </si>
  <si>
    <t>Arcane Gorgosaur</t>
  </si>
  <si>
    <t>Dinosaur Wizard</t>
  </si>
  <si>
    <t>Deploy and Crystallize: Unleash &lt;N&gt;&lt;N&gt;&lt;N&gt;&lt;N&gt;: Deploy the top Card of your Deck.</t>
  </si>
  <si>
    <t>A behemoth of prehistoric mysticism, it commands the elements, sculpting the world as it has for eons.</t>
  </si>
  <si>
    <t>N, N</t>
  </si>
  <si>
    <t>Armordillo</t>
  </si>
  <si>
    <t>Ascend: Nature. Deploy: Gain Taunt and +3 Power.</t>
  </si>
  <si>
    <t>N, ?</t>
  </si>
  <si>
    <t>Astral Unicorn</t>
  </si>
  <si>
    <t>Deploy: Gain +1 Power for each Realm of friendly Crystals.</t>
  </si>
  <si>
    <t>Bathed in starlight, it roams the world, a mystical beacon in the vastness of the night sky.</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</si>
  <si>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</si>
  <si>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</si>
  <si>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</si>
  <si>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</si>
  <si>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</si>
  <si>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</si>
  <si>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</si>
  <si>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</si>
  <si>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</si>
  <si>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</si>
  <si>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Buzzing Hivetitan</t>
  </si>
  <si>
    <t>Dinosaur Insect</t>
  </si>
  <si>
    <t>Crystallize: Unleash &lt;?&gt;&lt;?&gt;&lt;?&gt;: You may deploy an Insect from your Hand.</t>
  </si>
  <si>
    <t>Insects</t>
  </si>
  <si>
    <t>N, N, ?, ?, ?, ?</t>
  </si>
  <si>
    <t>Caleidoscope Spider</t>
  </si>
  <si>
    <t>Insect Hunter</t>
  </si>
  <si>
    <t>Ambush: An enemy Unit moved or gained Power this Turn. Unearth: Cleanse an enemy Unit.</t>
  </si>
  <si>
    <t>Calming Apparition</t>
  </si>
  <si>
    <t>Bathed in an otherworldly glow, it guides lost souls through the cold, a beacon of peace in the hushed wilderness.</t>
  </si>
  <si>
    <t>N</t>
  </si>
  <si>
    <t>Caring Matriarch</t>
  </si>
  <si>
    <t>Deploy: You may crystallize the top Card of your Deck.</t>
  </si>
  <si>
    <t>Beneath a caring guise, ferocity lurks; woe to those who threaten her brood in the wild depths.</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</si>
  <si>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</si>
  <si>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</si>
  <si>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</si>
  <si>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</si>
  <si>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Duke of the Grove</t>
  </si>
  <si>
    <t>Deploy: Deploy a friendly Plant Crystal adjacently.</t>
  </si>
  <si>
    <t>In his verdant realm, he summons life with a mere thought, master of the green and growing.</t>
  </si>
  <si>
    <t>Emerald Fang Cobra</t>
  </si>
  <si>
    <t>Ambush: An enemy Crystal was crystallized this Turn.</t>
  </si>
  <si>
    <t>Its venomous fangs gleam like emeralds in the shadows, a silent harbinger of nature's treacherous beauty.</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</si>
  <si>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</si>
  <si>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</si>
  <si>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</si>
  <si>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</si>
  <si>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</si>
  <si>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</si>
  <si>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</si>
  <si>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</si>
  <si>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</si>
  <si>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</si>
  <si>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Gigantic Terrormaw</t>
  </si>
  <si>
    <t>From the depths of the mangroves, devastation awoke.</t>
  </si>
  <si>
    <t>N, N, N, ?, ?, ?</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</si>
  <si>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</si>
  <si>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</si>
  <si>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</si>
  <si>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</si>
  <si>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</si>
  <si>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</si>
  <si>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</si>
  <si>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</si>
  <si>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Jeweled Triceratops</t>
  </si>
  <si>
    <t xml:space="preserve">Deploy: Unleash &lt;N&gt;&lt;N&gt;&lt;N&gt;: Glimpse 1 and crystallize the top Card of your Deck. </t>
  </si>
  <si>
    <t>Imbued with crystalline power, its every charge shimmers with the energy of the shattered cosmos.</t>
  </si>
  <si>
    <t>Jolly Tamarin</t>
  </si>
  <si>
    <t>Ambush: This Turn, you glimpsed. Unearth: Draw a Card.</t>
  </si>
  <si>
    <t>Among the treetops, its laughter echoes, a sprightly trickster with treasures hidden in the green vaults above.</t>
  </si>
  <si>
    <t>Leech Dragonfly</t>
  </si>
  <si>
    <t>Deploy: Move all Tokens from an adjacent Unit to a friendly Insect Unit.</t>
  </si>
  <si>
    <t>In its swift flight lies a deadly purpose, a tiny terror with the power to fell giants.</t>
  </si>
  <si>
    <t>Little Lamb</t>
  </si>
  <si>
    <t>Ascend: Animal. Whenever a friendly Animal Unit is deployed adjacently, gain +1 Power.</t>
  </si>
  <si>
    <t>Living Thicket</t>
  </si>
  <si>
    <t>Plant Spirit</t>
  </si>
  <si>
    <t>Amidst the emerald canopy, the heart of the forest is beating.</t>
  </si>
  <si>
    <t>N, N, ?</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</si>
  <si>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</si>
  <si>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</si>
  <si>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</si>
  <si>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</si>
  <si>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Nurseplant</t>
  </si>
  <si>
    <t>Ally of Plant: Draw a Card.</t>
  </si>
  <si>
    <t>In the heart of the forest's embrace, it stands as a healer and guardian.</t>
  </si>
  <si>
    <t>Nurturing Rootsaurus</t>
  </si>
  <si>
    <t>Dinosaur Plant</t>
  </si>
  <si>
    <t>Deploy: Unleash &lt;N&gt;&lt;N&gt;&lt;N&gt;: +4 Power.</t>
  </si>
  <si>
    <t>Among the ancient ferns, it reigns as a guardian of growth.</t>
  </si>
  <si>
    <t>Nutrient Nexus</t>
  </si>
  <si>
    <t>Deploy: Adjacent friendly Plant Units gain +2 Power.</t>
  </si>
  <si>
    <t>Roots deep in ancient soil, it weaves life into every leaf and vine, a pulse of growth in the wilderness.</t>
  </si>
  <si>
    <t>One Eyed Dread</t>
  </si>
  <si>
    <t>Dinosaur Demon</t>
  </si>
  <si>
    <t>Crystallize: Gain Crystalborn. Deploy: Gain Fear.</t>
  </si>
  <si>
    <t>The jungle quivers under its cyclopean stare.</t>
  </si>
  <si>
    <t>N, N, N, ?, ?</t>
  </si>
  <si>
    <t>Packhunting Crystalbeast</t>
  </si>
  <si>
    <t>Dinosaur Hunter</t>
  </si>
  <si>
    <t>Ally of Dinosaur: You may return an adjacent Unit to its Owner's Hand.</t>
  </si>
  <si>
    <t>Pebble Gekko</t>
  </si>
  <si>
    <t>Crystallize: A friendly Unit gains Fear.</t>
  </si>
  <si>
    <t>Its stony eyes hold a timeless curse, turning the living to monuments of their last moments.</t>
  </si>
  <si>
    <t>Platinum Ladybug</t>
  </si>
  <si>
    <t>Deploy: Draw the top Nature Unit with 5 or more Power. Shuffle your Deck.</t>
  </si>
  <si>
    <t>In its gleaming flight, the secrets of the wild are revealed, a tiny harbinger of nature's forces.</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</si>
  <si>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</si>
  <si>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</si>
  <si>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</si>
  <si>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</si>
  <si>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</si>
  <si>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</si>
  <si>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</si>
  <si>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</si>
  <si>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</si>
  <si>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</si>
  <si>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</si>
  <si>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</si>
  <si>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</si>
  <si>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</si>
  <si>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Raptor Pack</t>
  </si>
  <si>
    <t>Ambush: Your Opponent controls six or more Crystals.</t>
  </si>
  <si>
    <t>Their coordinated strikes are as fearsome as they are efficient, a terror to all who tread their domain.</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</si>
  <si>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</si>
  <si>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</si>
  <si>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</si>
  <si>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</si>
  <si>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Rootseed Snapscale</t>
  </si>
  <si>
    <t>Ally of 6+ Cost: Gain Taunt and +3 Power.</t>
  </si>
  <si>
    <t>"Der Hurensohn"</t>
  </si>
  <si>
    <t>Saurian Wraith</t>
  </si>
  <si>
    <t>Deploy: Gain +3 Power if you have a Dinosaur Crystal.</t>
  </si>
  <si>
    <t>Echoing from ancient times, its ghostly form strikes terror, a spectral predator from a forgotten age.</t>
  </si>
  <si>
    <t>Shadowpounce Panther</t>
  </si>
  <si>
    <t>Ambush: An enemy Unit was deployed adjacently this Turn. Unearth: You may move this.</t>
  </si>
  <si>
    <t>Master of the jungle's dark heart, its every step is a silent threat, a hunter cloaked in near-invisible menace.</t>
  </si>
  <si>
    <t>Shardtooth</t>
  </si>
  <si>
    <t>Ambush: A Unit was deployed this Turn. Unearth: An adjacent friendly Unit gains Ward.</t>
  </si>
  <si>
    <t>Spectra Stick Bug</t>
  </si>
  <si>
    <t>Ally of Insect: You may deploy an Insect from your Hand.</t>
  </si>
  <si>
    <t>Among the greenery, it thrives as nature's artful imitator, a spectral insect hiding in plain sight.</t>
  </si>
  <si>
    <t>Sunflower Sprite</t>
  </si>
  <si>
    <t>Whenever a friendly Nature Unit is deployed adjacently, gain +2 Power.</t>
  </si>
  <si>
    <t>As the sun's warmth bathes the world, it spreads its wings of harmony, a sprite that nurtures unity among nature's children.</t>
  </si>
  <si>
    <t>Sylvan Gamekeeper</t>
  </si>
  <si>
    <t>Hunter Plant</t>
  </si>
  <si>
    <t>Ritual of Hunter: Up to three friendly Units with the lowest Powers gain +1 Power.</t>
  </si>
  <si>
    <t>Tainted Jade Monstrosity</t>
  </si>
  <si>
    <t>Deploy: Crystallize the top two Cards of your Deck. Each Player buries three Crystals.</t>
  </si>
  <si>
    <t>A creature of both life and decay, it embodies the Tainted Jade's perilous dance with nature's hidden forces.</t>
  </si>
  <si>
    <t>N, N, N, ?, ?, ?, ?</t>
  </si>
  <si>
    <t>Tainted Jade Mycomancer</t>
  </si>
  <si>
    <t>Ally of Insect or Plant: You may bury this to deploy a friendly Insect or Plant Crystal adjacently.</t>
  </si>
  <si>
    <t>From his vials emerge not just elixirs, but legions of insects, bred for battle's chaotic dance.</t>
  </si>
  <si>
    <t>Tiger Matriarch</t>
  </si>
  <si>
    <t>Deploy: Another friendly Nature Unit in this Lane gains +2 Power and Ward.</t>
  </si>
  <si>
    <t>Sovereign of stripes and fangs, she embodies the jungle's heart, fierce and nurturing in her dominion.</t>
  </si>
  <si>
    <t>Trickster Sprite</t>
  </si>
  <si>
    <t>Deploy: You may return an adjacent friendly Unit to your Hand to gain +3 Power.</t>
  </si>
  <si>
    <t>Venomleaf Croaker</t>
  </si>
  <si>
    <t xml:space="preserve">Deploy: Gains +1 Power for each adjacent Plant. </t>
  </si>
  <si>
    <t>Leafy and lethal, a true monarch of the underbrush.</t>
  </si>
  <si>
    <t>Venus Flytrap</t>
  </si>
  <si>
    <t>Ambush: An enemy Unit was deployed adjacently this Turn. Unearth: Bury an adjacent enemy Unit with 4 or less Power.</t>
  </si>
  <si>
    <t>What appears a mere plant masks a deadly trap, capable of snapping shut on much more than flies.</t>
  </si>
  <si>
    <t>Verdant Sakura Tree</t>
  </si>
  <si>
    <t>Crystallize: All friendly Plants gain +1 Power.</t>
  </si>
  <si>
    <t>Atop the mountains, where life was thought to wither, it stands as a testament to nature's enduring beauty, a bloom eternal.</t>
  </si>
  <si>
    <t>Forgotten Ancient</t>
  </si>
  <si>
    <t>Nature Void</t>
  </si>
  <si>
    <t>Dinosaur Undead</t>
  </si>
  <si>
    <t>Ambush: This Turn, your Opponent conquered this Lane. Unearth: Unearth all adjacent Units.</t>
  </si>
  <si>
    <t>Life leads to Death, and Death calls back Life.</t>
  </si>
  <si>
    <t>N, N, V, V, ?, ?, ?</t>
  </si>
  <si>
    <t>Locust Swarm</t>
  </si>
  <si>
    <t>Demon Insect</t>
  </si>
  <si>
    <t xml:space="preserve">Deploy: You may deploy an Insect from your Hand. </t>
  </si>
  <si>
    <t>In their buzzing, a grim prophecy fulfilled; fields and hopes alike are consumed beneath their dark cloud.</t>
  </si>
  <si>
    <t>N, V, ?, ?</t>
  </si>
  <si>
    <t>Necroconut Crab</t>
  </si>
  <si>
    <t>Deploy: Gain +1 Power for each buried Unit and buried Crystal.</t>
  </si>
  <si>
    <t>Giant Demon Coconut Crab</t>
  </si>
  <si>
    <t>N, N, V, ?</t>
  </si>
  <si>
    <t>Rotting Alicorn</t>
  </si>
  <si>
    <t>Deploy: You may copy the Ability of another Unit.</t>
  </si>
  <si>
    <t>Once pure, now tainted, it mirrors the darkest magics, twisting them with its own corruption.</t>
  </si>
  <si>
    <t>N, V, V, ?</t>
  </si>
  <si>
    <t>Tainted Jade Initiate</t>
  </si>
  <si>
    <t>Bannerbearer Plant Undead</t>
  </si>
  <si>
    <t>Embracing the jungle's forbidden elixirs, he communes with spirits unseen, a disciple of mysteries dark and profound.</t>
  </si>
  <si>
    <t>N, V</t>
  </si>
  <si>
    <t>Abyssal Silencer</t>
  </si>
  <si>
    <t>Demon Hunter</t>
  </si>
  <si>
    <t>Deploy: Bury an adjacent enemy Unit with equal or lower Power than this.</t>
  </si>
  <si>
    <t>An assassin cloaked in the stillness of the abyss, where space bends to his will.</t>
  </si>
  <si>
    <t>V, V, ?, ?</t>
  </si>
  <si>
    <t>Blightcoven Puppeteer</t>
  </si>
  <si>
    <t>Undead Wizard</t>
  </si>
  <si>
    <t>Deploy: You may unearth an adjacent friendly Unit.</t>
  </si>
  <si>
    <t>Every pull, every twitch, an orchestrated horror; the dance of the damned begins.</t>
  </si>
  <si>
    <t>V, ?, ?</t>
  </si>
  <si>
    <t>Bloodthrone Ambassador</t>
  </si>
  <si>
    <t>Ritual: You may play an additional Unit this Turn.</t>
  </si>
  <si>
    <t>V, ?</t>
  </si>
  <si>
    <t>Bloodthrone Familiar</t>
  </si>
  <si>
    <t>Crystallize: Unleash &lt;?&gt;&lt;?&gt;&lt;?&gt;&lt;?&gt;&lt;?&gt;: Unearth a friendly Undead Unit. When this gets buried, obscure 2.</t>
  </si>
  <si>
    <t>Soaring through the night, it gathers whispers and secrets, loyal only to its vampiric sovereign.</t>
  </si>
  <si>
    <t>V</t>
  </si>
  <si>
    <t>Bloodthrone Sovereign</t>
  </si>
  <si>
    <t>Hunter Undead</t>
  </si>
  <si>
    <t>Ritual: Gain +4 Power. Ritual: Gain +4 Power.</t>
  </si>
  <si>
    <t>Her throne, a monument to eternal night; her will, an unyielding dominion over darkness.</t>
  </si>
  <si>
    <t>V, ?, ?, ?</t>
  </si>
  <si>
    <t>Carnage Hornet</t>
  </si>
  <si>
    <t xml:space="preserve">Ambush: A Unit was deployed adjacently this Turn. Unearth: You may bury an adjacent friendly Unit to gain its Power. </t>
  </si>
  <si>
    <t>In the buzz of its wings, one hears the whispers of merciless destruction.</t>
  </si>
  <si>
    <t>V, V, ?, ?, ?</t>
  </si>
  <si>
    <t>Champion from Hell</t>
  </si>
  <si>
    <t>Demon Warrior</t>
  </si>
  <si>
    <t>Deploy: Your Opponent buries all of their adjacent Units except one.</t>
  </si>
  <si>
    <t>How can your meager mortal minds not grasp the concept of 'one versus one'?</t>
  </si>
  <si>
    <t>V, V, ?, ?, ?, ?, ?</t>
  </si>
  <si>
    <t>Colorgorger</t>
  </si>
  <si>
    <t>Demon</t>
  </si>
  <si>
    <t>Crystallize: If you control a Demon Unit, bury an enemy Crystal.</t>
  </si>
  <si>
    <t>It nibbles away at colors, sapping strength from the very essence of its prey.</t>
  </si>
  <si>
    <t>Dark Spoon</t>
  </si>
  <si>
    <t>Deploy: Your Opponent puts a Card from their Hand beneath their Deck.</t>
  </si>
  <si>
    <t>Beware the kitchenware that whispers secrets of chaos.</t>
  </si>
  <si>
    <t>Dawnbreak Wendigo</t>
  </si>
  <si>
    <t>Deploy: If you are trailing in Lanes, draw a card.</t>
  </si>
  <si>
    <t>trail</t>
  </si>
  <si>
    <t>Depthdragger</t>
  </si>
  <si>
    <t>Deploy: Put any number of Cards from your Hand at the Bottom of your Deck and draw that many plus one.</t>
  </si>
  <si>
    <t>Artifact</t>
  </si>
  <si>
    <t>Discarded Abomination</t>
  </si>
  <si>
    <t>Deploy: Gain Fear. Crystallize: Obscure 2 for each Lane you trail by.</t>
  </si>
  <si>
    <t>V, ?, ?, ?, ?</t>
  </si>
  <si>
    <t>Doomgaze Overlord</t>
  </si>
  <si>
    <t>Start of your Turn: Randomly obscure 1 or gain +2 Power.</t>
  </si>
  <si>
    <t>V, V, V, ?, ?, ?</t>
  </si>
  <si>
    <t>Dread Cryptlord</t>
  </si>
  <si>
    <t>Deploy: If you are trailing in Lanes, all friendly Undead Unit gain +2 Power.</t>
  </si>
  <si>
    <t>Emissary of Darkness</t>
  </si>
  <si>
    <t>Deploy: Draw the top Demon of your Deck. Shuffle your Deck.</t>
  </si>
  <si>
    <t>Beneath a starless sky, the Emissary's incantations echo, as demons heed his silent call.</t>
  </si>
  <si>
    <t>Fatepeek Imp</t>
  </si>
  <si>
    <t>Deploy: Obscure once.</t>
  </si>
  <si>
    <t>Forsaken Chronicler</t>
  </si>
  <si>
    <t>When this gets buried, draw a Card.</t>
  </si>
  <si>
    <t>His quill dips in secrets as dark as blood, chronicling the silent reign of the Forsaken over the city's heart.</t>
  </si>
  <si>
    <t>Forsaken Serenader</t>
  </si>
  <si>
    <t>Deploy: Glimpse twice for each adjacent Void Unit.</t>
  </si>
  <si>
    <t>In the dim light, his fingers dance across ivory, each note a whisper of timeless longing.</t>
  </si>
  <si>
    <t>Foul Corruptor</t>
  </si>
  <si>
    <t>Ritual: All friendly Void Units gain +1 Power.</t>
  </si>
  <si>
    <t>In her gaze lies the downfall of purity; in her touch, the rot of empires.</t>
  </si>
  <si>
    <t>Ghoulflesh Devourer</t>
  </si>
  <si>
    <t>Whenever an enemy Unit with less Power is deployed adjacently, gain +1 Power.</t>
  </si>
  <si>
    <t>Feasting on the meek, it grows ever stronger, a monstrous amalgam of death and dragon might.</t>
  </si>
  <si>
    <t>Gravebound Ghoul</t>
  </si>
  <si>
    <t>When this gets buried, an adjacent friendly Unit gains Power equal to this Unit's Power.</t>
  </si>
  <si>
    <t>In the echo of a necromancer's neglect, it haunts, forever confined to its unintended crypt.</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</si>
  <si>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</si>
  <si>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</si>
  <si>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</si>
  <si>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</si>
  <si>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</si>
  <si>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</si>
  <si>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</si>
  <si>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</si>
  <si>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</si>
  <si>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Grinning Amphora</t>
  </si>
  <si>
    <t>Deploy: Draw two Cards.</t>
  </si>
  <si>
    <t>Its grin speaks of boundless greed, yet none truly know its purpose.</t>
  </si>
  <si>
    <t>Hellblade</t>
  </si>
  <si>
    <t>Forged in the deepest fires, sheathed in eternal darkness.</t>
  </si>
  <si>
    <t>Hungry Shambler</t>
  </si>
  <si>
    <t>Crystalblight Undead</t>
  </si>
  <si>
    <t>Deploy: Each Player buries one of their Crystals.</t>
  </si>
  <si>
    <t>In its relentless shuffle, there's but one thought: feed, feed, feed.</t>
  </si>
  <si>
    <t>Ill-Tempered Imp</t>
  </si>
  <si>
    <t>Within its volatile gaze lies a mischief only the brave dare to decipher.</t>
  </si>
  <si>
    <t>Intrusive Advisor</t>
  </si>
  <si>
    <t xml:space="preserve">Deploy: Draw two Cards, then put two Cards from your Hand to the bottom of the Deck. </t>
  </si>
  <si>
    <t>A demon's counsel is a double-edged sword; one edge cuts through lies, the other through the listener.</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</si>
  <si>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</si>
  <si>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</si>
  <si>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</si>
  <si>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</si>
  <si>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</si>
  <si>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Nethersilk Moth</t>
  </si>
  <si>
    <t>Whenever a friendly Void Unit is deployed adjacently, gain +2 Power.</t>
  </si>
  <si>
    <t>Drawn to the void's cold embrace, each nearby shadow fuels its ghostly wings.</t>
  </si>
  <si>
    <t>Nightmare Penguin</t>
  </si>
  <si>
    <t>What was whispered as a tale to scare children skulks in the darkness, a terrifying truth behind the fable.</t>
  </si>
  <si>
    <t>Nightreaper</t>
  </si>
  <si>
    <t>Deploy: Gain Fear. Bury a friendly Unit and a friendly Crystal.</t>
  </si>
  <si>
    <t>Cloaked in midnight, he reaps souls with a blade that slices through fate and time, an eternal arbiter of the inevitable.</t>
  </si>
  <si>
    <t>Obsidian Scarab</t>
  </si>
  <si>
    <t>Born from the darkest sands, its shell holds the secrets of eternity.</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</si>
  <si>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</si>
  <si>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</si>
  <si>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</si>
  <si>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</si>
  <si>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</si>
  <si>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</si>
  <si>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Purple Crusader</t>
  </si>
  <si>
    <t>With every swing of his blade, he sought to cleave the dark. But the void is patient; it seeped into his will, transforming his resolve into the very essence of what he once vanquished.</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</si>
  <si>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</si>
  <si>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</si>
  <si>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</si>
  <si>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</si>
  <si>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</si>
  <si>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</si>
  <si>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</si>
  <si>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</si>
  <si>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</si>
  <si>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</si>
  <si>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</si>
  <si>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</si>
  <si>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</si>
  <si>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Shadowsting Scorpion</t>
  </si>
  <si>
    <t>Ambush: An enemy Unit was deployed adjacently this Turn. Unearth: Bounce an adjacent Unit.</t>
  </si>
  <si>
    <t>Death's whisper on eight silent legs.</t>
  </si>
  <si>
    <t>Shiverskull</t>
  </si>
  <si>
    <t>Deploy: All friendly Void Units gain Fear.</t>
  </si>
  <si>
    <t>His every step is a reminder of mortality's cruel jest; his blade, a sharp retort.</t>
  </si>
  <si>
    <t>Shroom Behemoth</t>
  </si>
  <si>
    <t>Plant Undead</t>
  </si>
  <si>
    <t>A colossal fusion of fungus and might, looming large from the forest's hidden depths.</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</si>
  <si>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</si>
  <si>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</si>
  <si>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</si>
  <si>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</si>
  <si>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Skull Crow</t>
  </si>
  <si>
    <t>Deploy: Your Opponent buries one of their Units.</t>
  </si>
  <si>
    <t>With eyes like ghostly lanterns, the guardian of the graveyards watches from above.</t>
  </si>
  <si>
    <t>Slumbering Fiend</t>
  </si>
  <si>
    <t>Unearth: Gain +6 Power.</t>
  </si>
  <si>
    <t>They mourned him, as is the way of the living, until the grave unbound him. There he stood again among them, a presence both familiar and unsettling, marked by the passage through death's own door.</t>
  </si>
  <si>
    <t>Symbiotic Crawler</t>
  </si>
  <si>
    <t>Demon Plant</t>
  </si>
  <si>
    <t>Deploy: Another friendly Void Unit in this Lane gains +1 Power and Fear.</t>
  </si>
  <si>
    <t>In the shadow of its tendrils, life withers, feeding this sinister, parasitic growth.</t>
  </si>
  <si>
    <t>The Forsaken King</t>
  </si>
  <si>
    <t>Angel Demon</t>
  </si>
  <si>
    <t xml:space="preserve">Ritual of Angel: Gain +2 Power, Taunt and Ward. Ritual of Demon: Draw 3 Cards. </t>
  </si>
  <si>
    <t>In his fall, a kingdom was born, straddling the blurred lines between redemption and ruin.</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</si>
  <si>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</si>
  <si>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</si>
  <si>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</si>
  <si>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</si>
  <si>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</si>
  <si>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</si>
  <si>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Umbral Nexus</t>
  </si>
  <si>
    <t>Deploy: Gain Taunt. Ascend: Void.</t>
  </si>
  <si>
    <t>To the unsuspecting eye, it's merely flora, yet its roots delve deep, siphoning malice from the earth. Its pollen whispers dark thoughts to those who wander too close.</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</si>
  <si>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</si>
  <si>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</si>
  <si>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</si>
  <si>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Voidsinger</t>
  </si>
  <si>
    <t>Deploy: Choose one: - Your opponent shuffles 2 Cards from their Hand into their Deck. - Draw two Cards.</t>
  </si>
  <si>
    <t>A serenade from the abyss, its melody fractures reality.</t>
  </si>
  <si>
    <t>Voodoo Doctor</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</si>
  <si>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</si>
  <si>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</si>
  <si>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</si>
  <si>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</si>
  <si>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</si>
  <si>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Choking Vines</t>
  </si>
  <si>
    <t>Crystalblight Plant</t>
  </si>
  <si>
    <t>Deploy: Bury a friendly Crystal to glimpse 1.</t>
  </si>
  <si>
    <t>The forests whisper of a creeping doom, one that leeches the vitality from the very soil, rendering the land barren of its arcane gifts.</t>
  </si>
  <si>
    <t>?</t>
  </si>
  <si>
    <t>Clocktower Drake</t>
  </si>
  <si>
    <t>Ticking gears and whirring cogs give life to this marvel; a testament to mortal genius soaring high in the sky.</t>
  </si>
  <si>
    <t>?, ?, ?, ?, ?, ?, ?</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</si>
  <si>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</si>
  <si>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</si>
  <si>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</si>
  <si>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</si>
  <si>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</si>
  <si>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</si>
  <si>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</si>
  <si>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</si>
  <si>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</si>
  <si>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</si>
  <si>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</si>
  <si>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</si>
  <si>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Fortune's Favorite</t>
  </si>
  <si>
    <t>Ascend.</t>
  </si>
  <si>
    <t>He walks the earth lightly, for he belongs not to this world but to the ether, where ascension awaits the pure of heart.</t>
  </si>
  <si>
    <t>Mini Golem</t>
  </si>
  <si>
    <t>Carved from the smallest rocks, yet its resolve stands as tall as the mountains.</t>
  </si>
  <si>
    <t>Null Ghost</t>
  </si>
  <si>
    <t>Crystalblight Spirit</t>
  </si>
  <si>
    <t>Deploy: Gain +2 Power for each friendly empty Crystal.</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</si>
  <si>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</si>
  <si>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</si>
  <si>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</si>
  <si>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</si>
  <si>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</si>
  <si>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</si>
  <si>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</si>
  <si>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</si>
  <si>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</si>
  <si>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iI1MDZmZWIifSwiVGh1bmRlcnN3YXJtIFNraXJtaXNoZXIiOnsiMCI6IjEzNTJhZTFjLWU5M2ItNGVlYi05YzJiLThkNDVlZmM0N2YzOF8wIiwiMSI6ImU1OGQwZWRlLTIxZDAtNGI5Yy04N2IzLTQ3NDViMzI5Zjk3ZF8wIiwiYyI6ImJjYzg1MyJ9LCJEb21hIEFuZ2VsIjp7IjAiOiJlMTBiZjliMy0zZDRhLTQ1OGMtYjRlOS01OTVjNGNkZGQ5YmZfMCIsIjEiOiJiZjJiOTc5Ny1jYTQ3LTQxOGItOGI1MS1mNzNiMTY2ZDc5NGVfMCIsImMiOiI4ZGY5MjkifSwiRGl2aW5lciBvZiBGYXRlcyI6eyIwIjoiOWIxY2QzYmEtZjBmYi00M2RmLWE1ZGYtYWEwNTU1ZjE4NGUwXzAiLCIxIjoiN2U2NTI0ZDUtZmM0Ny00YTY0LWFjODctNWVjNWE1ZGRhZDRjXzMiLCIyIjoiN2U2NTI0ZDUtZmM0Ny00YTY0LWFjODctNWVjNWE1ZGRhZDRjXzEiLCJjIjoiNTQ2MGFjIn0sIlRyYW5xdWlsIEhlcmQgU2FnZWhvcm4iOnsiMCI6ImQyNTIwZDMzLTYzODQtNDhlMS1hMGFjLTJiNDBiY2JhOWM2N18yIiwiMSI6ImViNzRlMzYzLWNlMjMtNDMzMy1iZjFhLTllNDViNTQxMDUyOF8zIiwiMiI6ImFlN2M4MDJkLTViYjMtNGU1Yy05MzVmLTA5ODlmODM1OTgxYl8zIiwiYyI6ImRlNjgxMyJ9LCJGYWxsZW4gQW5nZWwiOnsiMCI6IjkwNjJmYzk2LTM4YWYtNGI5NC1iYjhiLTU4NzI0ZWUzZTc4NF8zIiwiMSI6ImQxOTQ5OWZhLTk5M2UtNDkwOS05NGVlLTJiOWM4NzYxZTc5NV8xIiwiMiI6IjI1OTNlZDZmLWI2N2EtNGU3Zi1hOGY5LWEzNjE1N2VkOGY4Nl8xIiwiYyI6IjczMDI1ZCJ9LCJJdm9yeXNjYXIgRWNsaXBzaW9uIjp7IjAiOiJjMjUyNjU3OC05ZWI3LTRiZmMtYjZjZC0wZjk4MTMzMzU0M2NfMSIsIjEiOiI2ODY4NzU1MS1hMDZmLTQ1NTAtYmM4OC02YzQ5YTU4YWMwMjlfMiIsIjIiOiIxMjQ3NDEyOC0wODYzLTRkYTItYWZmOC05OTdiNzNmZTk4NzhfMyIsImMiOiJlZGIxODkifSwiS29pcyBvZiBEdWFsaXR5Ijp7IjAiOiIwMTFhMzE5Zi0zZWMyLTQzYTQtYWUwNy1lMzFlODhiYmNmY2ZfMiIsIjEiOiI5NTdhMWY2MS0xYzFiLTRhMzMtODJhYi1jMTdiY2M3OGQ4ZjlfMCIsIjIiOiJhMDViZGE5ZS01ODZlLTQ5ZGUtOGMzMi0wZjZlNDdmZDg4MzFfMiIsImMiOiI5NDkyM2YifSwiVmVybWlsbGlvbiBGaXJlYmlyZCI6eyIwIjoiODU1NTg0YjYtZmY4MS00NDljLWJmYzgtNzc2Yjg5ZTJlMWI2XzIiLCIxIjoiODU1NTg0YjYtZmY4MS00NDljLWJmYzgtNzc2Yjg5ZTJlMWI2XzAiLCIyIjoiODU1NTg0YjYtZmY4MS00NDljLWJmYzgtNzc2Yjg5ZTJlMWI2XzMiLCJjIjoiM2IxMGQyIn0sIlNwZWxsIENhdCI6eyIwIjoiZWE2OWRiMjctMDA5NC00NmEyLTk1N2QtZGY5YzY1ODdjZDhmXzEiLCIxIjoiMjNjMjgwMDMtY2I5ZC00MjUyLWI0N2UtZWIzMWI3OWM0NzQ2XzMiLCIyIjoiYzAxNGZhNzgtOWI1Ni00ZTkyLTkzODAtMDVmM2MxYmM2M2YyXzMiLCJjIjoiMjdmZjY4In0sIlRvcmlpIFNwaXJpdCI6eyIwIjoiMTFjZWEwYjUtMTVmNi00NmVhLTljOTgtODUxNDdjNWQwYzFkXzIiLCIxIjoiODc4NTcxOGEtM2NlZi00ZDZiLWFkZjQtM2Y2MTFhM2I5NjVlXzIiLCIyIjoiODU1ZDlhZDItNjBmYS00MzE3LTkwZDUtZGRlNjk1YWEzODYzXzIiLCJjIjoiMzQ0YjM3In0sIlJ1bmVjdXJzZWQgV3l2ZXJuIjp7IjAiOiJiMWY4ZjNkNS00NDVmLTRjNzUtOGM2OS1kYzNjMDBkZDZhMmFfMSIsIjEiOiJlZmM5NmVkMC1kODdiLTRkMjktYmI4Ni1mMjk3OTU3MjhiZjhfMiIsIjIiOiJiMWY4ZjNkNS00NDVmLTRjNzUtOGM2OS1kYzNjMDBkZDZhMmFfMyIsImMiOiJmYTMwNjgifSwiVGVjdG9uaWMgU2hpZnRlciI6eyIwIjoiMDRlMDczNTMtMTdhYi00ODQ2LTg0YmMtODE4YmM0MDJmMDlkXzEiLCIxIjoiZThlOTZmNzYtOTRiZC00MWFlLWIxYmQtNGNhOTZhZWJkZDFlXzMiLCIyIjoiZGE0ODc3MmEtYjRkNC00NGY4LThkNTUtNDI4YzRiNzc1MGRmXzEiLCJjIjoiMDJmYWQ5In0sIkFtYmVybG9jayBEcmFnb25saW5nIjp7IjAiOiI1ZTExMGQyZS1hN2U0LTQzNmItYmIxMS00ZmI4NmUxNTgwZTlfMiIsIjEiOiI3NTBlZDczOC0yOWJhLTQyYjYtOGY2Zi1kODc4ZGRhYzcwZDRfMSIsIjIiOiI1ZTExMGQyZS1hN2U0LTQzNmItYmIxMS00ZmI4NmUxNTgwZTlfMyIsImMiOiJkYjZmZjYifSwiQ2F2ZXJuIExpbmR3dXJtIjp7IjAiOiI0MmFiNjEyYy1kNGE0LTQ2NDAtYjBlYi1hMDA5ODM1NTA2OGFfMiIsIjEiOiIxNzJhZTk4Yi00NmMwLTQ4MjUtYjg1Yi0yMTlhNDdkZmVjYzBfMiIsIjIiOiJkYTkwMTBkZS00NGMxLTQyYmYtOGJiYy1mN2ViMDI2YzE4ODJfMiIsImMiOiI4YTE5MTEifSwiRHJhZ29uIEVnZyI6eyIwIjoiMTM2OGI1OWYtNmEzYS00ZjM3LWI3MDQtZGMwMDIzYzVhMzliXzMiLCIxIjoiMTM2OGI1OWYtNmEzYS00ZjM3LWI3MDQtZGMwMDIzYzVhMzliXzAiLCIyIjoiM2U0MDE1ZDMtYzU3ZS00ZDEyLTlkZGItZGY1ZmNmYjlkMTlkXzAiLCJjIjoiNjBiMjM0In0sIkdsaW50ZXllIEhvYXJkZXIiOnsiMCI6IjBhMTE2OGE3LTE2YTMtNDAyMi1iODIyLWZkMTNhNTA4YTYyNF8wIiwiMSI6IjhjNTg1YmM4LTUxODAtNDM5ZS04YWRiLWMzYTQ3YzAxNTBmZV8yIiwiMiI6ImUzMGU3N2JkLTk1NWUtNGU4ZS1hZmU0LWVhZTcxNjE5ODJjNF8zIiwiYyI6IjBjNWM3OSJ9LCJTaGFyZGhvcmRlIExldmlhdGhhbiI6eyIwIjoiZjQzNjQyODEtYzM0MS00MzI1LTgyM2ItY2MxNTlmNjJlM2ZhXzMiLCIxIjoiZjA0YjRmYmYtODNhZC00ZjUwLTljM2EtNjg4NDNlNjllZjExXzIiLCIyIjoiYzA3Njg2ODAtYmQ0Yy00NTQ1LTg0NmYtMDAyYWZkNmE4NTRiXzAiLCJjIjoiZDlkYWUxIn0sIkJsb29kIE1vb24gU2NhcmFiIjp7IjAiOiJhZTAwZDQ1Ni1hNDgxLTQwMzQtYThjMi1mZGI5N2ZmZmU3ZjZfMiIsIjEiOiI4YzdlNGVhOC1lMzVmLTQzMDktODZiNi1lNmE5ZjFlZmFlY2JfMSIsIjIiOiI3OGFlNWE5Ny04NjU2LTRjMjMtOTkyZi02MWY4OTQ3YTE5NTBfMyIsImMiOiI1YzhhMmYifSwiQ2hlZXJmdWwgUGl4aWVzIjp7IjAiOiJlN2EyMDRjNi03NmQ1LTRjZDctOWEwMi1lMDYzOTM1MDMzMTVfMiIsIjEiOiJlNmUwYTJiZS04MzE3LTQ5M2QtOWEyYS1jYjIyN2YzNGEyNzBfMCIsIjIiOiJiOTZkNDdjMS1lMDNiLTRkYWQtYmM5Ny0xMjM5NDU4NjZlYmVfMyIsImMiOiJkMTVhYTcifSwiRGFyZWRldmlsIER1byI6eyIwIjoiOWI5ZjE5MzItN2I4NS00ZGMyLWI4OWItYzVkYjMxMzg4MWZlXzEiLCIxIjoiZTQ3NmZhNDktMDg2Ny00YmEwLWI5ZGYtNTQzYjM5MWY0OGRiXzAiLCIyIjoiNDFhZGZhYzQtZmIyZS00NjIxLWE5ZmYtM2E4ZTdjODNlNTkxXzMiLCJjIjoiZTkzZDkwIn0sIkluZmVybm9ibGlnaHQiOnsiMCI6IjIzMTQ2NTg0LWYxMmQtNGRmNy05MDQ0LWJjM2ZkZGQ1YWVkMV8yIiwiMSI6IjMzZjdjYzJjLWU5M2QtNGUyYy05YjY1LTAwMGY3ZmVjNWI0ZF8zIiwiMiI6ImQxZDRlNDNhLTYyOTQtNGNjYS1iOWU5LWE4YTliN2MxNDc3M18yIiwiYyI6ImFlZTZlZCJ9LCJDaW5kZXJndWFyZCBJcnJlZ3VsYXJzIjp7IjAiOiI3OGJlNDA0MS02OTgzLTRmZWMtYWMyZi0xNTg3NDhiYzBmMDdfMSIsIjEiOiIwMjFlOTA0Ni1hZjY0LTQzMjItOGUxNC05YjczNWJiNzdlMzNfMyIsIjIiOiIwODFmZGRlMi04MjMxLTQxZDUtYWE1Yy1iZTNmZjJmMzdiNWRfMiIsImMiOiI1Njg3OTAifSwiQ2luZGVyZ3VhcmQgU2NyaWJlIjp7IjAiOiIxYWYyYTQ5OC0zNzg2LTRhZDUtYWVmMC1hNTM3OGYyZGZiZjJfMyIsIjEiOiI2MzY0ZjI1My1jOWVmLTQ0MWYtYTVhNS01Y2QzNWYzZjQ4YjRfMSIsIjIiOiI2MzY0ZjI1My1jOWVmLTQ0MWYtYTVhNS01Y2QzNWYzZjQ4YjRfMiIsImMiOiIxMDFjMDUifSwiRGV3ZHJvcCBTcHJpdGUiOnsiMCI6IjdhMmUyOWZiLWJkOTgtNGQzMC04OGIyLThiZmVlNzBjNGE0N18wIiwiMSI6ImY4MmNiMDY3LWEyNmUtNDNlNC1hN2I3LTg3MmFkODNhYmY5Ml8xIiwiMiI6IjhmYmU0NGU0LTcwNWMtNGVlNC1hZGJjLTZlNDM1NTQ2ZmFjY18zIiwiYyI6IjcxNWM0MCJ9fQ==</t>
  </si>
  <si>
    <t>Goersy</t>
  </si>
  <si>
    <t>eyJSdW5lY3Vyc2VkIFd5dmVybiI6eyIwIjoiMzA0YWZjZmQtNzg5NC00MDhmLTkwNzUtYjk2NjViMGRhOWJiXzEiLCIxIjoiZWZjOTZlZDAtZDg3Yi00ZDI5LWJiODYtZjI5Nzk1NzI4YmY4XzIiLCIyIjoiM2Y3MDA3NDUtOTNlOS00OTFlLWIzMDItMGYzYjgxMjljZDNhXzMiLCJjIjoiZmEzMDY4In0sIlRvcmlpIFNwaXJpdCI6eyIwIjoiMTFjZWEwYjUtMTVmNi00NmVhLTljOTgtODUxNDdjNWQwYzFkXzIiLCIxIjoiZWYzMWM4ZGUtZjYxZS00OTcyLTg2ZTktYWE5ZjE4MzFhZmQ1XzAiLCIyIjoiMGMyZmNjNTgtMWNkNS00ZTJjLTk5NTMtMDZhZTk5NTI3YWNjXzMiLCJjIjoiMzQ0YjM3In0sIlNwZWxsIENhdCI6eyIwIjoiZDhhNTZiZTUtMGZlNS00MzRiLWE3N2EtYjYxNDY4NzNlYTFhXzMiLCIxIjoiYzAxNGZhNzgtOWI1Ni00ZTkyLTkzODAtMDVmM2MxYmM2M2YyXzMiLCIyIjoiZWE2OWRiMjctMDA5NC00NmEyLTk1N2QtZGY5YzY1ODdjZDhmXzEiLCJjIjoiMjdmZjY4In0sIlZlcm1pbGxpb24gRmlyZWJpcmQiOnsiMCI6IjgyNjdkZTEzLTQ2NGItNDQ3NS04Yjg5LTYzNWNhYzBkNzBiZF8wIiwiMSI6ImExODc0NmNmLTk3NWUtNDgzYS05YzBjLTk0YzEzNGNmNmFmMl8xIiwiMiI6Ijg1NTU4NGI2LWZmODEtNDQ5Yy1iZmM4LTc3NmI4OWUyZTFiNl8yIiwiYyI6IjNiMTBkMiJ9LCJLb2lzIG9mIER1YWxpdHkiOnsiMCI6IjAxMWEzMTlmLTNlYzItNDNhNC1hZTA3LWUzMWU4OGJiY2ZjZl8yIiwiMSI6IjM0MzAyOTM0LTBjZTItNGQxMi05YjZiLWJjYmZiMmRkMjc0OF8wIiwiMiI6Ijk1N2ExZjYxLTFjMWItNGEzMy04MmFiLWMxN2JjYzc4ZDhmOV8xIiwiYyI6Ijk0OTIzZiJ9LCJJdm9yeXNjYXIgRWNsaXBzaW9uIjp7IjAiOiIxMjQ3NDEyOC0wODYzLTRkYTItYWZmOC05OTdiNzNmZTk4NzhfMyIsIjEiOiIyMTkzOTJkZC03MjE3LTRkMDgtODhhNC0wN2ZlNTQ1ZTRlNjBfMCIsIjIiOiI2ODY4NzU1MS1hMDZmLTQ1NTAtYmM4OC02YzQ5YTU4YWMwMjlfMiIsImMiOiJlZGIxODkifSwiRmFsbGVuIEFuZ2VsIjp7IjAiOiIwMjc2NGFjNS02YjY5LTQ2NDUtYjE4Ni02YWRhNWM1ZmFlZDhfMyIsIjEiOiJkMTk0OTlmYS05OTNlLTQ5MDktOTRlZS0yYjljODc2MWU3OTVfMSIsIjIiOiJiY2UxM2IxOS1hNWI3LTQ4OTUtOTkxYy1hMzQzZTcyOTViZWFfMiIsImMiOiI3MzAyNWQifSwiVHJhbnF1aWwgSGVyZCBTYWdlaG9ybiI6eyIwIjoiYWU3YzgwMmQtNWJiMy00ZTVjLTkzNWYtMDk4OWY4MzU5ODFiXzMiLCIxIjoiZDI1MjBkMzMtNjM4NC00OGUxLWEwYWMtMmI0MGJjYmE5YzY3XzIiLCIyIjoiZWI3NGUzNjMtY2UyMy00MzMzLWJmMWEtOWU0NWI1NDEwNTI4XzMiLCJjIjoiZGU2ODEzIn0sIkRpdmluZXIgb2YgRmF0ZXMiOnsiMCI6IjliMWNkM2JhLWYwZmItNDNkZi1hNWRmLWFhMDU1NWYxODRlMF8wIiwiMSI6IjdlNjUyNGQ1LWZjNDctNGE2NC1hYzg3LTVlYzVhNWRkYWQ0Y18xIiwiMiI6IjdlNjUyNGQ1LWZjNDctNGE2NC1hYzg3LTVlYzVhNWRkYWQ0Y18zIiwiYyI6IjU0NjBhYyJ9LCJEb21hIEFuZ2VsIjp7IjAiOiJlMTBiZjliMy0zZDRhLTQ1OGMtYjRlOS01OTVjNGNkZGQ5YmZfMCIsIjEiOiJiZjJiOTc5Ny1jYTQ3LTQxOGItOGI1MS1mNzNiMTY2ZDc5NGVfMCIsImMiOiI4ZGY5MjkifSwiVGh1bmRlcnN3YXJtIFNraXJtaXNoZXIiOnsiMCI6IjEzNTJhZTFjLWU5M2ItNGVlYi05YzJiLThkNDVlZmM0N2YzOF8wIiwiMSI6ImU1OGQwZWRlLTIxZDAtNGI5Yy04N2IzLTQ3NDViMzI5Zjk3ZF8wIiwiYyI6ImJjYzg1MyJ9LCJBbGFiYXN0ZXIgRXhhcmNoIjp7IjAiOiI3YzdiNGM1My0yZjJiLTQ5ZGYtYTZiZi0zN2YyOWI5ZTU3NDZfMyIsIjEiOiJkYjUyNTc4Yi1jZjYxLTRjYzYtYjczMC0yMWUzYmQxNzUyY2VfMyIsIjIiOiIxMjNfYSIsImMiOiI1MDZmZWIifSwiVGVjdG9uaWMgU2hpZnRlciI6eyIwIjoiZGE0ODc3MmEtYjRkNC00NGY4LThkNTUtNDI4YzRiNzc1MGRmXzEiLCIxIjoiYTViMjMzNzQtYzllMC00Y2MzLWFjOWUtN2NjNjkzYWIwN2I2XzEiLCIyIjoiZWUwOGRlYmYtNmRmYS00YzFhLWI2OGQtYWYyODE1ZTI3ZWNkXzAiLCJjIjoiMDJmYWQ5In0sIkFtYmVybG9jayBEcmFnb25saW5nIjp7IjAiOiI1ZTExMGQyZS1hN2U0LTQzNmItYmIxMS00ZmI4NmUxNTgwZTlfMyIsIjEiOiI1ZTExMGQyZS1hN2U0LTQzNmItYmIxMS00ZmI4NmUxNTgwZTlfMiIsIjIiOiIzMTg2OWMyZS03OWUwLTQ0YTItYmNiMi1lZjI0ODlmMjI2YWRfMyIsImMiOiJkYjZmZjYifSwiQ2F2ZXJuIExpbmR3dXJtIjp7IjAiOiIyNzgwMDM4ZC02MjU4LTRjN2EtYTVlMC03MDBjZGZlNDIzZjlfMCIsIjEiOiJhYjEzNzc4Mi03MGYxLTRiYTMtODQwYS00OWNmNGZkYTdiYmVfMyIsIjIiOiI0MmFiNjEyYy1kNGE0LTQ2NDAtYjBlYi1hMDA5ODM1NTA2OGFfMSIsImMiOiI4YTE5MTEifSwiRHJhZ29uIEVnZyI6eyIwIjoiYTRjMDA0NGYtYTk4Ni00YWE5LTg3YmYtMDAwYjY3OTY2YTRiXzAiLCIxIjoiMTM2OGI1OWYtNmEzYS00ZjM3LWI3MDQtZGMwMDIzYzVhMzliXzMiLCIyIjoiMTM2OGI1OWYtNmEzYS00ZjM3LWI3MDQtZGMwMDIzYzVhMzliXzAiLCJjIjoiNjBiMjM0In0sIkdsaW50ZXllIEhvYXJkZXIiOnsiMCI6IjhjNTg1YmM4LTUxODAtNDM5ZS04YWRiLWMzYTQ3YzAxNTBmZV8yIiwiMSI6ImEzODc0Mzg1LTAxOTQtNGMwZi1iYTE0LTA4YjRkNzYyOGE2N18xIiwiMiI6IjQ3ZTkzY2JiLTBlNzEtNDkxYS1hNDliLTU2ODUxNzJiOTZiMV8yIiwiYyI6IjBjNWM3OSJ9LCJTaGFyZGhvcmRlIExldmlhdGhhbiI6eyIwIjoiZjQzNjQyODEtYzM0MS00MzI1LTgyM2ItY2MxNTlmNjJlM2ZhXzMiLCIxIjoiYzA3Njg2ODAtYmQ0Yy00NTQ1LTg0NmYtMDAyYWZkNmE4NTRiXzAiLCIyIjoiM2ZmYzgxOTktNzY3Ni00NGEwLWIzNTctMGU2YTgyNmIyNTMxXzEiLCJjIjoiZDlkYWUxIn0sIkJsb29kIE1vb24gU2NhcmFiIjp7IjAiOiJhZTAwZDQ1Ni1hNDgxLTQwMzQtYThjMi1mZGI5N2ZmZmU3ZjZfMSIsIjEiOiI4YzdlNGVhOC1lMzVmLTQzMDktODZiNi1lNmE5ZjFlZmFlY2JfMSIsIjIiOiIyMjQ1ZDJmOS02ZmFhLTRkNGMtOWRkYi05NGUwMThjYTU0YWZfMiIsImMiOiI1YzhhMmYifSwiQ2hlZXJmdWwgUGl4aWVzIjp7IjAiOiJhNTMwYzU0ZC1lMjUzLTQ2MjctYWRmMi0wMDk5OWM5MmI4NzdfMSIsIjEiOiJhMGMyYmRhZC05OTc1LTQzMzktODY0Ni1kMTA5ZWRkMWVhMDhfMCIsIjIiOiJiOTZkNDdjMS1lMDNiLTRkYWQtYmM5Ny0xMjM5NDU4NjZlYmVfMyIsImMiOiJkMTVhYTcifSwiQ2luZGVyZ3VhcmQgSXJyZWd1bGFycyI6eyIwIjoiN2RkMDMyZDYtMGVkNS00ZDNmLTkyNmMtMzIyNTI2ZDVhY2VhXzMiLCIxIjoiNzhiZTQwNDEtNjk4My00ZmVjLWFjMmYtMTU4NzQ4YmMwZjA3XzEiLCIyIjoiNmEwN2ZmNzctMjZlNC00NDA5LTk1ZTMtMTNiNDcwYWJkNmY5XzEiLCJjIjoiNTY4NzkwIn0sIkNpbmRlcmd1YXJkIFNjcmliZSI6eyIwIjoiNjVlNjYzYzgtY2YwNC00YzU0LTllYjgtOTc1NWEwMDAwMDBiXzIiLCIxIjoiNjM2NGYyNTMtYzllZi00NDFmLWE1YTUtNWNkMzVmM2Y0OGI0XzEiLCIyIjoiMWFmMmE0OTgtMzc4Ni00YWQ1LWFlZjAtYTUzNzhmMmRmYmYyXzMiLCJjIjoiMTAxYzA1In0sIkRhcmVkZXZpbCBEdW8iOnsiMCI6Ijk2MGIwMTQyLWRhZDMtNGE1ZS05NDk3LWM1MDMzN2JmYTUxN18wIiwiMSI6IjliOWYxOTMyLTdiODUtNGRjMi1iODliLWM1ZGIzMTM4ODFmZV8xIiwiMiI6IjQxYWRmYWM0LWZiMmUtNDYyMS1hOWZmLTNhOGU3YzgzZTU5MV8zIiwiYyI6ImU5M2Q5MCJ9LCJEZXdkcm9wIFNwcml0ZSI6eyIwIjoiN2EyZTI5ZmItYmQ5OC00ZDMwLTg4YjItOGJmZWU3MGM0YTQ3XzAiLCIxIjoiN2MwYzZmZTUtM2QxMS00NmU5LTlmYjItMjdhM2U0YWQ5OGQ1XzMiLCIyIjoiZjgyY2IwNjctYTI2ZS00M2U0LWE3YjctODcyYWQ4M2FiZjkyXzEiLCJjIjoiNzE1YzQwIn0sIkluZmVybm9ibGlnaHQiOnsiMCI6ImU3YzVlNGZlLTYzOGItNDE3OC04NTdlLTY2MjNmMTE3YWMxZV8zIiwiMSI6IjdiOTg2MzgyLTg0MmQtNDg5NC1iZmE1LThmM2ExM2MyODA0OF8yIiwiMiI6IjMzZjdjYzJjLWU5M2QtNGUyYy05YjY1LTAwMGY3ZmVjNWI0ZF8zIiwiYyI6MTB9fQ==</t>
  </si>
  <si>
    <t>Bene</t>
  </si>
  <si>
    <t>eyJBbGFiYXN0ZXIgRXhhcmNoIjp7IjAiOiJkYjUyNTc4Yi1jZjYxLTRjYzYtYjczMC0yMWUzYmQxNzUyY2VfMyIsIjEiOiI3YzdiNGM1My0yZjJiLTQ5ZGYtYTZiZi0zN2YyOWI5ZTU3NDZfMyIsImMiOjJ9LCJUaHVuZGVyc3dhcm0gU2tpcm1pc2hlciI6eyIwIjoiMTM1MmFlMWMtZTkzYi00ZWViLTljMmItOGQ0NWVmYzQ3ZjM4XzAiLCIxIjoiZTU4ZDBlZGUtMjFkMC00YjljLTg3YjMtNDc0NWIzMjlmOTdkXzAiLCJjIjoyfSwiRG9tYSBBbmdlbCI6eyIwIjoiYmYyYjk3OTctY2E0Ny00MThiLThiNTEtZjczYjE2NmQ3OTRlXzAiLCIxIjoiZTEwYmY5YjMtM2Q0YS00NThjLWI0ZTktNTk1YzRjZGRkOWJmXzAiLCJjIjoyfSwiRGl2aW5lciBvZiBGYXRlcyI6eyIwIjoiN2U2NTI0ZDUtZmM0Ny00YTY0LWFjODctNWVjNWE1ZGRhZDRjXzMiLCIxIjoiOWIxY2QzYmEtZjBmYi00M2RmLWE1ZGYtYWEwNTU1ZjE4NGUwXzAiLCIyIjoiN2U2NTI0ZDUtZmM0Ny00YTY0LWFjODctNWVjNWE1ZGRhZDRjXzEiLCJjIjozfSwiVHJhbnF1aWwgSGVyZCBTYWdlaG9ybiI6eyIwIjoiZDI1MjBkMzMtNjM4NC00OGUxLWEwYWMtMmI0MGJjYmE5YzY3XzIiLCIxIjoiYWU3YzgwMmQtNWJiMy00ZTVjLTkzNWYtMDk4OWY4MzU5ODFiXzMiLCIyIjoiZWI3NGUzNjMtY2UyMy00MzMzLWJmMWEtOWU0NWI1NDEwNTI4XzMiLCJjIjozfSwiRmFsbGVuIEFuZ2VsIjp7IjAiOiJkMTk0OTlmYS05OTNlLTQ5MDktOTRlZS0yYjljODc2MWU3OTVfMSIsIjEiOiJiY2UxM2IxOS1hNWI3LTQ4OTUtOTkxYy1hMzQzZTcyOTViZWFfMiIsIjIiOiI2NTg1NmE2Mi0wY2M1LTQ3ODktYWVhYS00NDk5YjcxNGQzZTVfMCIsImMiOjEwfSwiSXZvcnlzY2FyIEVjbGlwc2lvbiI6eyIwIjoiYzI1MjY1NzgtOWViNy00YmZjLWI2Y2QtMGY5ODEzMzM1NDNjXzEiLCIxIjoiNjg2ODc1NTEtYTA2Zi00NTUwLWJjODgtNmM0OWE1OGFjMDI5XzIiLCIyIjoiMTI0NzQxMjgtMDg2My00ZGEyLWFmZjgtOTk3YjczZmU5ODc4XzMiLCJjIjoxMH0sIktvaXMgb2YgRHVhbGl0eSI6eyIwIjoiOTU3YTFmNjEtMWMxYi00YTMzLTgyYWItYzE3YmNjNzhkOGY5XzAiLCIxIjoiMDExYTMxOWYtM2VjMi00M2E0LWFlMDctZTMxZTg4YmJjZmNmXzIiLCIyIjoiYTA1YmRhOWUtNTg2ZS00OWRlLThjMzItMGY2ZTQ3ZmQ4ODMxXzIiLCJjIjo3fSwiVmVybWlsbGlvbiBGaXJlYmlyZCI6eyIwIjoiYTE4NzQ2Y2YtOTc1ZS00ODNhLTljMGMtOTRjMTM0Y2Y2YWYyXzEiLCIxIjoiY2UxM2NkNDctYTIwNS00ZDI4LTk2YjAtYmRmOTA2ZmFlODlmXzAiLCIyIjoiODU1NTg0YjYtZmY4MS00NDljLWJmYzgtNzc2Yjg5ZTJlMWI2XzIiLCJjIjo3fSwiU3BlbGwgQ2F0Ijp7IjAiOiJjMDE0ZmE3OC05YjU2LTRlOTItOTM4MC0wNWYzYzFiYzYzZjJfMyIsIjEiOiJkOGE1NmJlNS0wZmU1LTQzNGItYTc3YS1iNjE0Njg3M2VhMWFfMyIsIjIiOiJjMDE0ZmE3OC05YjU2LTRlOTItOTM4MC0wNWYzYzFiYzYzZjJfMCIsImMiOjZ9LCJUb3JpaSBTcGlyaXQiOnsiMCI6IjBjMmZjYzU4LTFjZDUtNGUyYy05OTUzLTA2YWU5OTUyN2FjY18zIiwiMSI6ImYwYTdlNTkzLWU4YTMtNDlhNC05MzU3LTY5OTI3YjQwZTBhOF8xIiwiMiI6ImNiODNmMDNiLTU0NDEtNGFiNi1hY2Q0LWQ2YzIzY2ZiZjFiMF8xIiwiYyI6MTB9LCJSdW5lY3Vyc2VkIFd5dmVybiI6eyIwIjoiM2Y3MDA3NDUtOTNlOS00OTFlLWIzMDItMGYzYjgxMjljZDNhXzMiLCIxIjoiMzA0YWZjZmQtNzg5NC00MDhmLTkwNzUtYjk2NjViMGRhOWJiXzEiLCIyIjoiZWZjOTZlZDAtZDg3Yi00ZDI5LWJiODYtZjI5Nzk1NzI4YmY4XzIiLCJjIjo2fSwiVGVjdG9uaWMgU2hpZnRlciI6eyIwIjoiZGE0ODc3MmEtYjRkNC00NGY4LThkNTUtNDI4YzRiNzc1MGRmXzEiLCIxIjoiYTViMjMzNzQtYzllMC00Y2MzLWFjOWUtN2NjNjkzYWIwN2I2XzEiLCIyIjoiZThlOTZmNzYtOTRiZC00MWFlLWIxYmQtNGNhOTZhZWJkZDFlXzMiLCJjIjo1fX0=</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</si>
  <si>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</si>
  <si>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</si>
  <si>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</si>
  <si>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</si>
  <si>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</si>
  <si>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</si>
  <si>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</si>
  <si>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</si>
  <si>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</si>
  <si>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</si>
  <si>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</si>
  <si>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</si>
  <si>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</si>
  <si>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</si>
  <si>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</si>
  <si>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</si>
  <si>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</si>
  <si>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</si>
  <si>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</si>
  <si>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</si>
  <si>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ca</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</si>
  <si>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</si>
  <si>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</si>
  <si>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</si>
  <si>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</si>
  <si>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</si>
  <si>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</si>
  <si>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</si>
  <si>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</si>
  <si>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</si>
  <si>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</si>
  <si>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</si>
  <si>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</si>
  <si>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</si>
  <si>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</si>
  <si>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</si>
  <si>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</si>
  <si>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</si>
  <si>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</si>
  <si>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</si>
  <si>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</si>
  <si>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</si>
  <si>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</si>
  <si>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</si>
  <si>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</si>
  <si>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</si>
  <si>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</si>
  <si>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</si>
  <si>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</si>
  <si>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</si>
  <si>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</si>
  <si>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</si>
  <si>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</si>
  <si>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</si>
  <si>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</si>
  <si>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</si>
  <si>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</si>
  <si>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</si>
  <si>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</si>
  <si>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</si>
  <si>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</si>
  <si>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</si>
  <si>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</si>
  <si>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</si>
  <si>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</si>
  <si>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</si>
  <si>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</si>
  <si>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</si>
  <si>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</si>
  <si>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</si>
  <si>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</si>
  <si>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</si>
  <si>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</si>
  <si>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</si>
  <si>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</si>
  <si>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</si>
  <si>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</si>
  <si>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</si>
  <si>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</si>
  <si>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</si>
  <si>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</si>
  <si>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</si>
  <si>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</si>
  <si>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</si>
  <si>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</si>
  <si>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</si>
  <si>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</si>
  <si>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</si>
  <si>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</si>
  <si>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</si>
  <si>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</si>
  <si>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</si>
  <si>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</si>
  <si>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</si>
  <si>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</si>
  <si>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</si>
  <si>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</si>
  <si>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</si>
  <si>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</si>
  <si>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</si>
  <si>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</si>
  <si>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</si>
  <si>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</si>
  <si>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</si>
  <si>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</si>
  <si>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</si>
  <si>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</si>
  <si>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</si>
  <si>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</si>
  <si>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</si>
  <si>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</si>
  <si>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</si>
  <si>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</si>
  <si>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</si>
  <si>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</si>
  <si>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</si>
  <si>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</si>
  <si>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</si>
  <si>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</si>
  <si>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</si>
  <si>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</si>
  <si>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</si>
  <si>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</si>
  <si>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</si>
  <si>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</si>
  <si>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</si>
  <si>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</si>
  <si>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</si>
  <si>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</si>
  <si>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</si>
  <si>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</si>
  <si>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</si>
  <si>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</si>
  <si>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</si>
  <si>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</si>
  <si>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</si>
  <si>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</si>
  <si>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</si>
  <si>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</si>
  <si>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</si>
  <si>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</si>
  <si>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</si>
  <si>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</si>
  <si>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</si>
  <si>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</si>
  <si>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</si>
  <si>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Ticking Tick</t>
  </si>
  <si>
    <t>Start of Turn: You may bury this to return an adjacent Unit to its owner's hand.</t>
  </si>
  <si>
    <t>Whenever a non-Dragon Unit gains Power, gain +1 Power.</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</si>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</sst>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563C1"/>
    </font>
    <font>
      <u/>
      <color rgb="FF0000FF"/>
    </font>
    <font>
      <i/>
      <color theme="1"/>
      <name val="Calibri"/>
      <scheme val="minor"/>
    </font>
    <font>
      <sz val="11.0"/>
      <color rgb="FF000000"/>
      <name val="Calibri"/>
    </font>
    <font>
      <i/>
      <sz val="11.0"/>
      <color rgb="FF000000"/>
      <name val="Calibri"/>
    </font>
    <font>
      <sz val="11.0"/>
      <color rgb="FFEBECEF"/>
      <name val="DM Sans"/>
    </font>
    <font>
      <u/>
      <sz val="11.0"/>
      <color rgb="FF0563C1"/>
      <name val="Calibri"/>
    </font>
    <font>
      <u/>
      <sz val="11.0"/>
      <color theme="4"/>
      <name val="&quot;DM Sans&quot;"/>
    </font>
    <font>
      <i/>
      <sz val="11.0"/>
      <color rgb="FF0F0F0F"/>
      <name val="Calibri"/>
      <scheme val="minor"/>
    </font>
    <font>
      <i/>
      <sz val="11.0"/>
      <color rgb="FF0F0F0F"/>
      <name val="Calibri"/>
    </font>
    <font>
      <color rgb="FF000000"/>
      <name val="Calibri"/>
      <scheme val="minor"/>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sz val="12.0"/>
      <color theme="1"/>
      <name val="&quot;gg sans&quot;"/>
    </font>
    <font>
      <color rgb="FF000000"/>
      <name val="Docs-Calibri"/>
    </font>
  </fonts>
  <fills count="29">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FFE598"/>
        <bgColor rgb="FFFFE598"/>
      </patternFill>
    </fill>
    <fill>
      <patternFill patternType="solid">
        <fgColor rgb="FF0D0E12"/>
        <bgColor rgb="FF0D0E12"/>
      </patternFill>
    </fill>
    <fill>
      <patternFill patternType="solid">
        <fgColor rgb="FFFFE599"/>
        <bgColor rgb="FFFFE599"/>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4" fontId="6" numFmtId="0" xfId="0" applyAlignment="1" applyFill="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5" fontId="8" numFmtId="0" xfId="0" applyAlignment="1" applyFill="1" applyFont="1">
      <alignment readingOrder="0"/>
    </xf>
    <xf borderId="0" fillId="0" fontId="9" numFmtId="0" xfId="0" applyAlignment="1" applyFont="1">
      <alignment readingOrder="0"/>
    </xf>
    <xf borderId="0" fillId="0" fontId="10" numFmtId="0" xfId="0" applyAlignment="1" applyFont="1">
      <alignment readingOrder="0"/>
    </xf>
    <xf borderId="0" fillId="4"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0" fillId="0" fontId="6" numFmtId="0" xfId="0" applyAlignment="1" applyFont="1">
      <alignment horizontal="left" vertical="center"/>
    </xf>
    <xf borderId="0" fillId="3" fontId="4" numFmtId="0" xfId="0" applyAlignment="1" applyFont="1">
      <alignment readingOrder="0"/>
    </xf>
    <xf borderId="1" fillId="0" fontId="6" numFmtId="0" xfId="0" applyAlignment="1" applyBorder="1" applyFont="1">
      <alignment horizontal="left" readingOrder="0" vertical="center"/>
    </xf>
    <xf borderId="0" fillId="5" fontId="14" numFmtId="0" xfId="0" applyAlignment="1" applyFont="1">
      <alignment vertical="bottom"/>
    </xf>
    <xf borderId="0" fillId="7" fontId="15" numFmtId="0" xfId="0" applyAlignment="1" applyFill="1" applyFont="1">
      <alignment vertical="bottom"/>
    </xf>
    <xf borderId="0" fillId="0" fontId="6" numFmtId="0" xfId="0" applyAlignment="1" applyFont="1">
      <alignment vertical="bottom"/>
    </xf>
    <xf borderId="0" fillId="8" fontId="6" numFmtId="0" xfId="0" applyAlignment="1" applyFill="1" applyFont="1">
      <alignment horizontal="center" readingOrder="0" vertical="center"/>
    </xf>
    <xf borderId="0" fillId="0" fontId="6" numFmtId="0" xfId="0" applyAlignment="1" applyFont="1">
      <alignment readingOrder="0" vertical="bottom"/>
    </xf>
    <xf borderId="0" fillId="8" fontId="4" numFmtId="0" xfId="0" applyAlignment="1" applyFont="1">
      <alignment readingOrder="0"/>
    </xf>
    <xf borderId="0" fillId="3" fontId="6" numFmtId="0" xfId="0" applyAlignment="1" applyFont="1">
      <alignment horizontal="left" readingOrder="0" vertical="center"/>
    </xf>
    <xf borderId="0" fillId="5" fontId="16" numFmtId="0" xfId="0" applyAlignment="1" applyFont="1">
      <alignment readingOrder="0"/>
    </xf>
    <xf borderId="0" fillId="9" fontId="4" numFmtId="0" xfId="0" applyAlignment="1" applyFill="1" applyFont="1">
      <alignment readingOrder="0"/>
    </xf>
    <xf borderId="1" fillId="0" fontId="4" numFmtId="0" xfId="0" applyAlignment="1" applyBorder="1" applyFont="1">
      <alignment readingOrder="0"/>
    </xf>
    <xf borderId="1" fillId="10" fontId="4" numFmtId="0" xfId="0" applyAlignment="1" applyBorder="1" applyFill="1" applyFont="1">
      <alignment readingOrder="0"/>
    </xf>
    <xf borderId="0" fillId="10" fontId="6" numFmtId="0" xfId="0" applyAlignment="1" applyFont="1">
      <alignment horizontal="left" readingOrder="0" vertical="center"/>
    </xf>
    <xf borderId="1" fillId="11" fontId="4" numFmtId="0" xfId="0" applyAlignment="1" applyBorder="1" applyFill="1" applyFont="1">
      <alignment readingOrder="0"/>
    </xf>
    <xf borderId="0" fillId="0" fontId="6" numFmtId="0" xfId="0" applyFont="1"/>
    <xf borderId="0" fillId="12" fontId="11" numFmtId="0" xfId="0" applyAlignment="1" applyFill="1" applyFont="1">
      <alignment readingOrder="0"/>
    </xf>
    <xf borderId="0" fillId="11" fontId="4" numFmtId="0" xfId="0" applyAlignment="1" applyFont="1">
      <alignment readingOrder="0"/>
    </xf>
    <xf borderId="0" fillId="0" fontId="7" numFmtId="0" xfId="0" applyAlignment="1" applyFont="1">
      <alignment horizontal="left" readingOrder="0" shrinkToFit="0" vertical="center" wrapText="0"/>
    </xf>
    <xf borderId="0" fillId="0" fontId="12" numFmtId="0" xfId="0" applyAlignment="1" applyFont="1">
      <alignment horizontal="center" readingOrder="0" vertical="center"/>
    </xf>
    <xf borderId="0" fillId="10" fontId="4" numFmtId="0" xfId="0" applyAlignment="1" applyFont="1">
      <alignment readingOrder="0"/>
    </xf>
    <xf borderId="0" fillId="0" fontId="17" numFmtId="0" xfId="0" applyAlignment="1" applyFont="1">
      <alignment horizontal="left" readingOrder="0"/>
    </xf>
    <xf borderId="0" fillId="11" fontId="6" numFmtId="0" xfId="0" applyAlignment="1" applyFont="1">
      <alignment horizontal="left" readingOrder="0" vertical="center"/>
    </xf>
    <xf borderId="0" fillId="0" fontId="7" numFmtId="0" xfId="0" applyAlignment="1" applyFont="1">
      <alignment horizontal="left" readingOrder="0" shrinkToFit="0" vertical="bottom" wrapText="0"/>
    </xf>
    <xf borderId="0" fillId="8" fontId="6" numFmtId="0" xfId="0" applyAlignment="1" applyFont="1">
      <alignment horizontal="left" readingOrder="0" shrinkToFit="0" vertical="center" wrapText="0"/>
    </xf>
    <xf borderId="0" fillId="11"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0" fontId="18" numFmtId="0" xfId="0" applyAlignment="1" applyFont="1">
      <alignment horizontal="left" readingOrder="0"/>
    </xf>
    <xf borderId="2" fillId="10" fontId="6" numFmtId="0" xfId="0" applyAlignment="1" applyBorder="1" applyFont="1">
      <alignment horizontal="left" readingOrder="0" vertical="center"/>
    </xf>
    <xf borderId="0" fillId="0" fontId="11" numFmtId="0" xfId="0" applyFont="1"/>
    <xf borderId="1"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10" fontId="6" numFmtId="0" xfId="0" applyAlignment="1" applyBorder="1" applyFont="1">
      <alignment horizontal="left" readingOrder="0" vertical="center"/>
    </xf>
    <xf borderId="1" fillId="11" fontId="6" numFmtId="0" xfId="0" applyAlignment="1" applyBorder="1" applyFont="1">
      <alignment horizontal="left" readingOrder="0" vertical="center"/>
    </xf>
    <xf borderId="0" fillId="8" fontId="4" numFmtId="0" xfId="0" applyAlignment="1" applyFont="1">
      <alignment horizontal="center" readingOrder="0"/>
    </xf>
    <xf borderId="0" fillId="0" fontId="19" numFmtId="0" xfId="0" applyAlignment="1" applyFont="1">
      <alignment readingOrder="0"/>
    </xf>
    <xf borderId="0" fillId="0" fontId="6" numFmtId="0" xfId="0" applyAlignment="1" applyFont="1">
      <alignment readingOrder="0" vertical="center"/>
    </xf>
    <xf borderId="0" fillId="8" fontId="6" numFmtId="0" xfId="0" applyAlignment="1" applyFont="1">
      <alignment horizontal="left" readingOrder="0" vertical="center"/>
    </xf>
    <xf borderId="0" fillId="0" fontId="6" numFmtId="0" xfId="0" applyAlignment="1" applyFont="1">
      <alignment horizontal="left" readingOrder="0" shrinkToFit="0" vertical="center" wrapText="1"/>
    </xf>
    <xf borderId="0" fillId="0" fontId="6" numFmtId="0" xfId="0" applyAlignment="1" applyFont="1">
      <alignment horizontal="left"/>
    </xf>
    <xf borderId="0" fillId="3" fontId="11" numFmtId="0" xfId="0" applyAlignment="1" applyFont="1">
      <alignment readingOrder="0"/>
    </xf>
    <xf borderId="1" fillId="13" fontId="4" numFmtId="0" xfId="0" applyAlignment="1" applyBorder="1" applyFill="1" applyFont="1">
      <alignment readingOrder="0"/>
    </xf>
    <xf borderId="0" fillId="0" fontId="20" numFmtId="0" xfId="0" applyAlignment="1" applyFont="1">
      <alignment readingOrder="0"/>
    </xf>
    <xf borderId="0" fillId="13" fontId="4" numFmtId="0" xfId="0" applyAlignment="1" applyFont="1">
      <alignment readingOrder="0"/>
    </xf>
    <xf borderId="0" fillId="13" fontId="6" numFmtId="0" xfId="0" applyAlignment="1" applyFont="1">
      <alignment horizontal="left" readingOrder="0" vertical="center"/>
    </xf>
    <xf borderId="0" fillId="14" fontId="6" numFmtId="0" xfId="0" applyAlignment="1" applyFill="1" applyFont="1">
      <alignment horizontal="left" readingOrder="0" vertical="center"/>
    </xf>
    <xf borderId="0" fillId="0" fontId="6" numFmtId="0" xfId="0" applyAlignment="1" applyFont="1">
      <alignment readingOrder="0" shrinkToFit="0" vertical="bottom" wrapText="0"/>
    </xf>
    <xf borderId="0" fillId="8" fontId="4" numFmtId="0" xfId="0" applyAlignment="1" applyFont="1">
      <alignment readingOrder="0" vertical="center"/>
    </xf>
    <xf borderId="0" fillId="3" fontId="7" numFmtId="0" xfId="0" applyAlignment="1" applyFont="1">
      <alignment horizontal="left" readingOrder="0" shrinkToFit="0" vertical="center" wrapText="0"/>
    </xf>
    <xf borderId="0" fillId="0" fontId="12" numFmtId="0" xfId="0" applyAlignment="1" applyFont="1">
      <alignment horizontal="left" readingOrder="0" vertical="center"/>
    </xf>
    <xf borderId="0" fillId="8" fontId="6" numFmtId="0" xfId="0" applyAlignment="1" applyFont="1">
      <alignment horizontal="left" readingOrder="0" shrinkToFit="0" vertical="center" wrapText="1"/>
    </xf>
    <xf borderId="0" fillId="0" fontId="20" numFmtId="0" xfId="0" applyAlignment="1" applyFont="1">
      <alignment horizontal="left" readingOrder="0" shrinkToFit="0" vertical="center" wrapText="0"/>
    </xf>
    <xf borderId="0" fillId="15" fontId="6" numFmtId="0" xfId="0" applyAlignment="1" applyFill="1" applyFont="1">
      <alignment horizontal="left" readingOrder="0" vertical="center"/>
    </xf>
    <xf borderId="0" fillId="15" fontId="4" numFmtId="0" xfId="0" applyAlignment="1" applyFont="1">
      <alignment readingOrder="0"/>
    </xf>
    <xf borderId="0" fillId="16" fontId="6" numFmtId="0" xfId="0" applyAlignment="1" applyFill="1" applyFont="1">
      <alignment horizontal="left" readingOrder="0" vertical="center"/>
    </xf>
    <xf borderId="0" fillId="16" fontId="4" numFmtId="0" xfId="0" applyAlignment="1" applyFont="1">
      <alignment readingOrder="0"/>
    </xf>
    <xf borderId="0" fillId="0" fontId="21" numFmtId="0" xfId="0" applyAlignment="1" applyFont="1">
      <alignment readingOrder="0"/>
    </xf>
    <xf borderId="0" fillId="3" fontId="7" numFmtId="0" xfId="0" applyAlignment="1" applyFont="1">
      <alignment horizontal="left" readingOrder="0" vertical="center"/>
    </xf>
    <xf borderId="0" fillId="8" fontId="6" numFmtId="0" xfId="0" applyAlignment="1" applyFont="1">
      <alignment readingOrder="0"/>
    </xf>
    <xf borderId="0" fillId="0" fontId="12" numFmtId="0" xfId="0" applyFont="1"/>
    <xf borderId="0" fillId="0" fontId="4" numFmtId="0" xfId="0" applyAlignment="1" applyFont="1">
      <alignment horizontal="center"/>
    </xf>
    <xf borderId="3" fillId="0" fontId="5" numFmtId="0" xfId="0" applyAlignment="1" applyBorder="1" applyFont="1">
      <alignment readingOrder="0" vertical="bottom"/>
    </xf>
    <xf borderId="4" fillId="17" fontId="22" numFmtId="0" xfId="0" applyAlignment="1" applyBorder="1" applyFill="1" applyFont="1">
      <alignment readingOrder="0"/>
    </xf>
    <xf borderId="5" fillId="17" fontId="23" numFmtId="0" xfId="0" applyAlignment="1" applyBorder="1" applyFont="1">
      <alignment horizontal="center" readingOrder="0"/>
    </xf>
    <xf borderId="6" fillId="17" fontId="23" numFmtId="0" xfId="0" applyAlignment="1" applyBorder="1" applyFont="1">
      <alignment horizontal="center" readingOrder="0"/>
    </xf>
    <xf borderId="7" fillId="0" fontId="24" numFmtId="0" xfId="0" applyAlignment="1" applyBorder="1" applyFont="1">
      <alignment readingOrder="0"/>
    </xf>
    <xf borderId="8" fillId="0" fontId="24" numFmtId="0" xfId="0" applyBorder="1" applyFont="1"/>
    <xf borderId="9" fillId="0" fontId="24" numFmtId="0" xfId="0" applyAlignment="1" applyBorder="1" applyFont="1">
      <alignment readingOrder="0"/>
    </xf>
    <xf borderId="0" fillId="0" fontId="25" numFmtId="0" xfId="0" applyAlignment="1" applyFont="1">
      <alignment horizontal="left"/>
    </xf>
    <xf borderId="10" fillId="0" fontId="25" numFmtId="0" xfId="0" applyAlignment="1" applyBorder="1" applyFont="1">
      <alignment horizontal="left"/>
    </xf>
    <xf borderId="9" fillId="0" fontId="6" numFmtId="0" xfId="0" applyAlignment="1" applyBorder="1" applyFont="1">
      <alignment readingOrder="0" vertical="bottom"/>
    </xf>
    <xf borderId="8" fillId="0" fontId="26" numFmtId="0" xfId="0" applyAlignment="1" applyBorder="1" applyFont="1">
      <alignment readingOrder="0"/>
    </xf>
    <xf borderId="9" fillId="0" fontId="4" numFmtId="0" xfId="0" applyAlignment="1" applyBorder="1" applyFont="1">
      <alignment readingOrder="0"/>
    </xf>
    <xf borderId="11" fillId="12" fontId="27" numFmtId="0" xfId="0" applyAlignment="1" applyBorder="1" applyFont="1">
      <alignment horizontal="left" readingOrder="0"/>
    </xf>
    <xf borderId="9" fillId="0" fontId="26" numFmtId="0" xfId="0" applyAlignment="1" applyBorder="1" applyFont="1">
      <alignment readingOrder="0"/>
    </xf>
    <xf borderId="0" fillId="0" fontId="28" numFmtId="0" xfId="0" applyFont="1"/>
    <xf borderId="0" fillId="0" fontId="24" numFmtId="0" xfId="0" applyAlignment="1" applyFont="1">
      <alignment readingOrder="0"/>
    </xf>
    <xf borderId="12" fillId="18" fontId="1" numFmtId="0" xfId="0" applyAlignment="1" applyBorder="1" applyFill="1" applyFont="1">
      <alignment readingOrder="0"/>
    </xf>
    <xf borderId="13" fillId="0" fontId="25" numFmtId="0" xfId="0" applyAlignment="1" applyBorder="1" applyFont="1">
      <alignment horizontal="left"/>
    </xf>
    <xf borderId="14" fillId="0" fontId="25" numFmtId="0" xfId="0" applyAlignment="1" applyBorder="1" applyFont="1">
      <alignment horizontal="left"/>
    </xf>
    <xf borderId="0" fillId="0" fontId="29" numFmtId="0" xfId="0" applyAlignment="1" applyFont="1">
      <alignment horizontal="right" readingOrder="0"/>
    </xf>
    <xf borderId="4" fillId="0" fontId="30" numFmtId="0" xfId="0" applyAlignment="1" applyBorder="1" applyFont="1">
      <alignment readingOrder="0"/>
    </xf>
    <xf borderId="4" fillId="0" fontId="25" numFmtId="0" xfId="0" applyAlignment="1" applyBorder="1" applyFont="1">
      <alignment horizontal="left"/>
    </xf>
    <xf borderId="5" fillId="0" fontId="25" numFmtId="0" xfId="0" applyAlignment="1" applyBorder="1" applyFont="1">
      <alignment horizontal="left"/>
    </xf>
    <xf borderId="6" fillId="0" fontId="25" numFmtId="0" xfId="0" applyAlignment="1" applyBorder="1" applyFont="1">
      <alignment horizontal="left"/>
    </xf>
    <xf borderId="0" fillId="0" fontId="11" numFmtId="0" xfId="0" applyAlignment="1" applyFont="1">
      <alignment horizontal="right" readingOrder="0"/>
    </xf>
    <xf borderId="9" fillId="0" fontId="31" numFmtId="0" xfId="0" applyAlignment="1" applyBorder="1" applyFont="1">
      <alignment readingOrder="0"/>
    </xf>
    <xf borderId="9" fillId="0" fontId="25" numFmtId="0" xfId="0" applyAlignment="1" applyBorder="1" applyFont="1">
      <alignment horizontal="left"/>
    </xf>
    <xf borderId="9" fillId="0" fontId="30" numFmtId="0" xfId="0" applyAlignment="1" applyBorder="1" applyFont="1">
      <alignment readingOrder="0"/>
    </xf>
    <xf borderId="15" fillId="0" fontId="24" numFmtId="0" xfId="0" applyAlignment="1" applyBorder="1" applyFont="1">
      <alignment readingOrder="0"/>
    </xf>
    <xf borderId="16" fillId="0" fontId="4" numFmtId="0" xfId="0" applyBorder="1" applyFont="1"/>
    <xf borderId="17" fillId="0" fontId="4" numFmtId="0" xfId="0" applyBorder="1" applyFont="1"/>
    <xf borderId="12" fillId="0" fontId="31" numFmtId="0" xfId="0" applyAlignment="1" applyBorder="1" applyFont="1">
      <alignment readingOrder="0"/>
    </xf>
    <xf borderId="12" fillId="0" fontId="25" numFmtId="0" xfId="0" applyAlignment="1" applyBorder="1" applyFont="1">
      <alignment horizontal="left"/>
    </xf>
    <xf borderId="0" fillId="0" fontId="32" numFmtId="0" xfId="0" applyAlignment="1" applyFont="1">
      <alignment readingOrder="0"/>
    </xf>
    <xf borderId="0" fillId="0" fontId="33" numFmtId="0" xfId="0" applyAlignment="1" applyFont="1">
      <alignment horizontal="center"/>
    </xf>
    <xf borderId="0" fillId="0" fontId="4" numFmtId="0" xfId="0" applyAlignment="1" applyFont="1">
      <alignment horizontal="left"/>
    </xf>
    <xf borderId="0" fillId="0" fontId="11" numFmtId="9" xfId="0" applyAlignment="1" applyFont="1" applyNumberFormat="1">
      <alignment horizontal="center" readingOrder="0"/>
    </xf>
    <xf borderId="0" fillId="0" fontId="11" numFmtId="0" xfId="0" applyAlignment="1" applyFont="1">
      <alignment horizontal="center"/>
    </xf>
    <xf borderId="3" fillId="0" fontId="24" numFmtId="0" xfId="0" applyAlignment="1" applyBorder="1" applyFont="1">
      <alignment readingOrder="0"/>
    </xf>
    <xf borderId="0" fillId="19" fontId="24" numFmtId="0" xfId="0" applyAlignment="1" applyFill="1" applyFont="1">
      <alignment horizontal="center" readingOrder="0"/>
    </xf>
    <xf borderId="0" fillId="20" fontId="24" numFmtId="0" xfId="0" applyAlignment="1" applyFill="1" applyFont="1">
      <alignment horizontal="center" readingOrder="0"/>
    </xf>
    <xf borderId="0" fillId="14" fontId="24" numFmtId="0" xfId="0" applyAlignment="1" applyFont="1">
      <alignment horizontal="center" readingOrder="0"/>
    </xf>
    <xf borderId="0" fillId="21" fontId="24" numFmtId="0" xfId="0" applyAlignment="1" applyFill="1" applyFont="1">
      <alignment horizontal="center" readingOrder="0"/>
    </xf>
    <xf borderId="0" fillId="22" fontId="22" numFmtId="0" xfId="0" applyAlignment="1" applyFill="1" applyFont="1">
      <alignment horizontal="center" readingOrder="0"/>
    </xf>
    <xf borderId="0" fillId="0" fontId="24" numFmtId="0" xfId="0" applyAlignment="1" applyFont="1">
      <alignment horizontal="center" readingOrder="0"/>
    </xf>
    <xf borderId="3" fillId="0" fontId="24" numFmtId="0" xfId="0" applyAlignment="1" applyBorder="1" applyFont="1">
      <alignment horizontal="center" readingOrder="0"/>
    </xf>
    <xf borderId="0" fillId="23" fontId="34" numFmtId="0" xfId="0" applyAlignment="1" applyFill="1" applyFont="1">
      <alignment horizontal="right"/>
    </xf>
    <xf borderId="8" fillId="0" fontId="4" numFmtId="0" xfId="0" applyBorder="1" applyFont="1"/>
    <xf borderId="0" fillId="23" fontId="25"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4" numFmtId="0" xfId="0" applyAlignment="1" applyFont="1">
      <alignment horizontal="right" readingOrder="0"/>
    </xf>
    <xf borderId="0" fillId="24" fontId="4" numFmtId="0" xfId="0" applyAlignment="1" applyFill="1" applyFont="1">
      <alignment horizontal="left" readingOrder="0"/>
    </xf>
    <xf borderId="0" fillId="24" fontId="4" numFmtId="10" xfId="0" applyFont="1" applyNumberFormat="1"/>
    <xf borderId="13" fillId="24" fontId="4" numFmtId="0" xfId="0" applyAlignment="1" applyBorder="1" applyFont="1">
      <alignment horizontal="left" readingOrder="0"/>
    </xf>
    <xf borderId="11" fillId="0" fontId="4" numFmtId="0" xfId="0" applyAlignment="1" applyBorder="1" applyFont="1">
      <alignment horizontal="center"/>
    </xf>
    <xf borderId="13" fillId="24" fontId="4" numFmtId="10" xfId="0" applyBorder="1" applyFont="1" applyNumberFormat="1"/>
    <xf borderId="5" fillId="24" fontId="4" numFmtId="0" xfId="0" applyAlignment="1" applyBorder="1" applyFont="1">
      <alignment horizontal="left" readingOrder="0"/>
    </xf>
    <xf borderId="3" fillId="24" fontId="4" numFmtId="0" xfId="0" applyAlignment="1" applyBorder="1" applyFont="1">
      <alignment horizontal="center"/>
    </xf>
    <xf borderId="5" fillId="24" fontId="4" numFmtId="10" xfId="0" applyBorder="1" applyFont="1" applyNumberFormat="1"/>
    <xf borderId="0" fillId="25" fontId="4" numFmtId="0" xfId="0" applyAlignment="1" applyFill="1" applyFont="1">
      <alignment horizontal="left" readingOrder="0"/>
    </xf>
    <xf borderId="8" fillId="25" fontId="4" numFmtId="0" xfId="0" applyAlignment="1" applyBorder="1" applyFont="1">
      <alignment horizontal="center"/>
    </xf>
    <xf borderId="0" fillId="25" fontId="4" numFmtId="10" xfId="0" applyFont="1" applyNumberFormat="1"/>
    <xf borderId="0" fillId="0" fontId="24" numFmtId="0" xfId="0" applyAlignment="1" applyFont="1">
      <alignment horizontal="right"/>
    </xf>
    <xf borderId="11" fillId="0" fontId="4" numFmtId="0" xfId="0" applyBorder="1" applyFont="1"/>
    <xf borderId="0" fillId="0" fontId="19" numFmtId="0" xfId="0" applyAlignment="1" applyFont="1">
      <alignment horizontal="left" readingOrder="0"/>
    </xf>
    <xf borderId="0" fillId="23" fontId="25" numFmtId="0" xfId="0" applyFont="1"/>
    <xf borderId="0" fillId="0" fontId="19" numFmtId="0" xfId="0" applyFont="1"/>
    <xf borderId="0" fillId="26" fontId="3" numFmtId="0" xfId="0" applyAlignment="1" applyFill="1" applyFont="1">
      <alignment shrinkToFit="0" wrapText="1"/>
    </xf>
    <xf borderId="0" fillId="26" fontId="2" numFmtId="0" xfId="0" applyAlignment="1" applyFont="1">
      <alignment horizontal="center"/>
    </xf>
    <xf borderId="0" fillId="27" fontId="2" numFmtId="0" xfId="0" applyAlignment="1" applyFill="1" applyFont="1">
      <alignment horizontal="center"/>
    </xf>
    <xf borderId="0" fillId="27" fontId="2" numFmtId="0" xfId="0" applyAlignment="1" applyFont="1">
      <alignment readingOrder="0"/>
    </xf>
    <xf borderId="0" fillId="2" fontId="2" numFmtId="0" xfId="0" applyAlignment="1" applyFont="1">
      <alignment horizontal="left"/>
    </xf>
    <xf borderId="0" fillId="2" fontId="4" numFmtId="0" xfId="0" applyFont="1"/>
    <xf borderId="0" fillId="4" fontId="6" numFmtId="0" xfId="0" applyAlignment="1" applyFont="1">
      <alignment readingOrder="0" vertical="bottom"/>
    </xf>
    <xf borderId="0" fillId="0" fontId="35" numFmtId="0" xfId="0" applyAlignment="1" applyFont="1">
      <alignment horizontal="left" readingOrder="0"/>
    </xf>
    <xf borderId="0" fillId="17" fontId="2" numFmtId="0" xfId="0" applyAlignment="1" applyFont="1">
      <alignment horizontal="left" readingOrder="0"/>
    </xf>
    <xf borderId="0" fillId="26" fontId="2" numFmtId="0" xfId="0" applyAlignment="1" applyFont="1">
      <alignment shrinkToFit="0" wrapText="1"/>
    </xf>
    <xf borderId="0" fillId="4" fontId="6" numFmtId="0" xfId="0" applyFont="1"/>
    <xf borderId="0" fillId="0" fontId="6" numFmtId="0" xfId="0" applyFont="1"/>
    <xf borderId="0" fillId="4" fontId="6" numFmtId="0" xfId="0" applyAlignment="1" applyFont="1">
      <alignment vertical="bottom"/>
    </xf>
    <xf borderId="0" fillId="11" fontId="6" numFmtId="0" xfId="0" applyAlignment="1" applyFont="1">
      <alignment vertical="bottom"/>
    </xf>
    <xf borderId="0" fillId="11" fontId="6" numFmtId="0" xfId="0" applyFont="1"/>
    <xf borderId="0" fillId="15" fontId="6" numFmtId="0" xfId="0" applyFont="1"/>
    <xf borderId="0" fillId="0" fontId="6" numFmtId="0" xfId="0" applyAlignment="1" applyFont="1">
      <alignment shrinkToFit="0" wrapText="0"/>
    </xf>
    <xf borderId="0" fillId="15" fontId="6" numFmtId="0" xfId="0" applyAlignment="1" applyFont="1">
      <alignment vertical="bottom"/>
    </xf>
    <xf borderId="0" fillId="16" fontId="6" numFmtId="0" xfId="0" applyFont="1"/>
    <xf borderId="0" fillId="23" fontId="36" numFmtId="0" xfId="0" applyAlignment="1" applyFont="1">
      <alignment horizontal="left" readingOrder="0"/>
    </xf>
    <xf borderId="0" fillId="0" fontId="7" numFmtId="0" xfId="0" applyAlignment="1" applyFont="1">
      <alignment horizontal="left" readingOrder="0" shrinkToFit="0" vertical="center" wrapText="1"/>
    </xf>
    <xf borderId="0" fillId="28"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336791608"/>
        <c:axId val="792852821"/>
      </c:barChart>
      <c:catAx>
        <c:axId val="336791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792852821"/>
      </c:catAx>
      <c:valAx>
        <c:axId val="792852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79160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96dd861b-6cf4-403c-b701-35339b8bf72c?index=0" TargetMode="External"/><Relationship Id="rId190" Type="http://schemas.openxmlformats.org/officeDocument/2006/relationships/hyperlink" Target="https://alpha.midjourney.com/jobs/5b8a0ee5-409e-4609-8aba-0c49858830f9?index=0"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d2520d33-6384-48e1-a0ac-2b40bcba9c67?index=2" TargetMode="External"/><Relationship Id="rId194" Type="http://schemas.openxmlformats.org/officeDocument/2006/relationships/hyperlink" Target="https://alpha.midjourney.com/jobs/4ccb8031-ae89-47b6-a633-e16eac63166b?index=3" TargetMode="External"/><Relationship Id="rId43" Type="http://schemas.openxmlformats.org/officeDocument/2006/relationships/hyperlink" Target="https://alpha.midjourney.com/jobs/ae7c802d-5bb3-4e5c-935f-0989f835981b?index=3" TargetMode="External"/><Relationship Id="rId193" Type="http://schemas.openxmlformats.org/officeDocument/2006/relationships/hyperlink" Target="https://alpha.midjourney.com/jobs/7bb8e808-62d2-41bb-8749-200a9089a3e9?index=2" TargetMode="External"/><Relationship Id="rId46" Type="http://schemas.openxmlformats.org/officeDocument/2006/relationships/hyperlink" Target="https://alpha.midjourney.com/jobs/9062fc96-38af-4b94-bb8b-58724ee3e784?index=3" TargetMode="External"/><Relationship Id="rId192" Type="http://schemas.openxmlformats.org/officeDocument/2006/relationships/hyperlink" Target="https://alpha.midjourney.com/jobs/658a4dd0-bf6d-47e7-86d8-52ee52a8f214?index=2" TargetMode="External"/><Relationship Id="rId45" Type="http://schemas.openxmlformats.org/officeDocument/2006/relationships/hyperlink" Target="https://alpha.midjourney.com/jobs/65856a62-0cc5-4789-aeaa-4499b714d3e5?index=0" TargetMode="External"/><Relationship Id="rId191" Type="http://schemas.openxmlformats.org/officeDocument/2006/relationships/hyperlink" Target="https://alpha.midjourney.com/jobs/436c6169-6856-4831-9b5e-36c538fafa7c?index=3" TargetMode="External"/><Relationship Id="rId48" Type="http://schemas.openxmlformats.org/officeDocument/2006/relationships/hyperlink" Target="https://alpha.midjourney.com/jobs/2593ed6f-b67a-4e7f-a8f9-a36157ed8f86?index=1" TargetMode="External"/><Relationship Id="rId187" Type="http://schemas.openxmlformats.org/officeDocument/2006/relationships/hyperlink" Target="https://alpha.midjourney.com/jobs/7f5227db-8efa-4198-aad8-a7303c4834f9?index=0" TargetMode="External"/><Relationship Id="rId47" Type="http://schemas.openxmlformats.org/officeDocument/2006/relationships/hyperlink" Target="https://alpha.midjourney.com/jobs/f0b193a4-3e5e-45a0-b6e9-a1b7fcfb4f49?index=2" TargetMode="External"/><Relationship Id="rId186" Type="http://schemas.openxmlformats.org/officeDocument/2006/relationships/hyperlink" Target="https://alpha.midjourney.com/jobs/ded5b3c8-a989-40e4-8be3-5ac67cf41736?index=0" TargetMode="External"/><Relationship Id="rId185" Type="http://schemas.openxmlformats.org/officeDocument/2006/relationships/hyperlink" Target="https://alpha.midjourney.com/jobs/2c70cf34-6786-4493-bc7e-731c0f15efba?index=1" TargetMode="External"/><Relationship Id="rId49" Type="http://schemas.openxmlformats.org/officeDocument/2006/relationships/hyperlink" Target="https://alpha.midjourney.com/jobs/bce13b19-a5b7-4895-991c-a343e7295bea?index=2" TargetMode="External"/><Relationship Id="rId184" Type="http://schemas.openxmlformats.org/officeDocument/2006/relationships/hyperlink" Target="https://alpha.midjourney.com/jobs/1113a14a-e98b-4368-b526-2939a08de537?index=2" TargetMode="External"/><Relationship Id="rId189" Type="http://schemas.openxmlformats.org/officeDocument/2006/relationships/hyperlink" Target="https://alpha.midjourney.com/jobs/5b8a0ee5-409e-4609-8aba-0c49858830f9?index=3" TargetMode="External"/><Relationship Id="rId188" Type="http://schemas.openxmlformats.org/officeDocument/2006/relationships/hyperlink" Target="https://alpha.midjourney.com/jobs/affa39b4-9e17-48c4-8895-78b1f433b9f7?index=0" TargetMode="External"/><Relationship Id="rId31" Type="http://schemas.openxmlformats.org/officeDocument/2006/relationships/hyperlink" Target="https://alpha.midjourney.com/jobs/e58d0ede-21d0-4b9c-87b3-4745b329f97d?index=0" TargetMode="External"/><Relationship Id="rId30" Type="http://schemas.openxmlformats.org/officeDocument/2006/relationships/hyperlink" Target="https://alpha.midjourney.com/jobs/1352ae1c-e93b-4eeb-9c2b-8d45efc47f38?index=0" TargetMode="External"/><Relationship Id="rId33" Type="http://schemas.openxmlformats.org/officeDocument/2006/relationships/hyperlink" Target="https://alpha.midjourney.com/jobs/557ea44c-dc30-4519-93c0-96caf2f97815?index=3" TargetMode="External"/><Relationship Id="rId183" Type="http://schemas.openxmlformats.org/officeDocument/2006/relationships/hyperlink" Target="https://alpha.midjourney.com/jobs/f14bf8bf-3033-40a6-9792-dd0d2005d4a4?index=1" TargetMode="External"/><Relationship Id="rId32" Type="http://schemas.openxmlformats.org/officeDocument/2006/relationships/hyperlink" Target="https://alpha.midjourney.com/jobs/ed7547f6-59f6-4674-8e51-448f70e1a062?index=1" TargetMode="External"/><Relationship Id="rId182" Type="http://schemas.openxmlformats.org/officeDocument/2006/relationships/hyperlink" Target="https://alpha.midjourney.com/jobs/f14bf8bf-3033-40a6-9792-dd0d2005d4a4?index=0" TargetMode="External"/><Relationship Id="rId35" Type="http://schemas.openxmlformats.org/officeDocument/2006/relationships/hyperlink" Target="https://alpha.midjourney.com/jobs/f92d2267-2cb6-459f-b8f4-07c280426a32?index=2" TargetMode="External"/><Relationship Id="rId181" Type="http://schemas.openxmlformats.org/officeDocument/2006/relationships/hyperlink" Target="https://alpha.midjourney.com/jobs/f14bf8bf-3033-40a6-9792-dd0d2005d4a4?index=2" TargetMode="External"/><Relationship Id="rId34" Type="http://schemas.openxmlformats.org/officeDocument/2006/relationships/hyperlink" Target="https://alpha.midjourney.com/jobs/0867635b-b993-4e89-adc9-840fac5e98ae?index=2" TargetMode="External"/><Relationship Id="rId180" Type="http://schemas.openxmlformats.org/officeDocument/2006/relationships/hyperlink" Target="https://alpha.midjourney.com/jobs/f309aeec-173a-46f1-b16b-f5f15141815a?index=2" TargetMode="External"/><Relationship Id="rId37" Type="http://schemas.openxmlformats.org/officeDocument/2006/relationships/hyperlink" Target="https://alpha.midjourney.com/jobs/4efd2e1b-a113-49a0-8b09-a71768bc7f0a?index=1" TargetMode="External"/><Relationship Id="rId176" Type="http://schemas.openxmlformats.org/officeDocument/2006/relationships/hyperlink" Target="https://alpha.midjourney.com/jobs/ccfe11ca-d68d-42dd-b1cd-d5aa6d3c9b8b?index=2" TargetMode="External"/><Relationship Id="rId36" Type="http://schemas.openxmlformats.org/officeDocument/2006/relationships/hyperlink" Target="https://alpha.midjourney.com/jobs/496903ec-9e29-4e96-baed-fbc1c72e67a2?index=3" TargetMode="External"/><Relationship Id="rId175" Type="http://schemas.openxmlformats.org/officeDocument/2006/relationships/hyperlink" Target="https://alpha.midjourney.com/jobs/b5789562-2e2e-4ceb-8443-0ae424a3c7dd?index=3" TargetMode="External"/><Relationship Id="rId39" Type="http://schemas.openxmlformats.org/officeDocument/2006/relationships/hyperlink" Target="https://alpha.midjourney.com/jobs/4b963210-17ec-4cc9-9a83-f38a7692af0e?index=3" TargetMode="External"/><Relationship Id="rId174" Type="http://schemas.openxmlformats.org/officeDocument/2006/relationships/hyperlink" Target="https://alpha.midjourney.com/jobs/87f09264-db69-471c-a5b1-db98d924778f?index=3" TargetMode="External"/><Relationship Id="rId38" Type="http://schemas.openxmlformats.org/officeDocument/2006/relationships/hyperlink" Target="https://alpha.midjourney.com/jobs/fe304cba-fe68-4bea-a089-694d2e71a394?index=2" TargetMode="External"/><Relationship Id="rId173" Type="http://schemas.openxmlformats.org/officeDocument/2006/relationships/hyperlink" Target="https://alpha.midjourney.com/jobs/87f09264-db69-471c-a5b1-db98d924778f?index=0" TargetMode="External"/><Relationship Id="rId179" Type="http://schemas.openxmlformats.org/officeDocument/2006/relationships/hyperlink" Target="https://alpha.midjourney.com/jobs/f309aeec-173a-46f1-b16b-f5f15141815a?index=0" TargetMode="External"/><Relationship Id="rId178" Type="http://schemas.openxmlformats.org/officeDocument/2006/relationships/hyperlink" Target="https://alpha.midjourney.com/jobs/fdd4f64e-d836-4c8f-9358-77cc88394b13?index=1" TargetMode="External"/><Relationship Id="rId177" Type="http://schemas.openxmlformats.org/officeDocument/2006/relationships/hyperlink" Target="https://alpha.midjourney.com/jobs/ccfe11ca-d68d-42dd-b1cd-d5aa6d3c9b8b?index=0" TargetMode="External"/><Relationship Id="rId20" Type="http://schemas.openxmlformats.org/officeDocument/2006/relationships/hyperlink" Target="https://alpha.midjourney.com/jobs/fb9ad282-f768-4726-b79b-f40c11d0277b?index=3" TargetMode="External"/><Relationship Id="rId22" Type="http://schemas.openxmlformats.org/officeDocument/2006/relationships/hyperlink" Target="https://alpha.midjourney.com/jobs/10569df3-af61-474e-9997-08b1211eac4b?index=3" TargetMode="External"/><Relationship Id="rId21" Type="http://schemas.openxmlformats.org/officeDocument/2006/relationships/hyperlink" Target="https://alpha.midjourney.com/jobs/2fb88f6b-7b37-40f3-9ddf-e46da64b9024?index=2" TargetMode="External"/><Relationship Id="rId24" Type="http://schemas.openxmlformats.org/officeDocument/2006/relationships/hyperlink" Target="https://alpha.midjourney.com/jobs/0cf0be47-c57f-4feb-84e6-1790219ba54b?index=0" TargetMode="External"/><Relationship Id="rId23" Type="http://schemas.openxmlformats.org/officeDocument/2006/relationships/hyperlink" Target="https://alpha.midjourney.com/jobs/9ccceaff-97a6-4625-9bea-6567b85c04ef?index=0" TargetMode="External"/><Relationship Id="rId26" Type="http://schemas.openxmlformats.org/officeDocument/2006/relationships/hyperlink" Target="https://alpha.midjourney.com/jobs/4e1424fd-a4dd-430d-b5db-da68488eb78a?index=0" TargetMode="External"/><Relationship Id="rId25" Type="http://schemas.openxmlformats.org/officeDocument/2006/relationships/hyperlink" Target="https://alpha.midjourney.com/jobs/16fb7678-58aa-43f4-976c-6411d373341c?index=1" TargetMode="External"/><Relationship Id="rId28" Type="http://schemas.openxmlformats.org/officeDocument/2006/relationships/hyperlink" Target="https://alpha.midjourney.com/jobs/a6b9796b-edf3-4af3-9ed5-c8182508947e?index=1" TargetMode="External"/><Relationship Id="rId27" Type="http://schemas.openxmlformats.org/officeDocument/2006/relationships/hyperlink" Target="https://alpha.midjourney.com/jobs/3321903a-a303-44ee-8b5d-3487bd693fa9?index=3" TargetMode="External"/><Relationship Id="rId29" Type="http://schemas.openxmlformats.org/officeDocument/2006/relationships/hyperlink" Target="https://alpha.midjourney.com/jobs/2892cac4-ecfc-4b4f-a4e9-1eb61a4971a8?index=3" TargetMode="External"/><Relationship Id="rId11" Type="http://schemas.openxmlformats.org/officeDocument/2006/relationships/hyperlink" Target="https://alpha.midjourney.com/jobs/7e6524d5-fc47-4a64-ac87-5ec5a5ddad4c?index=1" TargetMode="External"/><Relationship Id="rId10" Type="http://schemas.openxmlformats.org/officeDocument/2006/relationships/hyperlink" Target="https://alpha.midjourney.com/jobs/9b1cd3ba-f0fb-43df-a5df-aa0555f184e0?index=0"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7e6524d5-fc47-4a64-ac87-5ec5a5ddad4c?index=3" TargetMode="External"/><Relationship Id="rId15" Type="http://schemas.openxmlformats.org/officeDocument/2006/relationships/hyperlink" Target="https://alpha.midjourney.com/jobs/bd138556-f391-44ec-ab68-5aa4b5a9f606?index=1" TargetMode="External"/><Relationship Id="rId198" Type="http://schemas.openxmlformats.org/officeDocument/2006/relationships/hyperlink" Target="https://alpha.midjourney.com/jobs/9d22a6ef-3cfd-4390-83a1-bcb607bfc60e?index=0" TargetMode="External"/><Relationship Id="rId14" Type="http://schemas.openxmlformats.org/officeDocument/2006/relationships/hyperlink" Target="https://alpha.midjourney.com/jobs/bf2b9797-ca47-418b-8b51-f73b166d794e?index=0" TargetMode="External"/><Relationship Id="rId197" Type="http://schemas.openxmlformats.org/officeDocument/2006/relationships/hyperlink" Target="https://alpha.midjourney.com/jobs/bb66d639-f343-4845-af2a-5eb193006647?index=0" TargetMode="External"/><Relationship Id="rId17" Type="http://schemas.openxmlformats.org/officeDocument/2006/relationships/hyperlink" Target="https://alpha.midjourney.com/jobs/13499ec2-9a5a-4595-9ccd-fbcfe0fffeaf?index=0" TargetMode="External"/><Relationship Id="rId196" Type="http://schemas.openxmlformats.org/officeDocument/2006/relationships/hyperlink" Target="https://alpha.midjourney.com/jobs/aa3828cc-da5b-44fd-a991-7dfa8d358eca?index=1" TargetMode="External"/><Relationship Id="rId16" Type="http://schemas.openxmlformats.org/officeDocument/2006/relationships/hyperlink" Target="https://alpha.midjourney.com/jobs/1ae58892-c0c7-4cd2-b4f2-61e436a76acb?index=0" TargetMode="External"/><Relationship Id="rId195" Type="http://schemas.openxmlformats.org/officeDocument/2006/relationships/hyperlink" Target="https://alpha.midjourney.com/jobs/7f81eb9e-f062-46de-9105-f93730a4e7fb?index=0" TargetMode="External"/><Relationship Id="rId19" Type="http://schemas.openxmlformats.org/officeDocument/2006/relationships/hyperlink" Target="https://alpha.midjourney.com/jobs/13533eea-4c56-4787-a8d1-5b5de4d2fe40?index=0" TargetMode="External"/><Relationship Id="rId18" Type="http://schemas.openxmlformats.org/officeDocument/2006/relationships/hyperlink" Target="https://alpha.midjourney.com/jobs/7b73514c-612c-4f7a-b7b0-8d03ff687646?index=1" TargetMode="External"/><Relationship Id="rId199" Type="http://schemas.openxmlformats.org/officeDocument/2006/relationships/hyperlink" Target="https://alpha.midjourney.com/jobs/9d22a6ef-3cfd-4390-83a1-bcb607bfc60e?index=2" TargetMode="External"/><Relationship Id="rId84" Type="http://schemas.openxmlformats.org/officeDocument/2006/relationships/hyperlink" Target="https://alpha.midjourney.com/jobs/2245d2f9-6faa-4d4c-9ddb-94e018ca54af?index=2" TargetMode="External"/><Relationship Id="rId83" Type="http://schemas.openxmlformats.org/officeDocument/2006/relationships/hyperlink" Target="https://alpha.midjourney.com/jobs/2245d2f9-6faa-4d4c-9ddb-94e018ca54af?index=0" TargetMode="External"/><Relationship Id="rId86" Type="http://schemas.openxmlformats.org/officeDocument/2006/relationships/hyperlink" Target="https://alpha.midjourney.com/jobs/8c7e4ea8-e35f-4309-86b6-e6a9f1efaecb?index=2" TargetMode="External"/><Relationship Id="rId85" Type="http://schemas.openxmlformats.org/officeDocument/2006/relationships/hyperlink" Target="https://alpha.midjourney.com/jobs/8c7e4ea8-e35f-4309-86b6-e6a9f1efaecb?index=1" TargetMode="External"/><Relationship Id="rId88" Type="http://schemas.openxmlformats.org/officeDocument/2006/relationships/hyperlink" Target="https://alpha.midjourney.com/jobs/ae00d456-a481-4034-a8c2-fdb97fffe7f6?index=2" TargetMode="External"/><Relationship Id="rId150" Type="http://schemas.openxmlformats.org/officeDocument/2006/relationships/hyperlink" Target="https://alpha.midjourney.com/jobs/e3dc4ec9-31d3-451f-b89d-f3942b80c042?index=2" TargetMode="External"/><Relationship Id="rId87" Type="http://schemas.openxmlformats.org/officeDocument/2006/relationships/hyperlink" Target="https://alpha.midjourney.com/jobs/ae00d456-a481-4034-a8c2-fdb97fffe7f6?index=1" TargetMode="External"/><Relationship Id="rId89" Type="http://schemas.openxmlformats.org/officeDocument/2006/relationships/hyperlink" Target="https://alpha.midjourney.com/jobs/78ae5a97-8656-4c23-992f-61f8947a1950?index=3" TargetMode="External"/><Relationship Id="rId80" Type="http://schemas.openxmlformats.org/officeDocument/2006/relationships/hyperlink" Target="https://alpha.midjourney.com/jobs/5e110d2e-a7e4-436b-bb11-4fb86e1580e9?index=2" TargetMode="External"/><Relationship Id="rId82" Type="http://schemas.openxmlformats.org/officeDocument/2006/relationships/hyperlink" Target="https://alpha.midjourney.com/jobs/f076bedf-28b1-43a4-bdf8-5e57ad378122?index=3" TargetMode="External"/><Relationship Id="rId81" Type="http://schemas.openxmlformats.org/officeDocument/2006/relationships/hyperlink" Target="https://alpha.midjourney.com/jobs/750ed738-29ba-42b6-8f6f-d878ddac70d4?index=1"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22993c97-4c0e-4b20-b61e-0765854b1d0c?index=2" TargetMode="External"/><Relationship Id="rId149" Type="http://schemas.openxmlformats.org/officeDocument/2006/relationships/hyperlink" Target="https://alpha.midjourney.com/jobs/7c0c6fe5-3d11-46e9-9fb2-27a3e4ad98d5?index=0" TargetMode="External"/><Relationship Id="rId4" Type="http://schemas.openxmlformats.org/officeDocument/2006/relationships/hyperlink" Target="https://alpha.midjourney.com/jobs/b1e88fda-7d3b-4302-b0b0-4eee0012e193?index=1" TargetMode="External"/><Relationship Id="rId148" Type="http://schemas.openxmlformats.org/officeDocument/2006/relationships/hyperlink" Target="https://alpha.midjourney.com/jobs/7c0c6fe5-3d11-46e9-9fb2-27a3e4ad98d5?index=3" TargetMode="External"/><Relationship Id="rId9" Type="http://schemas.openxmlformats.org/officeDocument/2006/relationships/hyperlink" Target="https://alpha.midjourney.com/jobs/3644d9f4-a154-4538-96ea-489d6da10cda?index=2" TargetMode="External"/><Relationship Id="rId143" Type="http://schemas.openxmlformats.org/officeDocument/2006/relationships/hyperlink" Target="https://alpha.midjourney.com/jobs/8fbe44e4-705c-4ee4-adbc-6e435546facc?index=3" TargetMode="External"/><Relationship Id="rId264" Type="http://schemas.openxmlformats.org/officeDocument/2006/relationships/hyperlink" Target="https://alpha.midjourney.com/jobs/a18746cf-975e-483a-9c0c-94c134cf6af2?index=3" TargetMode="External"/><Relationship Id="rId142" Type="http://schemas.openxmlformats.org/officeDocument/2006/relationships/hyperlink" Target="https://alpha.midjourney.com/jobs/f82cb067-a26e-43e4-a7b7-872ad83abf92?index=1" TargetMode="External"/><Relationship Id="rId263" Type="http://schemas.openxmlformats.org/officeDocument/2006/relationships/hyperlink" Target="https://alpha.midjourney.com/jobs/ce13cd47-a205-4d28-96b0-bdf906fae89f?index=0" TargetMode="External"/><Relationship Id="rId141" Type="http://schemas.openxmlformats.org/officeDocument/2006/relationships/hyperlink" Target="https://alpha.midjourney.com/jobs/41adfac4-fb2e-4621-a9ff-3a8e7c83e591?index=3" TargetMode="External"/><Relationship Id="rId262" Type="http://schemas.openxmlformats.org/officeDocument/2006/relationships/hyperlink" Target="https://alpha.midjourney.com/jobs/855584b6-ff81-449c-bfc8-776b89e2e1b6?index=0" TargetMode="External"/><Relationship Id="rId140" Type="http://schemas.openxmlformats.org/officeDocument/2006/relationships/hyperlink" Target="https://alpha.midjourney.com/jobs/960b0142-dad3-4a5e-9497-c50337bfa517?index=0" TargetMode="External"/><Relationship Id="rId261" Type="http://schemas.openxmlformats.org/officeDocument/2006/relationships/hyperlink" Target="https://alpha.midjourney.com/jobs/8267de13-464b-4475-8b89-635cac0d70bd?index=0" TargetMode="External"/><Relationship Id="rId5" Type="http://schemas.openxmlformats.org/officeDocument/2006/relationships/hyperlink" Target="https://alpha.midjourney.com/jobs/a408d92c-6e6e-4d30-93ad-e526a5c9555f?index=3" TargetMode="External"/><Relationship Id="rId147" Type="http://schemas.openxmlformats.org/officeDocument/2006/relationships/hyperlink" Target="https://alpha.midjourney.com/jobs/9f273a40-8ff4-4686-8521-a3d630b0eaf9?index=1" TargetMode="External"/><Relationship Id="rId6" Type="http://schemas.openxmlformats.org/officeDocument/2006/relationships/hyperlink" Target="https://alpha.midjourney.com/jobs/8c6c5803-34bd-4238-bf4b-5436f269949d?index=3" TargetMode="External"/><Relationship Id="rId146" Type="http://schemas.openxmlformats.org/officeDocument/2006/relationships/hyperlink" Target="https://alpha.midjourney.com/jobs/a9cd8a18-681f-4ef7-927f-65a2d9169d26?index=0" TargetMode="External"/><Relationship Id="rId7" Type="http://schemas.openxmlformats.org/officeDocument/2006/relationships/hyperlink" Target="https://alpha.midjourney.com/jobs/250e747b-c7e8-4a5b-a483-65446cd307aa?index=2" TargetMode="External"/><Relationship Id="rId145" Type="http://schemas.openxmlformats.org/officeDocument/2006/relationships/hyperlink" Target="https://alpha.midjourney.com/jobs/bce87206-d1bc-4ae5-b2a8-99df10be783b?index=2" TargetMode="External"/><Relationship Id="rId266" Type="http://schemas.openxmlformats.org/officeDocument/2006/relationships/drawing" Target="../drawings/drawing1.xml"/><Relationship Id="rId8" Type="http://schemas.openxmlformats.org/officeDocument/2006/relationships/hyperlink" Target="https://alpha.midjourney.com/jobs/b6b028b1-6920-4dde-9694-73d589c7969e?index=1" TargetMode="External"/><Relationship Id="rId144" Type="http://schemas.openxmlformats.org/officeDocument/2006/relationships/hyperlink" Target="https://alpha.midjourney.com/jobs/bce87206-d1bc-4ae5-b2a8-99df10be783b?index=3" TargetMode="External"/><Relationship Id="rId265" Type="http://schemas.openxmlformats.org/officeDocument/2006/relationships/hyperlink" Target="https://alpha.midjourney.com/jobs/a18746cf-975e-483a-9c0c-94c134cf6af2?index=1" TargetMode="External"/><Relationship Id="rId73" Type="http://schemas.openxmlformats.org/officeDocument/2006/relationships/hyperlink" Target="https://alpha.midjourney.com/jobs/86e09484-75c2-4d9e-b33e-31faa3d4e251?index=2" TargetMode="External"/><Relationship Id="rId72" Type="http://schemas.openxmlformats.org/officeDocument/2006/relationships/hyperlink" Target="https://alpha.midjourney.com/jobs/31869c2e-79e0-44a2-bcb2-ef2489f226ad?index=3" TargetMode="External"/><Relationship Id="rId75" Type="http://schemas.openxmlformats.org/officeDocument/2006/relationships/hyperlink" Target="https://alpha.midjourney.com/jobs/02a937b0-dc30-4b61-a80a-775950a47d1e?index=0" TargetMode="External"/><Relationship Id="rId74" Type="http://schemas.openxmlformats.org/officeDocument/2006/relationships/hyperlink" Target="https://alpha.midjourney.com/jobs/68e2c61d-f9ac-435e-8eb9-44ef82724758?index=1" TargetMode="External"/><Relationship Id="rId77" Type="http://schemas.openxmlformats.org/officeDocument/2006/relationships/hyperlink" Target="https://alpha.midjourney.com/jobs/a02f660a-1dce-436f-acb5-465e63f5bbc5?index=1" TargetMode="External"/><Relationship Id="rId260" Type="http://schemas.openxmlformats.org/officeDocument/2006/relationships/hyperlink" Target="https://alpha.midjourney.com/jobs/855584b6-ff81-449c-bfc8-776b89e2e1b6?index=3" TargetMode="External"/><Relationship Id="rId76" Type="http://schemas.openxmlformats.org/officeDocument/2006/relationships/hyperlink" Target="https://alpha.midjourney.com/jobs/f8926069-73ab-4045-b918-9cb77758a03b?index=3" TargetMode="External"/><Relationship Id="rId79" Type="http://schemas.openxmlformats.org/officeDocument/2006/relationships/hyperlink" Target="https://alpha.midjourney.com/jobs/5e110d2e-a7e4-436b-bb11-4fb86e1580e9?index=3" TargetMode="External"/><Relationship Id="rId78" Type="http://schemas.openxmlformats.org/officeDocument/2006/relationships/hyperlink" Target="https://alpha.midjourney.com/jobs/0e687280-8a8e-4bab-ba7e-71eecfd6f625?index=2"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139" Type="http://schemas.openxmlformats.org/officeDocument/2006/relationships/hyperlink" Target="https://alpha.midjourney.com/jobs/02663ec4-f725-4dc6-b3bf-a41c24089531?index=2" TargetMode="External"/><Relationship Id="rId138" Type="http://schemas.openxmlformats.org/officeDocument/2006/relationships/hyperlink" Target="https://alpha.midjourney.com/jobs/ecf46218-d382-4bbc-897b-729a460f33de?index=0" TargetMode="External"/><Relationship Id="rId259" Type="http://schemas.openxmlformats.org/officeDocument/2006/relationships/hyperlink" Target="https://alpha.midjourney.com/jobs/855584b6-ff81-449c-bfc8-776b89e2e1b6?index=2" TargetMode="External"/><Relationship Id="rId137" Type="http://schemas.openxmlformats.org/officeDocument/2006/relationships/hyperlink" Target="https://alpha.midjourney.com/jobs/c55ff963-8780-49f5-820d-fdb412bd03ab?index=3" TargetMode="External"/><Relationship Id="rId258" Type="http://schemas.openxmlformats.org/officeDocument/2006/relationships/hyperlink" Target="https://alpha.midjourney.com/jobs/11cea0b5-15f6-46ea-9c98-85147c5d0c1d?index=2" TargetMode="External"/><Relationship Id="rId132" Type="http://schemas.openxmlformats.org/officeDocument/2006/relationships/hyperlink" Target="https://alpha.midjourney.com/jobs/7e117333-a3b5-48ce-84fb-ea1d5889f52c?index=3" TargetMode="External"/><Relationship Id="rId253" Type="http://schemas.openxmlformats.org/officeDocument/2006/relationships/hyperlink" Target="https://alpha.midjourney.com/jobs/f0a7e593-e8a3-49a4-9357-69927b40e0a8?index=0" TargetMode="External"/><Relationship Id="rId131" Type="http://schemas.openxmlformats.org/officeDocument/2006/relationships/hyperlink" Target="https://alpha.midjourney.com/jobs/7438c9cc-d782-4fee-9713-d3f301d7df3e?index=1" TargetMode="External"/><Relationship Id="rId252" Type="http://schemas.openxmlformats.org/officeDocument/2006/relationships/hyperlink" Target="https://alpha.midjourney.com/jobs/f0a7e593-e8a3-49a4-9357-69927b40e0a8?index=1" TargetMode="External"/><Relationship Id="rId130" Type="http://schemas.openxmlformats.org/officeDocument/2006/relationships/hyperlink" Target="https://alpha.midjourney.com/jobs/6364f253-c9ef-441f-a5a5-5cd35f3f48b4?index=1" TargetMode="External"/><Relationship Id="rId251" Type="http://schemas.openxmlformats.org/officeDocument/2006/relationships/hyperlink" Target="https://alpha.midjourney.com/jobs/8785718a-3cef-4d6b-adf4-3f611a3b965e?index=2" TargetMode="External"/><Relationship Id="rId250" Type="http://schemas.openxmlformats.org/officeDocument/2006/relationships/hyperlink" Target="https://alpha.midjourney.com/jobs/ef31c8de-f61e-4972-86e9-aa9f1831afd5?index=0" TargetMode="External"/><Relationship Id="rId136" Type="http://schemas.openxmlformats.org/officeDocument/2006/relationships/hyperlink" Target="https://alpha.midjourney.com/jobs/e476fa49-0867-4ba0-b9df-543b391f48db?index=0" TargetMode="External"/><Relationship Id="rId257" Type="http://schemas.openxmlformats.org/officeDocument/2006/relationships/hyperlink" Target="https://alpha.midjourney.com/jobs/cb83f03b-5441-4ab6-acd4-d6c23cfbf1b0?index=1" TargetMode="External"/><Relationship Id="rId135" Type="http://schemas.openxmlformats.org/officeDocument/2006/relationships/hyperlink" Target="https://alpha.midjourney.com/jobs/97d76fab-e567-498a-9cd5-fce2669c45a7?index=1" TargetMode="External"/><Relationship Id="rId256" Type="http://schemas.openxmlformats.org/officeDocument/2006/relationships/hyperlink" Target="https://alpha.midjourney.com/jobs/cb83f03b-5441-4ab6-acd4-d6c23cfbf1b0?index=3" TargetMode="External"/><Relationship Id="rId134" Type="http://schemas.openxmlformats.org/officeDocument/2006/relationships/hyperlink" Target="https://alpha.midjourney.com/jobs/9b9f1932-7b85-4dc2-b89b-c5db313881fe?index=1" TargetMode="External"/><Relationship Id="rId255" Type="http://schemas.openxmlformats.org/officeDocument/2006/relationships/hyperlink" Target="https://alpha.midjourney.com/jobs/0c2fcc58-1cd5-4e2c-9953-06ae99527acc?index=3" TargetMode="External"/><Relationship Id="rId133" Type="http://schemas.openxmlformats.org/officeDocument/2006/relationships/hyperlink" Target="https://alpha.midjourney.com/jobs/97f8b1ac-677e-491b-803f-a08321d0a5b3?index=0" TargetMode="External"/><Relationship Id="rId254" Type="http://schemas.openxmlformats.org/officeDocument/2006/relationships/hyperlink" Target="https://alpha.midjourney.com/jobs/677914ad-f8cb-4855-b453-f47da8640844?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172" Type="http://schemas.openxmlformats.org/officeDocument/2006/relationships/hyperlink" Target="https://alpha.midjourney.com/jobs/53760255-c6fe-4c4c-ac76-95aa017993f9?index=1" TargetMode="External"/><Relationship Id="rId65" Type="http://schemas.openxmlformats.org/officeDocument/2006/relationships/hyperlink" Target="https://alpha.midjourney.com/jobs/e799950f-85b6-4223-b8ea-bc9ef93d3c23?index=1" TargetMode="External"/><Relationship Id="rId171" Type="http://schemas.openxmlformats.org/officeDocument/2006/relationships/hyperlink" Target="https://alpha.midjourney.com/jobs/841174db-5c68-41e8-819a-09fa028c5943?index=0" TargetMode="External"/><Relationship Id="rId68" Type="http://schemas.openxmlformats.org/officeDocument/2006/relationships/hyperlink" Target="https://alpha.midjourney.com/jobs/a05bda9e-586e-49de-8c32-0f6e47fd8831?index=2" TargetMode="External"/><Relationship Id="rId170" Type="http://schemas.openxmlformats.org/officeDocument/2006/relationships/hyperlink" Target="https://alpha.midjourney.com/jobs/841174db-5c68-41e8-819a-09fa028c5943?index=3"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165" Type="http://schemas.openxmlformats.org/officeDocument/2006/relationships/hyperlink" Target="https://alpha.midjourney.com/jobs/12dd80f9-bb06-4d38-91d8-e146559471c0?index=0" TargetMode="External"/><Relationship Id="rId69" Type="http://schemas.openxmlformats.org/officeDocument/2006/relationships/hyperlink" Target="https://alpha.midjourney.com/jobs/011a319f-3ec2-43a4-ae07-e31e88bbcfcf?index=2" TargetMode="External"/><Relationship Id="rId164" Type="http://schemas.openxmlformats.org/officeDocument/2006/relationships/hyperlink" Target="https://alpha.midjourney.com/jobs/6e8217f3-8ac2-45b0-8dc4-ef5352b479ea?index=2" TargetMode="External"/><Relationship Id="rId163" Type="http://schemas.openxmlformats.org/officeDocument/2006/relationships/hyperlink" Target="https://alpha.midjourney.com/jobs/54eedfaf-453e-4a49-bd5b-d4012761a293?index=1" TargetMode="External"/><Relationship Id="rId162" Type="http://schemas.openxmlformats.org/officeDocument/2006/relationships/hyperlink" Target="https://alpha.midjourney.com/jobs/9b90030e-860f-496a-a734-a45969d1b0dd?index=1" TargetMode="External"/><Relationship Id="rId169" Type="http://schemas.openxmlformats.org/officeDocument/2006/relationships/hyperlink" Target="https://alpha.midjourney.com/jobs/8f47bfa6-8da8-478d-aba1-dff1a5520f1c?index=0" TargetMode="External"/><Relationship Id="rId168" Type="http://schemas.openxmlformats.org/officeDocument/2006/relationships/hyperlink" Target="https://alpha.midjourney.com/jobs/61d71d29-7f19-4719-9f9d-b595a90e7eac?index=3" TargetMode="External"/><Relationship Id="rId167" Type="http://schemas.openxmlformats.org/officeDocument/2006/relationships/hyperlink" Target="https://alpha.midjourney.com/jobs/792d59ef-82cf-4773-9eb4-65105c9208ec?index=2" TargetMode="External"/><Relationship Id="rId166" Type="http://schemas.openxmlformats.org/officeDocument/2006/relationships/hyperlink" Target="https://alpha.midjourney.com/jobs/e4901e8f-dc64-4a32-8b4e-4db18f9edb34?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161" Type="http://schemas.openxmlformats.org/officeDocument/2006/relationships/hyperlink" Target="https://alpha.midjourney.com/jobs/50351124-cb8d-40c5-ba32-ab7ed7975d03?index=3" TargetMode="External"/><Relationship Id="rId54" Type="http://schemas.openxmlformats.org/officeDocument/2006/relationships/hyperlink" Target="https://alpha.midjourney.com/jobs/02764ac5-6b69-4645-b186-6ada5c5faed8?index=3" TargetMode="External"/><Relationship Id="rId160" Type="http://schemas.openxmlformats.org/officeDocument/2006/relationships/hyperlink" Target="https://alpha.midjourney.com/jobs/914ae491-f842-47a7-972e-d9a4a84c90f6?index=0"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159" Type="http://schemas.openxmlformats.org/officeDocument/2006/relationships/hyperlink" Target="https://alpha.midjourney.com/jobs/5eca18e5-b521-4e2a-9848-bc98673ae4d2?index=0" TargetMode="External"/><Relationship Id="rId59" Type="http://schemas.openxmlformats.org/officeDocument/2006/relationships/hyperlink" Target="https://alpha.midjourney.com/jobs/903c649b-d0e0-4b79-8d43-b2091e120243?index=0" TargetMode="External"/><Relationship Id="rId154" Type="http://schemas.openxmlformats.org/officeDocument/2006/relationships/hyperlink" Target="https://alpha.midjourney.com/jobs/1368b59f-6a3a-4f37-b704-dc0023c5a39b?index=3" TargetMode="External"/><Relationship Id="rId58" Type="http://schemas.openxmlformats.org/officeDocument/2006/relationships/hyperlink" Target="https://alpha.midjourney.com/jobs/903c649b-d0e0-4b79-8d43-b2091e120243?index=3" TargetMode="External"/><Relationship Id="rId153" Type="http://schemas.openxmlformats.org/officeDocument/2006/relationships/hyperlink" Target="https://alpha.midjourney.com/jobs/1368b59f-6a3a-4f37-b704-dc0023c5a39b?index=0" TargetMode="External"/><Relationship Id="rId152" Type="http://schemas.openxmlformats.org/officeDocument/2006/relationships/hyperlink" Target="https://alpha.midjourney.com/jobs/a4c0044f-a986-4aa9-87bf-000b67966a4b?index=0" TargetMode="External"/><Relationship Id="rId151" Type="http://schemas.openxmlformats.org/officeDocument/2006/relationships/hyperlink" Target="https://alpha.midjourney.com/jobs/7a2e29fb-bd98-4d30-88b2-8bfee70c4a47?index=0" TargetMode="External"/><Relationship Id="rId158" Type="http://schemas.openxmlformats.org/officeDocument/2006/relationships/hyperlink" Target="https://alpha.midjourney.com/jobs/01e8e033-593c-490d-a32f-a166ab8baa48?index=2" TargetMode="External"/><Relationship Id="rId157" Type="http://schemas.openxmlformats.org/officeDocument/2006/relationships/hyperlink" Target="https://alpha.midjourney.com/jobs/ba533218-851c-4bf4-a8d6-1d40dd59d983?index=0" TargetMode="External"/><Relationship Id="rId156" Type="http://schemas.openxmlformats.org/officeDocument/2006/relationships/hyperlink" Target="https://alpha.midjourney.com/jobs/e1671c8d-c48c-402d-addf-9a0fccad1761?index=0" TargetMode="External"/><Relationship Id="rId155" Type="http://schemas.openxmlformats.org/officeDocument/2006/relationships/hyperlink" Target="https://alpha.midjourney.com/jobs/3e4015d3-c57e-4d12-9ddb-df5fcfb9d19d?index=0" TargetMode="External"/><Relationship Id="rId107" Type="http://schemas.openxmlformats.org/officeDocument/2006/relationships/hyperlink" Target="https://alpha.midjourney.com/jobs/e7a204c6-76d5-4cd7-9a02-e06393503315?index=2" TargetMode="External"/><Relationship Id="rId228" Type="http://schemas.openxmlformats.org/officeDocument/2006/relationships/hyperlink" Target="https://alpha.midjourney.com/jobs/f04b4fbf-83ad-4f50-9c3a-68843e69ef11?index=2" TargetMode="External"/><Relationship Id="rId106" Type="http://schemas.openxmlformats.org/officeDocument/2006/relationships/hyperlink" Target="https://alpha.midjourney.com/jobs/a0c2bdad-9975-4339-8646-d109edd1ea08?index=0" TargetMode="External"/><Relationship Id="rId227" Type="http://schemas.openxmlformats.org/officeDocument/2006/relationships/hyperlink" Target="https://alpha.midjourney.com/jobs/b1f8f3d5-445f-4c75-8c69-dc3c00dd6a2a?index=1" TargetMode="External"/><Relationship Id="rId105" Type="http://schemas.openxmlformats.org/officeDocument/2006/relationships/hyperlink" Target="https://alpha.midjourney.com/jobs/05e7dc87-7c7f-400d-b1d6-3bce616d0bfb?index=0" TargetMode="External"/><Relationship Id="rId226" Type="http://schemas.openxmlformats.org/officeDocument/2006/relationships/hyperlink" Target="https://alpha.midjourney.com/jobs/b1f8f3d5-445f-4c75-8c69-dc3c00dd6a2a?index=3" TargetMode="External"/><Relationship Id="rId104" Type="http://schemas.openxmlformats.org/officeDocument/2006/relationships/hyperlink" Target="https://alpha.midjourney.com/jobs/a530c54d-e253-4627-adf2-00999c92b877?index=1" TargetMode="External"/><Relationship Id="rId225" Type="http://schemas.openxmlformats.org/officeDocument/2006/relationships/hyperlink" Target="https://alpha.midjourney.com/jobs/b6935539-efed-401f-850a-d485cb53a209?index=2" TargetMode="External"/><Relationship Id="rId109" Type="http://schemas.openxmlformats.org/officeDocument/2006/relationships/hyperlink" Target="https://alpha.midjourney.com/jobs/e7a204c6-76d5-4cd7-9a02-e06393503315?index=0" TargetMode="External"/><Relationship Id="rId108" Type="http://schemas.openxmlformats.org/officeDocument/2006/relationships/hyperlink" Target="https://alpha.midjourney.com/jobs/36d433e2-f591-4ea5-b62a-5cb266b18ca8?index=3" TargetMode="External"/><Relationship Id="rId229" Type="http://schemas.openxmlformats.org/officeDocument/2006/relationships/hyperlink" Target="https://alpha.midjourney.com/jobs/23732ab2-74d0-4739-baaf-5e6c23e8873a?index=0" TargetMode="External"/><Relationship Id="rId220" Type="http://schemas.openxmlformats.org/officeDocument/2006/relationships/hyperlink" Target="https://alpha.midjourney.com/jobs/d1d4e43a-6294-4cca-b9e9-a8a9b7c14773?index=2" TargetMode="External"/><Relationship Id="rId103" Type="http://schemas.openxmlformats.org/officeDocument/2006/relationships/hyperlink" Target="https://alpha.midjourney.com/jobs/e6e0a2be-8317-493d-9a2a-cb227f34a270?index=0" TargetMode="External"/><Relationship Id="rId224" Type="http://schemas.openxmlformats.org/officeDocument/2006/relationships/hyperlink" Target="https://alpha.midjourney.com/jobs/efc96ed0-d87b-4d29-bb86-f29795728bf8?index=2" TargetMode="External"/><Relationship Id="rId102" Type="http://schemas.openxmlformats.org/officeDocument/2006/relationships/hyperlink" Target="https://alpha.midjourney.com/jobs/5af4932e-1176-4e5d-a15a-6e1142f73928?index=2" TargetMode="External"/><Relationship Id="rId223" Type="http://schemas.openxmlformats.org/officeDocument/2006/relationships/hyperlink" Target="https://alpha.midjourney.com/jobs/3f700745-93e9-491e-b302-0f3b8129cd3a?index=3" TargetMode="External"/><Relationship Id="rId101" Type="http://schemas.openxmlformats.org/officeDocument/2006/relationships/hyperlink" Target="https://alpha.midjourney.com/jobs/bdfca501-4b58-4f97-83e7-bcf89c7e7f5e?index=0" TargetMode="External"/><Relationship Id="rId222" Type="http://schemas.openxmlformats.org/officeDocument/2006/relationships/hyperlink" Target="https://alpha.midjourney.com/jobs/304afcfd-7894-408f-9075-b9665b0da9bb?index=1" TargetMode="External"/><Relationship Id="rId100" Type="http://schemas.openxmlformats.org/officeDocument/2006/relationships/hyperlink" Target="https://alpha.midjourney.com/jobs/da9010de-44c1-42bf-8bbc-f7eb026c1882?index=2" TargetMode="External"/><Relationship Id="rId221" Type="http://schemas.openxmlformats.org/officeDocument/2006/relationships/hyperlink" Target="https://alpha.midjourney.com/jobs/1b37b6ab-c626-42c3-a564-3b3f1a292370?index=3" TargetMode="External"/><Relationship Id="rId217" Type="http://schemas.openxmlformats.org/officeDocument/2006/relationships/hyperlink" Target="https://alpha.midjourney.com/jobs/3ece9766-fbca-4a9f-b43c-ceacdfd34356?index=0" TargetMode="External"/><Relationship Id="rId216" Type="http://schemas.openxmlformats.org/officeDocument/2006/relationships/hyperlink" Target="https://alpha.midjourney.com/jobs/7b986382-842d-4894-bfa5-8f3a13c28048?index=1" TargetMode="External"/><Relationship Id="rId215" Type="http://schemas.openxmlformats.org/officeDocument/2006/relationships/hyperlink" Target="https://alpha.midjourney.com/jobs/7b986382-842d-4894-bfa5-8f3a13c28048?index=2" TargetMode="External"/><Relationship Id="rId214" Type="http://schemas.openxmlformats.org/officeDocument/2006/relationships/hyperlink" Target="https://alpha.midjourney.com/jobs/ded1343a-822d-4000-b96d-307220437a47?index=3" TargetMode="External"/><Relationship Id="rId219" Type="http://schemas.openxmlformats.org/officeDocument/2006/relationships/hyperlink" Target="https://alpha.midjourney.com/jobs/e7c5e4fe-638b-4178-857e-6623f117ac1e?index=3" TargetMode="External"/><Relationship Id="rId218" Type="http://schemas.openxmlformats.org/officeDocument/2006/relationships/hyperlink" Target="https://alpha.midjourney.com/jobs/23146584-f12d-4df7-9044-bc3fddd5aed1?index=2" TargetMode="External"/><Relationship Id="rId213" Type="http://schemas.openxmlformats.org/officeDocument/2006/relationships/hyperlink" Target="https://alpha.midjourney.com/jobs/d85c9fc4-fcbf-4427-9461-c7d69924fd22?index=3" TargetMode="External"/><Relationship Id="rId212" Type="http://schemas.openxmlformats.org/officeDocument/2006/relationships/hyperlink" Target="https://alpha.midjourney.com/jobs/33f7cc2c-e93d-4e2c-9b65-000f7fec5b4d?index=3" TargetMode="External"/><Relationship Id="rId211" Type="http://schemas.openxmlformats.org/officeDocument/2006/relationships/hyperlink" Target="https://alpha.midjourney.com/jobs/8c585bc8-5180-439e-8adb-c3a47c0150fe?index=2" TargetMode="External"/><Relationship Id="rId210" Type="http://schemas.openxmlformats.org/officeDocument/2006/relationships/hyperlink" Target="https://alpha.midjourney.com/jobs/a3874385-0194-4c0f-ba14-08b4d7628a67?index=1" TargetMode="External"/><Relationship Id="rId129" Type="http://schemas.openxmlformats.org/officeDocument/2006/relationships/hyperlink" Target="https://alpha.midjourney.com/jobs/6364f253-c9ef-441f-a5a5-5cd35f3f48b4?index=2" TargetMode="External"/><Relationship Id="rId128" Type="http://schemas.openxmlformats.org/officeDocument/2006/relationships/hyperlink" Target="https://alpha.midjourney.com/jobs/f9350fe6-d4bf-4a09-be2d-6d486b1be787?index=3" TargetMode="External"/><Relationship Id="rId249" Type="http://schemas.openxmlformats.org/officeDocument/2006/relationships/hyperlink" Target="https://alpha.midjourney.com/jobs/855d9ad2-60fa-4317-90d5-dde695aa3863?index=2" TargetMode="External"/><Relationship Id="rId127" Type="http://schemas.openxmlformats.org/officeDocument/2006/relationships/hyperlink" Target="https://alpha.midjourney.com/jobs/1af2a498-3786-4ad5-aef0-a5378f2dfbf2?index=3" TargetMode="External"/><Relationship Id="rId248" Type="http://schemas.openxmlformats.org/officeDocument/2006/relationships/hyperlink" Target="https://alpha.midjourney.com/jobs/da48772a-b4d4-44f8-8d55-428c4b7750df?index=1" TargetMode="External"/><Relationship Id="rId126" Type="http://schemas.openxmlformats.org/officeDocument/2006/relationships/hyperlink" Target="https://alpha.midjourney.com/jobs/65e663c8-cf04-4c54-9eb8-9755a000000b?index=2" TargetMode="External"/><Relationship Id="rId247" Type="http://schemas.openxmlformats.org/officeDocument/2006/relationships/hyperlink" Target="https://alpha.midjourney.com/jobs/a5b23374-c9e0-4cc3-ac9e-7cc693ab07b6?index=1" TargetMode="External"/><Relationship Id="rId121" Type="http://schemas.openxmlformats.org/officeDocument/2006/relationships/hyperlink" Target="https://alpha.midjourney.com/jobs/fe6e9b6c-1cca-4a3d-b1ff-7bb7fd6ebc36?index=0" TargetMode="External"/><Relationship Id="rId242" Type="http://schemas.openxmlformats.org/officeDocument/2006/relationships/hyperlink" Target="https://alpha.midjourney.com/jobs/d8a56be5-0fe5-434b-a77a-b6146873ea1a?index=3" TargetMode="External"/><Relationship Id="rId120" Type="http://schemas.openxmlformats.org/officeDocument/2006/relationships/hyperlink" Target="https://alpha.midjourney.com/jobs/7f7e7244-f70d-4340-bc00-db8ba5869d51?index=0" TargetMode="External"/><Relationship Id="rId241" Type="http://schemas.openxmlformats.org/officeDocument/2006/relationships/hyperlink" Target="https://alpha.midjourney.com/jobs/ea69db27-0094-46a2-957d-df9c6587cd8f?index=1" TargetMode="External"/><Relationship Id="rId240" Type="http://schemas.openxmlformats.org/officeDocument/2006/relationships/hyperlink" Target="https://alpha.midjourney.com/jobs/c014fa78-9b56-4e92-9380-05f3c1bc63f2?index=0" TargetMode="External"/><Relationship Id="rId125" Type="http://schemas.openxmlformats.org/officeDocument/2006/relationships/hyperlink" Target="https://alpha.midjourney.com/jobs/1ddd3864-3f10-431d-9dbe-3e4a143074c6?index=2" TargetMode="External"/><Relationship Id="rId246" Type="http://schemas.openxmlformats.org/officeDocument/2006/relationships/hyperlink" Target="https://alpha.midjourney.com/jobs/ee08debf-6dfa-4c1a-b68d-af2815e27ecd?index=0" TargetMode="External"/><Relationship Id="rId124" Type="http://schemas.openxmlformats.org/officeDocument/2006/relationships/hyperlink" Target="https://alpha.midjourney.com/jobs/f597e2fa-e022-4cff-be04-37c4d1d52ecb?index=3" TargetMode="External"/><Relationship Id="rId245" Type="http://schemas.openxmlformats.org/officeDocument/2006/relationships/hyperlink" Target="https://alpha.midjourney.com/jobs/e8e96f76-94bd-41ae-b1bd-4ca96aebdd1e?index=3" TargetMode="External"/><Relationship Id="rId123" Type="http://schemas.openxmlformats.org/officeDocument/2006/relationships/hyperlink" Target="https://alpha.midjourney.com/jobs/f6b88e68-28ee-4a1b-9280-939e7e23c7ec?index=1" TargetMode="External"/><Relationship Id="rId244" Type="http://schemas.openxmlformats.org/officeDocument/2006/relationships/hyperlink" Target="https://alpha.midjourney.com/jobs/04e07353-17ab-4846-84bc-818bc402f09d?index=1" TargetMode="External"/><Relationship Id="rId122" Type="http://schemas.openxmlformats.org/officeDocument/2006/relationships/hyperlink" Target="https://alpha.midjourney.com/jobs/d013a66e-19b4-4dec-ad91-83482b06319e?index=1" TargetMode="External"/><Relationship Id="rId243" Type="http://schemas.openxmlformats.org/officeDocument/2006/relationships/hyperlink" Target="https://alpha.midjourney.com/jobs/d8a56be5-0fe5-434b-a77a-b6146873ea1a?index=0" TargetMode="External"/><Relationship Id="rId95" Type="http://schemas.openxmlformats.org/officeDocument/2006/relationships/hyperlink" Target="https://alpha.midjourney.com/jobs/2780038d-6258-4c7a-a5e0-700cdfe423f9?index=0" TargetMode="External"/><Relationship Id="rId94" Type="http://schemas.openxmlformats.org/officeDocument/2006/relationships/hyperlink" Target="https://alpha.midjourney.com/jobs/ab137782-70f1-4ba3-840a-49cf4fda7bbe?index=3" TargetMode="External"/><Relationship Id="rId97" Type="http://schemas.openxmlformats.org/officeDocument/2006/relationships/hyperlink" Target="https://alpha.midjourney.com/jobs/bb160c1d-6202-4543-88a9-152dadcce248?index=2" TargetMode="External"/><Relationship Id="rId96" Type="http://schemas.openxmlformats.org/officeDocument/2006/relationships/hyperlink" Target="https://alpha.midjourney.com/jobs/20fb2d42-8fe0-4690-82e2-b7936769540e?index=1" TargetMode="External"/><Relationship Id="rId99" Type="http://schemas.openxmlformats.org/officeDocument/2006/relationships/hyperlink" Target="https://alpha.midjourney.com/jobs/42ab612c-d4a4-4640-b0eb-a0098355068a?index=1" TargetMode="External"/><Relationship Id="rId98" Type="http://schemas.openxmlformats.org/officeDocument/2006/relationships/hyperlink" Target="https://alpha.midjourney.com/jobs/42ab612c-d4a4-4640-b0eb-a0098355068a?index=2" TargetMode="External"/><Relationship Id="rId91" Type="http://schemas.openxmlformats.org/officeDocument/2006/relationships/hyperlink" Target="https://alpha.midjourney.com/jobs/237ccf0b-0f9d-4e23-b6d4-df327207e61c?index=1" TargetMode="External"/><Relationship Id="rId90" Type="http://schemas.openxmlformats.org/officeDocument/2006/relationships/hyperlink" Target="https://alpha.midjourney.com/jobs/78ae5a97-8656-4c23-992f-61f8947a1950?index=2" TargetMode="External"/><Relationship Id="rId93" Type="http://schemas.openxmlformats.org/officeDocument/2006/relationships/hyperlink" Target="https://alpha.midjourney.com/jobs/172ae98b-46c0-4825-b85b-219a47dfecc0?index=2" TargetMode="External"/><Relationship Id="rId92" Type="http://schemas.openxmlformats.org/officeDocument/2006/relationships/hyperlink" Target="https://alpha.midjourney.com/jobs/4cc82fb7-ff66-4625-86b9-bd6b6019e512?index=2" TargetMode="External"/><Relationship Id="rId118" Type="http://schemas.openxmlformats.org/officeDocument/2006/relationships/hyperlink" Target="https://alpha.midjourney.com/jobs/081fdde2-8231-41d5-aa5c-be3ff2f37b5d?index=2" TargetMode="External"/><Relationship Id="rId239" Type="http://schemas.openxmlformats.org/officeDocument/2006/relationships/hyperlink" Target="https://alpha.midjourney.com/jobs/c014fa78-9b56-4e92-9380-05f3c1bc63f2?index=3" TargetMode="External"/><Relationship Id="rId117" Type="http://schemas.openxmlformats.org/officeDocument/2006/relationships/hyperlink" Target="https://alpha.midjourney.com/jobs/78be4041-6983-4fec-ac2f-158748bc0f07?index=1" TargetMode="External"/><Relationship Id="rId238" Type="http://schemas.openxmlformats.org/officeDocument/2006/relationships/hyperlink" Target="https://alpha.midjourney.com/jobs/23c28003-cb9d-4252-b47e-eb31b79c4746?index=3" TargetMode="External"/><Relationship Id="rId116" Type="http://schemas.openxmlformats.org/officeDocument/2006/relationships/hyperlink" Target="https://alpha.midjourney.com/jobs/7dd032d6-0ed5-4d3f-926c-322526d5acea?index=3" TargetMode="External"/><Relationship Id="rId237" Type="http://schemas.openxmlformats.org/officeDocument/2006/relationships/hyperlink" Target="https://alpha.midjourney.com/jobs/c0768680-bd4c-4545-846f-002afd6a854b?index=0" TargetMode="External"/><Relationship Id="rId115" Type="http://schemas.openxmlformats.org/officeDocument/2006/relationships/hyperlink" Target="https://alpha.midjourney.com/jobs/6a07ff77-26e4-4409-95e3-13b470abd6f9?index=1" TargetMode="External"/><Relationship Id="rId236" Type="http://schemas.openxmlformats.org/officeDocument/2006/relationships/hyperlink" Target="https://alpha.midjourney.com/jobs/3ffc8199-7676-44a0-b357-0e6a826b2531?index=1" TargetMode="External"/><Relationship Id="rId119" Type="http://schemas.openxmlformats.org/officeDocument/2006/relationships/hyperlink" Target="https://alpha.midjourney.com/jobs/e641b986-4bf2-46ee-bff1-f15abfe257b6?index=0" TargetMode="External"/><Relationship Id="rId110" Type="http://schemas.openxmlformats.org/officeDocument/2006/relationships/hyperlink" Target="https://alpha.midjourney.com/jobs/05e7dc87-7c7f-400d-b1d6-3bce616d0bfb?index=2" TargetMode="External"/><Relationship Id="rId231" Type="http://schemas.openxmlformats.org/officeDocument/2006/relationships/hyperlink" Target="https://alpha.midjourney.com/jobs/258f8be4-8fc8-47e9-9423-4d7e9f7e209b?index=0" TargetMode="External"/><Relationship Id="rId230" Type="http://schemas.openxmlformats.org/officeDocument/2006/relationships/hyperlink" Target="https://alpha.midjourney.com/jobs/cb44e85d-870b-4bc6-8948-450c772daf5c?index=0" TargetMode="External"/><Relationship Id="rId114" Type="http://schemas.openxmlformats.org/officeDocument/2006/relationships/hyperlink" Target="https://alpha.midjourney.com/jobs/021e9046-af64-4322-8e14-9b735bb77e33?index=3" TargetMode="External"/><Relationship Id="rId235" Type="http://schemas.openxmlformats.org/officeDocument/2006/relationships/hyperlink" Target="https://alpha.midjourney.com/jobs/f4364281-c341-4325-823b-cc159f62e3fa?index=1" TargetMode="External"/><Relationship Id="rId113" Type="http://schemas.openxmlformats.org/officeDocument/2006/relationships/hyperlink" Target="https://alpha.midjourney.com/jobs/f605d05d-eca6-4ad3-8b9d-de3c34ab78f5?index=1" TargetMode="External"/><Relationship Id="rId234" Type="http://schemas.openxmlformats.org/officeDocument/2006/relationships/hyperlink" Target="https://alpha.midjourney.com/jobs/f4364281-c341-4325-823b-cc159f62e3fa?index=3" TargetMode="External"/><Relationship Id="rId112" Type="http://schemas.openxmlformats.org/officeDocument/2006/relationships/hyperlink" Target="https://alpha.midjourney.com/jobs/b7bb5d22-b78d-4859-ab62-b8e907414ebf?index=1" TargetMode="External"/><Relationship Id="rId233" Type="http://schemas.openxmlformats.org/officeDocument/2006/relationships/hyperlink" Target="https://alpha.midjourney.com/jobs/736a8fe4-c031-4266-a180-8d5fa8d7a20c?index=3" TargetMode="External"/><Relationship Id="rId111" Type="http://schemas.openxmlformats.org/officeDocument/2006/relationships/hyperlink" Target="https://alpha.midjourney.com/jobs/b96d47c1-e03b-4dad-bc97-123945866ebe?index=3" TargetMode="External"/><Relationship Id="rId232" Type="http://schemas.openxmlformats.org/officeDocument/2006/relationships/hyperlink" Target="https://alpha.midjourney.com/jobs/97987280-b216-408a-9bcb-dd348cfcb803?index=1" TargetMode="External"/><Relationship Id="rId206" Type="http://schemas.openxmlformats.org/officeDocument/2006/relationships/hyperlink" Target="https://alpha.midjourney.com/jobs/e27864a6-cc07-4984-b181-922b584c0d96?index=3" TargetMode="External"/><Relationship Id="rId205" Type="http://schemas.openxmlformats.org/officeDocument/2006/relationships/hyperlink" Target="https://alpha.midjourney.com/jobs/c0bbf41e-da40-447a-8817-ba761c755907?index=1" TargetMode="External"/><Relationship Id="rId204" Type="http://schemas.openxmlformats.org/officeDocument/2006/relationships/hyperlink" Target="https://alpha.midjourney.com/jobs/47e93cbb-0e71-491a-a49b-5685172b96b1?index=2" TargetMode="External"/><Relationship Id="rId203" Type="http://schemas.openxmlformats.org/officeDocument/2006/relationships/hyperlink" Target="https://alpha.midjourney.com/jobs/8ccfe4e3-0dd5-4f9c-be98-1629ec29694f?index=2" TargetMode="External"/><Relationship Id="rId209" Type="http://schemas.openxmlformats.org/officeDocument/2006/relationships/hyperlink" Target="https://alpha.midjourney.com/jobs/eaad0536-abea-4999-883c-e3e793929cf4?index=3" TargetMode="External"/><Relationship Id="rId208" Type="http://schemas.openxmlformats.org/officeDocument/2006/relationships/hyperlink" Target="https://alpha.midjourney.com/jobs/e30e77bd-955e-4e8e-afe4-eae7161982c4?index=3" TargetMode="External"/><Relationship Id="rId207" Type="http://schemas.openxmlformats.org/officeDocument/2006/relationships/hyperlink" Target="https://alpha.midjourney.com/jobs/0a1168a7-16a3-4022-b822-fd13a508a624?index=0" TargetMode="External"/><Relationship Id="rId202" Type="http://schemas.openxmlformats.org/officeDocument/2006/relationships/hyperlink" Target="https://alpha.midjourney.com/jobs/8ccfe4e3-0dd5-4f9c-be98-1629ec29694f?index=0" TargetMode="External"/><Relationship Id="rId201" Type="http://schemas.openxmlformats.org/officeDocument/2006/relationships/hyperlink" Target="https://alpha.midjourney.com/jobs/edce3cff-dccc-4dd6-927a-c86b99379750?index=1" TargetMode="External"/><Relationship Id="rId200" Type="http://schemas.openxmlformats.org/officeDocument/2006/relationships/hyperlink" Target="https://alpha.midjourney.com/jobs/4a4fcd20-cf99-4f08-98be-e4a9a21447fd?index=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28.14"/>
    <col customWidth="1" min="2" max="2" width="20.57" outlineLevel="1"/>
    <col customWidth="1" min="3" max="3" width="7.71" outlineLevel="1"/>
    <col customWidth="1" min="4" max="4" width="28.14" outlineLevel="1"/>
    <col customWidth="1" min="5" max="5" width="80.43" outlineLevel="1"/>
    <col customWidth="1" min="6" max="6" width="22.29" outlineLevel="1"/>
    <col customWidth="1" min="7" max="8" width="11.0" outlineLevel="1"/>
    <col min="9" max="17" width="14.43" outlineLevel="1"/>
    <col customWidth="1" min="18" max="18" width="15.57" outlineLevel="1"/>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hidden="1">
      <c r="A2" s="10" t="s">
        <v>28</v>
      </c>
      <c r="B2" s="11" t="s">
        <v>15</v>
      </c>
      <c r="C2" s="12">
        <v>2.0</v>
      </c>
      <c r="D2" s="12"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Crystal|.*crystal.*bury""),""Empty-Crystal"","""&amp;""")&amp;IF(REGEXMATCH($E2,""Move|move""),""Move"","""")"),"Construct Ascend ")</f>
        <v>Construct Ascend </v>
      </c>
      <c r="G2" s="13" t="s">
        <v>31</v>
      </c>
      <c r="H2" s="12">
        <v>1.0</v>
      </c>
      <c r="I2" s="12" t="s">
        <v>32</v>
      </c>
      <c r="J2" s="12" t="s">
        <v>33</v>
      </c>
      <c r="L2" s="14" t="str">
        <f>IFERROR(__xludf.DUMMYFUNCTION("IF(REGEXMATCH($B2,L$1),$D2,"""")"),"")</f>
        <v/>
      </c>
      <c r="M2" s="14" t="str">
        <f>IFERROR(__xludf.DUMMYFUNCTION("IF(REGEXMATCH($B2,M$1),$D2,"""")"),"")</f>
        <v/>
      </c>
      <c r="N2" s="14" t="str">
        <f>IFERROR(__xludf.DUMMYFUNCTION("IF(REGEXMATCH($B2,N$1),$D2,"""")"),"")</f>
        <v/>
      </c>
      <c r="O2" s="14" t="str">
        <f>IFERROR(__xludf.DUMMYFUNCTION("IF(REGEXMATCH($B2,O$1),$D2,"""")"),"")</f>
        <v/>
      </c>
      <c r="P2" s="14" t="str">
        <f>IFERROR(__xludf.DUMMYFUNCTION("IF(REGEXMATCH($B2,P$1),$D2,"""")"),"Construct Wizard")</f>
        <v>Construct Wizard</v>
      </c>
      <c r="Q2" s="14">
        <f>IFERROR(__xludf.DUMMYFUNCTION("IF($A2="""","""",LEN(REGEXREPLACE($I2,"",\s?"","""")))"),1.0)</f>
        <v>1</v>
      </c>
      <c r="S2" s="14"/>
      <c r="T2" s="14"/>
      <c r="U2" s="14"/>
      <c r="V2" s="14"/>
      <c r="W2" s="14"/>
      <c r="X2" s="14"/>
      <c r="Y2" s="14"/>
      <c r="Z2" s="14"/>
      <c r="AA2" s="14"/>
      <c r="AB2" s="14"/>
    </row>
    <row r="3">
      <c r="A3" s="10" t="s">
        <v>34</v>
      </c>
      <c r="B3" s="10" t="s">
        <v>15</v>
      </c>
      <c r="C3" s="12">
        <v>1.0</v>
      </c>
      <c r="D3" s="12" t="s">
        <v>35</v>
      </c>
      <c r="E3" s="10" t="s">
        <v>36</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Crystal|.*crystal.*bury""),""Empty-Crystal"","""&amp;""")&amp;IF(REGEXMATCH($E3,""Move|move""),""Move"","""")"),"Control ")</f>
        <v>Control </v>
      </c>
      <c r="G3" s="13" t="s">
        <v>37</v>
      </c>
      <c r="H3" s="12">
        <v>4.0</v>
      </c>
      <c r="I3" s="12" t="s">
        <v>38</v>
      </c>
      <c r="J3" s="12" t="s">
        <v>39</v>
      </c>
      <c r="L3" s="14" t="str">
        <f>IFERROR(__xludf.DUMMYFUNCTION("IF(REGEXMATCH($B3,L$1),$D3,"""")"),"")</f>
        <v/>
      </c>
      <c r="M3" s="14" t="str">
        <f>IFERROR(__xludf.DUMMYFUNCTION("IF(REGEXMATCH($B3,M$1),$D3,"""")"),"")</f>
        <v/>
      </c>
      <c r="N3" s="14" t="str">
        <f>IFERROR(__xludf.DUMMYFUNCTION("IF(REGEXMATCH($B3,N$1),$D3,"""")"),"")</f>
        <v/>
      </c>
      <c r="O3" s="14" t="str">
        <f>IFERROR(__xludf.DUMMYFUNCTION("IF(REGEXMATCH($B3,O$1),$D3,"""")"),"")</f>
        <v/>
      </c>
      <c r="P3" s="14" t="str">
        <f>IFERROR(__xludf.DUMMYFUNCTION("IF(REGEXMATCH($B3,P$1),$D3,"""")"),"Angel")</f>
        <v>Angel</v>
      </c>
      <c r="Q3" s="14">
        <f>IFERROR(__xludf.DUMMYFUNCTION("IF($A3="""","""",LEN(REGEXREPLACE($I3,"",\s?"","""")))"),5.0)</f>
        <v>5</v>
      </c>
      <c r="R3" s="15" t="s">
        <v>40</v>
      </c>
      <c r="S3" s="16" t="s">
        <v>41</v>
      </c>
      <c r="T3" s="17" t="s">
        <v>42</v>
      </c>
      <c r="U3" s="14"/>
      <c r="V3" s="14"/>
      <c r="W3" s="14"/>
      <c r="X3" s="14"/>
      <c r="Y3" s="14"/>
      <c r="Z3" s="14"/>
      <c r="AA3" s="14"/>
      <c r="AB3" s="14"/>
    </row>
    <row r="4" hidden="1">
      <c r="A4" s="10" t="s">
        <v>43</v>
      </c>
      <c r="B4" s="18" t="s">
        <v>15</v>
      </c>
      <c r="C4" s="19">
        <v>2.0</v>
      </c>
      <c r="D4" s="19" t="s">
        <v>44</v>
      </c>
      <c r="E4" s="20"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1" t="s">
        <v>31</v>
      </c>
      <c r="H4" s="19">
        <v>1.0</v>
      </c>
      <c r="I4" s="19" t="s">
        <v>32</v>
      </c>
      <c r="J4" s="19" t="s">
        <v>33</v>
      </c>
      <c r="L4" s="14" t="str">
        <f>IFERROR(__xludf.DUMMYFUNCTION("IF(REGEXMATCH($B4,L$1),$D4,"""")"),"")</f>
        <v/>
      </c>
      <c r="M4" s="14" t="str">
        <f>IFERROR(__xludf.DUMMYFUNCTION("IF(REGEXMATCH($B4,M$1),$D4,"""")"),"")</f>
        <v/>
      </c>
      <c r="N4" s="14" t="str">
        <f>IFERROR(__xludf.DUMMYFUNCTION("IF(REGEXMATCH($B4,N$1),$D4,"""")"),"")</f>
        <v/>
      </c>
      <c r="O4" s="14" t="str">
        <f>IFERROR(__xludf.DUMMYFUNCTION("IF(REGEXMATCH($B4,O$1),$D4,"""")"),"")</f>
        <v/>
      </c>
      <c r="P4" s="14" t="str">
        <f>IFERROR(__xludf.DUMMYFUNCTION("IF(REGEXMATCH($B4,P$1),$D4,"""")"),"Human")</f>
        <v>Human</v>
      </c>
      <c r="Q4" s="14">
        <f>IFERROR(__xludf.DUMMYFUNCTION("IF($A4="""","""",LEN(REGEXREPLACE($I4,"",\s?"","""")))"),1.0)</f>
        <v>1</v>
      </c>
      <c r="S4" s="14"/>
      <c r="T4" s="14"/>
      <c r="U4" s="14"/>
      <c r="V4" s="14"/>
      <c r="W4" s="14"/>
      <c r="X4" s="14"/>
      <c r="Y4" s="14"/>
      <c r="Z4" s="14"/>
      <c r="AA4" s="14"/>
      <c r="AB4" s="14"/>
    </row>
    <row r="5">
      <c r="A5" s="10" t="s">
        <v>46</v>
      </c>
      <c r="B5" s="10" t="s">
        <v>15</v>
      </c>
      <c r="C5" s="12">
        <v>1.0</v>
      </c>
      <c r="D5" s="12" t="s">
        <v>47</v>
      </c>
      <c r="E5" s="22" t="s">
        <v>48</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Crystal|.*crystal.*bury""),""Empty-Crystal"","""&amp;""")&amp;IF(REGEXMATCH($E5,""Move|move""),""Move"","""")"),"Control Aggro ")</f>
        <v>Control Aggro </v>
      </c>
      <c r="G5" s="23" t="s">
        <v>49</v>
      </c>
      <c r="H5" s="12">
        <v>5.0</v>
      </c>
      <c r="I5" s="12" t="s">
        <v>38</v>
      </c>
      <c r="J5" s="12" t="s">
        <v>39</v>
      </c>
      <c r="L5" s="14" t="str">
        <f>IFERROR(__xludf.DUMMYFUNCTION("IF(REGEXMATCH($B5,L$1),$D5,"""")"),"")</f>
        <v/>
      </c>
      <c r="M5" s="14" t="str">
        <f>IFERROR(__xludf.DUMMYFUNCTION("IF(REGEXMATCH($B5,M$1),$D5,"""")"),"")</f>
        <v/>
      </c>
      <c r="N5" s="14" t="str">
        <f>IFERROR(__xludf.DUMMYFUNCTION("IF(REGEXMATCH($B5,N$1),$D5,"""")"),"")</f>
        <v/>
      </c>
      <c r="O5" s="14" t="str">
        <f>IFERROR(__xludf.DUMMYFUNCTION("IF(REGEXMATCH($B5,O$1),$D5,"""")"),"")</f>
        <v/>
      </c>
      <c r="P5" s="14" t="str">
        <f>IFERROR(__xludf.DUMMYFUNCTION("IF(REGEXMATCH($B5,P$1),$D5,"""")"),"Angel Warrior")</f>
        <v>Angel Warrior</v>
      </c>
      <c r="Q5" s="14">
        <f>IFERROR(__xludf.DUMMYFUNCTION("IF($A5="""","""",LEN(REGEXREPLACE($I5,"",\s?"","""")))"),5.0)</f>
        <v>5</v>
      </c>
      <c r="R5" s="15" t="s">
        <v>50</v>
      </c>
      <c r="S5" s="17" t="s">
        <v>51</v>
      </c>
      <c r="T5" s="14"/>
      <c r="U5" s="14"/>
      <c r="V5" s="14"/>
      <c r="W5" s="14"/>
      <c r="X5" s="14"/>
      <c r="Y5" s="14"/>
      <c r="Z5" s="14"/>
      <c r="AA5" s="14"/>
      <c r="AB5" s="14"/>
    </row>
    <row r="6">
      <c r="A6" s="14" t="s">
        <v>52</v>
      </c>
      <c r="B6" s="10" t="s">
        <v>15</v>
      </c>
      <c r="C6" s="12">
        <v>1.0</v>
      </c>
      <c r="D6" s="12" t="s">
        <v>53</v>
      </c>
      <c r="E6" s="20" t="s">
        <v>54</v>
      </c>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Crystal|.*crystal.*bury""),""Empty-Crystal"","""&amp;""")&amp;IF(REGEXMATCH($E6,""Move|move""),""Move"","""")"),"Ramp ")</f>
        <v>Ramp </v>
      </c>
      <c r="G6" s="21" t="s">
        <v>55</v>
      </c>
      <c r="H6" s="12">
        <v>2.0</v>
      </c>
      <c r="I6" s="12" t="s">
        <v>56</v>
      </c>
      <c r="J6" s="24" t="s">
        <v>39</v>
      </c>
      <c r="L6" s="14" t="str">
        <f>IFERROR(__xludf.DUMMYFUNCTION("IF(REGEXMATCH($B6,L$1),$D6,"""")"),"")</f>
        <v/>
      </c>
      <c r="M6" s="14" t="str">
        <f>IFERROR(__xludf.DUMMYFUNCTION("IF(REGEXMATCH($B6,M$1),$D6,"""")"),"")</f>
        <v/>
      </c>
      <c r="N6" s="14" t="str">
        <f>IFERROR(__xludf.DUMMYFUNCTION("IF(REGEXMATCH($B6,N$1),$D6,"""")"),"")</f>
        <v/>
      </c>
      <c r="O6" s="14" t="str">
        <f>IFERROR(__xludf.DUMMYFUNCTION("IF(REGEXMATCH($B6,O$1),$D6,"""")"),"")</f>
        <v/>
      </c>
      <c r="P6" s="14" t="str">
        <f>IFERROR(__xludf.DUMMYFUNCTION("IF(REGEXMATCH($B6,P$1),$D6,"""")"),"Angel Construct")</f>
        <v>Angel Construct</v>
      </c>
      <c r="Q6" s="14">
        <f>IFERROR(__xludf.DUMMYFUNCTION("IF($A6="""","""",LEN(REGEXREPLACE($I6,"",\s?"","""")))"),3.0)</f>
        <v>3</v>
      </c>
      <c r="R6" s="15" t="s">
        <v>57</v>
      </c>
      <c r="S6" s="17" t="s">
        <v>58</v>
      </c>
      <c r="T6" s="14"/>
      <c r="U6" s="14"/>
      <c r="V6" s="14"/>
      <c r="W6" s="14"/>
      <c r="X6" s="14"/>
      <c r="Y6" s="14"/>
      <c r="Z6" s="14"/>
      <c r="AA6" s="14"/>
      <c r="AB6" s="14"/>
    </row>
    <row r="7">
      <c r="A7" s="10" t="s">
        <v>59</v>
      </c>
      <c r="B7" s="10" t="s">
        <v>15</v>
      </c>
      <c r="C7" s="12">
        <v>1.0</v>
      </c>
      <c r="D7" s="19" t="s">
        <v>60</v>
      </c>
      <c r="E7" s="20"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f>
        <v/>
      </c>
      <c r="G7" s="21" t="s">
        <v>62</v>
      </c>
      <c r="H7" s="19">
        <v>6.0</v>
      </c>
      <c r="I7" s="19" t="s">
        <v>63</v>
      </c>
      <c r="J7" s="12" t="s">
        <v>33</v>
      </c>
      <c r="L7" s="14" t="str">
        <f>IFERROR(__xludf.DUMMYFUNCTION("IF(REGEXMATCH($B7,L$1),$D7,"""")"),"")</f>
        <v/>
      </c>
      <c r="M7" s="14" t="str">
        <f>IFERROR(__xludf.DUMMYFUNCTION("IF(REGEXMATCH($B7,M$1),$D7,"""")"),"")</f>
        <v/>
      </c>
      <c r="N7" s="14" t="str">
        <f>IFERROR(__xludf.DUMMYFUNCTION("IF(REGEXMATCH($B7,N$1),$D7,"""")"),"")</f>
        <v/>
      </c>
      <c r="O7" s="14" t="str">
        <f>IFERROR(__xludf.DUMMYFUNCTION("IF(REGEXMATCH($B7,O$1),$D7,"""")"),"")</f>
        <v/>
      </c>
      <c r="P7" s="14" t="str">
        <f>IFERROR(__xludf.DUMMYFUNCTION("IF(REGEXMATCH($B7,P$1),$D7,"""")"),"Construct Dragon")</f>
        <v>Construct Dragon</v>
      </c>
      <c r="Q7" s="14">
        <f>IFERROR(__xludf.DUMMYFUNCTION("IF($A7="""","""",LEN(REGEXREPLACE($I7,"",\s?"","""")))"),6.0)</f>
        <v>6</v>
      </c>
      <c r="R7" s="15" t="s">
        <v>64</v>
      </c>
      <c r="S7" s="17" t="s">
        <v>65</v>
      </c>
      <c r="T7" s="14"/>
      <c r="U7" s="14"/>
      <c r="V7" s="14"/>
      <c r="W7" s="14"/>
      <c r="X7" s="14"/>
      <c r="Y7" s="14"/>
      <c r="Z7" s="14"/>
      <c r="AA7" s="14"/>
      <c r="AB7" s="14"/>
    </row>
    <row r="8">
      <c r="A8" s="25" t="s">
        <v>66</v>
      </c>
      <c r="B8" s="10" t="s">
        <v>15</v>
      </c>
      <c r="C8" s="12">
        <v>1.0</v>
      </c>
      <c r="D8" s="12" t="s">
        <v>53</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3" t="s">
        <v>68</v>
      </c>
      <c r="H8" s="12">
        <v>5.0</v>
      </c>
      <c r="I8" s="12" t="s">
        <v>63</v>
      </c>
      <c r="J8" s="12" t="s">
        <v>69</v>
      </c>
      <c r="L8" s="14" t="str">
        <f>IFERROR(__xludf.DUMMYFUNCTION("IF(REGEXMATCH($B8,L$1),$D8,"""")"),"")</f>
        <v/>
      </c>
      <c r="M8" s="14" t="str">
        <f>IFERROR(__xludf.DUMMYFUNCTION("IF(REGEXMATCH($B8,M$1),$D8,"""")"),"")</f>
        <v/>
      </c>
      <c r="N8" s="14" t="str">
        <f>IFERROR(__xludf.DUMMYFUNCTION("IF(REGEXMATCH($B8,N$1),$D8,"""")"),"")</f>
        <v/>
      </c>
      <c r="O8" s="14" t="str">
        <f>IFERROR(__xludf.DUMMYFUNCTION("IF(REGEXMATCH($B8,O$1),$D8,"""")"),"")</f>
        <v/>
      </c>
      <c r="P8" s="14" t="str">
        <f>IFERROR(__xludf.DUMMYFUNCTION("IF(REGEXMATCH($B8,P$1),$D8,"""")"),"Angel Construct")</f>
        <v>Angel Construct</v>
      </c>
      <c r="Q8" s="14">
        <f>IFERROR(__xludf.DUMMYFUNCTION("IF($A8="""","""",LEN(REGEXREPLACE($I8,"",\s?"","""")))"),6.0)</f>
        <v>6</v>
      </c>
      <c r="R8" s="15" t="s">
        <v>70</v>
      </c>
      <c r="S8" s="17" t="s">
        <v>71</v>
      </c>
      <c r="T8" s="14"/>
      <c r="U8" s="14"/>
      <c r="V8" s="14"/>
      <c r="W8" s="14"/>
      <c r="X8" s="14"/>
      <c r="Y8" s="14"/>
      <c r="Z8" s="14"/>
      <c r="AA8" s="14"/>
      <c r="AB8" s="14"/>
    </row>
    <row r="9" hidden="1">
      <c r="A9" s="10" t="s">
        <v>72</v>
      </c>
      <c r="B9" s="26" t="s">
        <v>15</v>
      </c>
      <c r="C9" s="12">
        <v>2.0</v>
      </c>
      <c r="D9" s="12"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f>
        <v/>
      </c>
      <c r="G9" s="13" t="s">
        <v>75</v>
      </c>
      <c r="H9" s="12">
        <v>4.0</v>
      </c>
      <c r="I9" s="12" t="s">
        <v>56</v>
      </c>
      <c r="J9" s="12" t="s">
        <v>69</v>
      </c>
      <c r="L9" s="14" t="str">
        <f>IFERROR(__xludf.DUMMYFUNCTION("IF(REGEXMATCH($B9,L$1),$D9,"""")"),"")</f>
        <v/>
      </c>
      <c r="M9" s="14" t="str">
        <f>IFERROR(__xludf.DUMMYFUNCTION("IF(REGEXMATCH($B9,M$1),$D9,"""")"),"")</f>
        <v/>
      </c>
      <c r="N9" s="14" t="str">
        <f>IFERROR(__xludf.DUMMYFUNCTION("IF(REGEXMATCH($B9,N$1),$D9,"""")"),"")</f>
        <v/>
      </c>
      <c r="O9" s="14" t="str">
        <f>IFERROR(__xludf.DUMMYFUNCTION("IF(REGEXMATCH($B9,O$1),$D9,"""")"),"")</f>
        <v/>
      </c>
      <c r="P9" s="14" t="str">
        <f>IFERROR(__xludf.DUMMYFUNCTION("IF(REGEXMATCH($B9,P$1),$D9,"""")"),"Crusader Spirit Warrior")</f>
        <v>Crusader Spirit Warrior</v>
      </c>
      <c r="Q9" s="14">
        <f>IFERROR(__xludf.DUMMYFUNCTION("IF($A9="""","""",LEN(REGEXREPLACE($I9,"",\s?"","""")))"),3.0)</f>
        <v>3</v>
      </c>
      <c r="S9" s="14"/>
      <c r="T9" s="14"/>
      <c r="U9" s="14"/>
      <c r="V9" s="14"/>
      <c r="W9" s="14"/>
      <c r="X9" s="14"/>
      <c r="Y9" s="14"/>
      <c r="Z9" s="14"/>
      <c r="AA9" s="14"/>
      <c r="AB9" s="14"/>
    </row>
    <row r="10">
      <c r="A10" s="27" t="s">
        <v>76</v>
      </c>
      <c r="B10" s="10" t="s">
        <v>15</v>
      </c>
      <c r="C10" s="12">
        <v>1.0</v>
      </c>
      <c r="D10" s="24" t="s">
        <v>77</v>
      </c>
      <c r="E10" s="10" t="s">
        <v>78</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Crystal|.*crystal.*b"&amp;"ury""),""Empty-Crystal"","""")&amp;IF(REGEXMATCH($E10,""Move|move""),""Move"","""")"),"Ramp ")</f>
        <v>Ramp </v>
      </c>
      <c r="G10" s="21" t="s">
        <v>79</v>
      </c>
      <c r="H10" s="24">
        <v>4.0</v>
      </c>
      <c r="I10" s="12" t="s">
        <v>56</v>
      </c>
      <c r="J10" s="24" t="s">
        <v>33</v>
      </c>
      <c r="L10" s="14" t="str">
        <f>IFERROR(__xludf.DUMMYFUNCTION("IF(REGEXMATCH($B10,L$1),$D10,"""")"),"")</f>
        <v/>
      </c>
      <c r="M10" s="14" t="str">
        <f>IFERROR(__xludf.DUMMYFUNCTION("IF(REGEXMATCH($B10,M$1),$D10,"""")"),"")</f>
        <v/>
      </c>
      <c r="N10" s="14" t="str">
        <f>IFERROR(__xludf.DUMMYFUNCTION("IF(REGEXMATCH($B10,N$1),$D10,"""")"),"")</f>
        <v/>
      </c>
      <c r="O10" s="14" t="str">
        <f>IFERROR(__xludf.DUMMYFUNCTION("IF(REGEXMATCH($B10,O$1),$D10,"""")"),"")</f>
        <v/>
      </c>
      <c r="P10" s="14" t="str">
        <f>IFERROR(__xludf.DUMMYFUNCTION("IF(REGEXMATCH($B10,P$1),$D10,"""")"),"Construct")</f>
        <v>Construct</v>
      </c>
      <c r="Q10" s="14">
        <f>IFERROR(__xludf.DUMMYFUNCTION("IF($A10="""","""",LEN(REGEXREPLACE($I10,"",\s?"","""")))"),3.0)</f>
        <v>3</v>
      </c>
      <c r="R10" s="15" t="s">
        <v>80</v>
      </c>
      <c r="S10" s="17" t="s">
        <v>81</v>
      </c>
      <c r="T10" s="14"/>
      <c r="U10" s="14"/>
      <c r="V10" s="14"/>
      <c r="W10" s="14"/>
      <c r="X10" s="14"/>
      <c r="Y10" s="14"/>
      <c r="Z10" s="14"/>
      <c r="AA10" s="14"/>
      <c r="AB10" s="14"/>
    </row>
    <row r="11">
      <c r="A11" s="28" t="s">
        <v>82</v>
      </c>
      <c r="B11" s="20" t="s">
        <v>15</v>
      </c>
      <c r="C11" s="19">
        <v>1.0</v>
      </c>
      <c r="D11" s="19" t="s">
        <v>83</v>
      </c>
      <c r="E11" s="20" t="s">
        <v>84</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Crystal|.*crystal.*b"&amp;"ury""),""Empty-Crystal"","""")&amp;IF(REGEXMATCH($E11,""Move|move""),""Move"","""")"),"Unearth Aggro ")</f>
        <v>Unearth Aggro </v>
      </c>
      <c r="G11" s="21" t="s">
        <v>85</v>
      </c>
      <c r="H11" s="19">
        <v>2.0</v>
      </c>
      <c r="I11" s="19" t="s">
        <v>56</v>
      </c>
      <c r="J11" s="19" t="s">
        <v>69</v>
      </c>
      <c r="L11" s="14" t="str">
        <f>IFERROR(__xludf.DUMMYFUNCTION("IF(REGEXMATCH($B11,L$1),$D11,"""")"),"")</f>
        <v/>
      </c>
      <c r="M11" s="14" t="str">
        <f>IFERROR(__xludf.DUMMYFUNCTION("IF(REGEXMATCH($B11,M$1),$D11,"""")"),"")</f>
        <v/>
      </c>
      <c r="N11" s="14" t="str">
        <f>IFERROR(__xludf.DUMMYFUNCTION("IF(REGEXMATCH($B11,N$1),$D11,"""")"),"")</f>
        <v/>
      </c>
      <c r="O11" s="14" t="str">
        <f>IFERROR(__xludf.DUMMYFUNCTION("IF(REGEXMATCH($B11,O$1),$D11,"""")"),"")</f>
        <v/>
      </c>
      <c r="P11" s="14" t="str">
        <f>IFERROR(__xludf.DUMMYFUNCTION("IF(REGEXMATCH($B11,P$1),$D11,"""")"),"Insect Undead")</f>
        <v>Insect Undead</v>
      </c>
      <c r="Q11" s="14">
        <f>IFERROR(__xludf.DUMMYFUNCTION("IF($A11="""","""",LEN(REGEXREPLACE($I11,"",\s?"","""")))"),3.0)</f>
        <v>3</v>
      </c>
      <c r="R11" s="15" t="s">
        <v>86</v>
      </c>
      <c r="S11" s="17" t="s">
        <v>87</v>
      </c>
      <c r="T11" s="14"/>
      <c r="U11" s="14"/>
      <c r="V11" s="14"/>
      <c r="W11" s="14"/>
      <c r="X11" s="14"/>
      <c r="Y11" s="14"/>
      <c r="Z11" s="14"/>
      <c r="AA11" s="14"/>
      <c r="AB11" s="14"/>
    </row>
    <row r="12">
      <c r="A12" s="27" t="s">
        <v>88</v>
      </c>
      <c r="B12" s="29" t="s">
        <v>15</v>
      </c>
      <c r="C12" s="12">
        <v>1.0</v>
      </c>
      <c r="D12" s="12" t="s">
        <v>89</v>
      </c>
      <c r="E12" s="10" t="s">
        <v>90</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f>
        <v/>
      </c>
      <c r="G12" s="21" t="s">
        <v>91</v>
      </c>
      <c r="H12" s="12">
        <v>2.0</v>
      </c>
      <c r="I12" s="12" t="s">
        <v>32</v>
      </c>
      <c r="J12" s="24" t="s">
        <v>33</v>
      </c>
      <c r="L12" s="14" t="str">
        <f>IFERROR(__xludf.DUMMYFUNCTION("IF(REGEXMATCH($B12,L$1),$D12,"""")"),"")</f>
        <v/>
      </c>
      <c r="M12" s="14" t="str">
        <f>IFERROR(__xludf.DUMMYFUNCTION("IF(REGEXMATCH($B12,M$1),$D12,"""")"),"")</f>
        <v/>
      </c>
      <c r="N12" s="14" t="str">
        <f>IFERROR(__xludf.DUMMYFUNCTION("IF(REGEXMATCH($B12,N$1),$D12,"""")"),"")</f>
        <v/>
      </c>
      <c r="O12" s="14" t="str">
        <f>IFERROR(__xludf.DUMMYFUNCTION("IF(REGEXMATCH($B12,O$1),$D12,"""")"),"")</f>
        <v/>
      </c>
      <c r="P12" s="14" t="str">
        <f>IFERROR(__xludf.DUMMYFUNCTION("IF(REGEXMATCH($B12,P$1),$D12,"""")"),"Construct Undead")</f>
        <v>Construct Undead</v>
      </c>
      <c r="Q12" s="14">
        <f>IFERROR(__xludf.DUMMYFUNCTION("IF($A12="""","""",LEN(REGEXREPLACE($I12,"",\s?"","""")))"),1.0)</f>
        <v>1</v>
      </c>
      <c r="R12" s="15" t="s">
        <v>92</v>
      </c>
      <c r="S12" s="17" t="s">
        <v>93</v>
      </c>
      <c r="T12" s="14"/>
      <c r="U12" s="14"/>
      <c r="V12" s="14"/>
      <c r="W12" s="14"/>
      <c r="X12" s="14"/>
      <c r="Y12" s="14"/>
      <c r="Z12" s="14"/>
      <c r="AA12" s="14"/>
      <c r="AB12" s="14"/>
    </row>
    <row r="13">
      <c r="A13" s="20" t="s">
        <v>94</v>
      </c>
      <c r="B13" s="10" t="s">
        <v>15</v>
      </c>
      <c r="C13" s="12">
        <v>1.0</v>
      </c>
      <c r="D13" s="12" t="s">
        <v>95</v>
      </c>
      <c r="E13" s="10" t="s">
        <v>96</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Crystal|.*crystal.*b"&amp;"ury""),""Empty-Crystal"","""")&amp;IF(REGEXMATCH($E13,""Move|move""),""Move"","""")"),"Move")</f>
        <v>Move</v>
      </c>
      <c r="G13" s="13" t="s">
        <v>97</v>
      </c>
      <c r="H13" s="12">
        <v>3.0</v>
      </c>
      <c r="I13" s="12" t="s">
        <v>98</v>
      </c>
      <c r="J13" s="12" t="s">
        <v>69</v>
      </c>
      <c r="L13" s="14" t="str">
        <f>IFERROR(__xludf.DUMMYFUNCTION("IF(REGEXMATCH($B13,L$1),$D13,"""")"),"")</f>
        <v/>
      </c>
      <c r="M13" s="14" t="str">
        <f>IFERROR(__xludf.DUMMYFUNCTION("IF(REGEXMATCH($B13,M$1),$D13,"""")"),"")</f>
        <v/>
      </c>
      <c r="N13" s="14" t="str">
        <f>IFERROR(__xludf.DUMMYFUNCTION("IF(REGEXMATCH($B13,N$1),$D13,"""")"),"")</f>
        <v/>
      </c>
      <c r="O13" s="14" t="str">
        <f>IFERROR(__xludf.DUMMYFUNCTION("IF(REGEXMATCH($B13,O$1),$D13,"""")"),"")</f>
        <v/>
      </c>
      <c r="P13" s="14" t="str">
        <f>IFERROR(__xludf.DUMMYFUNCTION("IF(REGEXMATCH($B13,P$1),$D13,"""")"),"Angel Wizard")</f>
        <v>Angel Wizard</v>
      </c>
      <c r="Q13" s="14">
        <f>IFERROR(__xludf.DUMMYFUNCTION("IF($A13="""","""",LEN(REGEXREPLACE($I13,"",\s?"","""")))"),3.0)</f>
        <v>3</v>
      </c>
      <c r="R13" s="15" t="s">
        <v>99</v>
      </c>
      <c r="S13" s="17" t="s">
        <v>100</v>
      </c>
      <c r="T13" s="17" t="s">
        <v>101</v>
      </c>
      <c r="U13" s="17" t="s">
        <v>102</v>
      </c>
      <c r="V13" s="14"/>
      <c r="W13" s="14"/>
      <c r="X13" s="14"/>
      <c r="Y13" s="14"/>
      <c r="Z13" s="14"/>
      <c r="AA13" s="14"/>
      <c r="AB13" s="14"/>
    </row>
    <row r="14">
      <c r="A14" s="27" t="s">
        <v>103</v>
      </c>
      <c r="B14" s="10" t="s">
        <v>15</v>
      </c>
      <c r="C14" s="12">
        <v>1.0</v>
      </c>
      <c r="D14" s="12" t="s">
        <v>47</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f>
        <v/>
      </c>
      <c r="G14" s="13" t="s">
        <v>104</v>
      </c>
      <c r="H14" s="12">
        <v>3.0</v>
      </c>
      <c r="I14" s="12" t="s">
        <v>105</v>
      </c>
      <c r="J14" s="12" t="s">
        <v>33</v>
      </c>
      <c r="L14" s="14" t="str">
        <f>IFERROR(__xludf.DUMMYFUNCTION("IF(REGEXMATCH($B14,L$1),$D14,"""")"),"")</f>
        <v/>
      </c>
      <c r="M14" s="14" t="str">
        <f>IFERROR(__xludf.DUMMYFUNCTION("IF(REGEXMATCH($B14,M$1),$D14,"""")"),"")</f>
        <v/>
      </c>
      <c r="N14" s="14" t="str">
        <f>IFERROR(__xludf.DUMMYFUNCTION("IF(REGEXMATCH($B14,N$1),$D14,"""")"),"")</f>
        <v/>
      </c>
      <c r="O14" s="14" t="str">
        <f>IFERROR(__xludf.DUMMYFUNCTION("IF(REGEXMATCH($B14,O$1),$D14,"""")"),"")</f>
        <v/>
      </c>
      <c r="P14" s="14" t="str">
        <f>IFERROR(__xludf.DUMMYFUNCTION("IF(REGEXMATCH($B14,P$1),$D14,"""")"),"Angel Warrior")</f>
        <v>Angel Warrior</v>
      </c>
      <c r="Q14" s="14">
        <f>IFERROR(__xludf.DUMMYFUNCTION("IF($A14="""","""",LEN(REGEXREPLACE($I14,"",\s?"","""")))"),2.0)</f>
        <v>2</v>
      </c>
      <c r="R14" s="30" t="s">
        <v>106</v>
      </c>
      <c r="S14" s="31" t="s">
        <v>107</v>
      </c>
      <c r="T14" s="31" t="s">
        <v>108</v>
      </c>
      <c r="U14" s="32"/>
      <c r="V14" s="32"/>
      <c r="W14" s="32"/>
      <c r="X14" s="32"/>
      <c r="Y14" s="32"/>
      <c r="Z14" s="32"/>
      <c r="AA14" s="32"/>
      <c r="AB14" s="32"/>
    </row>
    <row r="15">
      <c r="A15" s="10" t="s">
        <v>109</v>
      </c>
      <c r="B15" s="10" t="s">
        <v>15</v>
      </c>
      <c r="C15" s="12">
        <v>1.0</v>
      </c>
      <c r="D15" s="12" t="s">
        <v>110</v>
      </c>
      <c r="E15" s="10" t="s">
        <v>111</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Crystal|.*crystal.*b"&amp;"ury""),""Empty-Crystal"","""")&amp;IF(REGEXMATCH($E15,""Move|move""),""Move"","""")"),"Divine ")</f>
        <v>Divine </v>
      </c>
      <c r="G15" s="13" t="s">
        <v>112</v>
      </c>
      <c r="H15" s="12">
        <v>1.0</v>
      </c>
      <c r="I15" s="12" t="s">
        <v>105</v>
      </c>
      <c r="J15" s="12" t="s">
        <v>33</v>
      </c>
      <c r="L15" s="14" t="str">
        <f>IFERROR(__xludf.DUMMYFUNCTION("IF(REGEXMATCH($B15,L$1),$D15,"""")"),"")</f>
        <v/>
      </c>
      <c r="M15" s="14" t="str">
        <f>IFERROR(__xludf.DUMMYFUNCTION("IF(REGEXMATCH($B15,M$1),$D15,"""")"),"")</f>
        <v/>
      </c>
      <c r="N15" s="14" t="str">
        <f>IFERROR(__xludf.DUMMYFUNCTION("IF(REGEXMATCH($B15,N$1),$D15,"""")"),"")</f>
        <v/>
      </c>
      <c r="O15" s="14" t="str">
        <f>IFERROR(__xludf.DUMMYFUNCTION("IF(REGEXMATCH($B15,O$1),$D15,"""")"),"")</f>
        <v/>
      </c>
      <c r="P15" s="14" t="str">
        <f>IFERROR(__xludf.DUMMYFUNCTION("IF(REGEXMATCH($B15,P$1),$D15,"""")"),"Animal")</f>
        <v>Animal</v>
      </c>
      <c r="Q15" s="14">
        <f>IFERROR(__xludf.DUMMYFUNCTION("IF($A15="""","""",LEN(REGEXREPLACE($I15,"",\s?"","""")))"),2.0)</f>
        <v>2</v>
      </c>
      <c r="R15" s="15" t="s">
        <v>113</v>
      </c>
      <c r="S15" s="17" t="s">
        <v>114</v>
      </c>
      <c r="T15" s="14"/>
      <c r="U15" s="14"/>
      <c r="V15" s="14"/>
      <c r="W15" s="14"/>
      <c r="X15" s="14"/>
      <c r="Y15" s="14"/>
      <c r="Z15" s="14"/>
      <c r="AA15" s="14"/>
      <c r="AB15" s="14"/>
    </row>
    <row r="16">
      <c r="A16" s="20" t="s">
        <v>115</v>
      </c>
      <c r="B16" s="20" t="s">
        <v>15</v>
      </c>
      <c r="C16" s="19">
        <v>1.0</v>
      </c>
      <c r="D16" s="19" t="s">
        <v>35</v>
      </c>
      <c r="E16" s="20" t="s">
        <v>116</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Crystal|.*crystal.*b"&amp;"ury""),""Empty-Crystal"","""")&amp;IF(REGEXMATCH($E16,""Move|move""),""Move"","""")"),"Ramp Copy ")</f>
        <v>Ramp Copy </v>
      </c>
      <c r="G16" s="21" t="s">
        <v>117</v>
      </c>
      <c r="H16" s="19">
        <v>2.0</v>
      </c>
      <c r="I16" s="19" t="s">
        <v>98</v>
      </c>
      <c r="J16" s="19" t="s">
        <v>69</v>
      </c>
      <c r="L16" s="14" t="str">
        <f>IFERROR(__xludf.DUMMYFUNCTION("IF(REGEXMATCH($B16,L$1),$D16,"""")"),"")</f>
        <v/>
      </c>
      <c r="M16" s="14" t="str">
        <f>IFERROR(__xludf.DUMMYFUNCTION("IF(REGEXMATCH($B16,M$1),$D16,"""")"),"")</f>
        <v/>
      </c>
      <c r="N16" s="14" t="str">
        <f>IFERROR(__xludf.DUMMYFUNCTION("IF(REGEXMATCH($B16,N$1),$D16,"""")"),"")</f>
        <v/>
      </c>
      <c r="O16" s="14" t="str">
        <f>IFERROR(__xludf.DUMMYFUNCTION("IF(REGEXMATCH($B16,O$1),$D16,"""")"),"")</f>
        <v/>
      </c>
      <c r="P16" s="14" t="str">
        <f>IFERROR(__xludf.DUMMYFUNCTION("IF(REGEXMATCH($B16,P$1),$D16,"""")"),"Angel")</f>
        <v>Angel</v>
      </c>
      <c r="Q16" s="14">
        <f>IFERROR(__xludf.DUMMYFUNCTION("IF($A16="""","""",LEN(REGEXREPLACE($I16,"",\s?"","""")))"),3.0)</f>
        <v>3</v>
      </c>
      <c r="R16" s="15" t="s">
        <v>106</v>
      </c>
      <c r="S16" s="17" t="s">
        <v>118</v>
      </c>
      <c r="T16" s="14"/>
      <c r="U16" s="14"/>
      <c r="V16" s="14"/>
      <c r="W16" s="14"/>
      <c r="X16" s="14"/>
      <c r="Y16" s="14"/>
      <c r="Z16" s="14"/>
      <c r="AA16" s="14"/>
      <c r="AB16" s="14"/>
    </row>
    <row r="17">
      <c r="A17" s="10" t="s">
        <v>119</v>
      </c>
      <c r="B17" s="10" t="s">
        <v>15</v>
      </c>
      <c r="C17" s="12">
        <v>1.0</v>
      </c>
      <c r="D17" s="12" t="s">
        <v>120</v>
      </c>
      <c r="E17" s="10" t="s">
        <v>121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Crystal|.*crystal.*b"&amp;"ury""),""Empty-Crystal"","""")&amp;IF(REGEXMATCH($E17,""Move|move""),""Move"","""")"),"Unearth Aggro ")</f>
        <v>Unearth Aggro </v>
      </c>
      <c r="G17" s="13" t="s">
        <v>122</v>
      </c>
      <c r="H17" s="12">
        <v>6.0</v>
      </c>
      <c r="I17" s="12" t="s">
        <v>123</v>
      </c>
      <c r="J17" s="12" t="s">
        <v>33</v>
      </c>
      <c r="L17" s="14" t="str">
        <f>IFERROR(__xludf.DUMMYFUNCTION("IF(REGEXMATCH($B17,L$1),$D17,"""")"),"")</f>
        <v/>
      </c>
      <c r="M17" s="14" t="str">
        <f>IFERROR(__xludf.DUMMYFUNCTION("IF(REGEXMATCH($B17,M$1),$D17,"""")"),"")</f>
        <v/>
      </c>
      <c r="N17" s="14" t="str">
        <f>IFERROR(__xludf.DUMMYFUNCTION("IF(REGEXMATCH($B17,N$1),$D17,"""")"),"")</f>
        <v/>
      </c>
      <c r="O17" s="14" t="str">
        <f>IFERROR(__xludf.DUMMYFUNCTION("IF(REGEXMATCH($B17,O$1),$D17,"""")"),"")</f>
        <v/>
      </c>
      <c r="P17" s="14" t="str">
        <f>IFERROR(__xludf.DUMMYFUNCTION("IF(REGEXMATCH($B17,P$1),$D17,"""")"),"Animal Undead")</f>
        <v>Animal Undead</v>
      </c>
      <c r="Q17" s="14">
        <f>IFERROR(__xludf.DUMMYFUNCTION("IF($A17="""","""",LEN(REGEXREPLACE($I17,"",\s?"","""")))"),6.0)</f>
        <v>6</v>
      </c>
      <c r="R17" s="15" t="s">
        <v>124</v>
      </c>
      <c r="S17" s="17" t="s">
        <v>125</v>
      </c>
      <c r="T17" s="14"/>
      <c r="U17" s="14"/>
      <c r="V17" s="14"/>
      <c r="W17" s="14"/>
      <c r="X17" s="14"/>
      <c r="Y17" s="14"/>
      <c r="Z17" s="14"/>
      <c r="AA17" s="14"/>
      <c r="AB17" s="14"/>
    </row>
    <row r="18">
      <c r="A18" s="10" t="s">
        <v>126</v>
      </c>
      <c r="B18" s="10" t="s">
        <v>15</v>
      </c>
      <c r="C18" s="12">
        <v>1.0</v>
      </c>
      <c r="D18" s="12" t="s">
        <v>127</v>
      </c>
      <c r="E18" s="10" t="s">
        <v>128</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Crystal|.*crystal.*b"&amp;"ury""),""Empty-Crystal"","""")&amp;IF(REGEXMATCH($E18,""Move|move""),""Move"","""")"),"Ramp Control ")</f>
        <v>Ramp Control </v>
      </c>
      <c r="G18" s="13" t="s">
        <v>129</v>
      </c>
      <c r="H18" s="12">
        <v>2.0</v>
      </c>
      <c r="I18" s="12" t="s">
        <v>105</v>
      </c>
      <c r="J18" s="12" t="s">
        <v>33</v>
      </c>
      <c r="L18" s="14" t="str">
        <f>IFERROR(__xludf.DUMMYFUNCTION("IF(REGEXMATCH($B18,L$1),$D18,"""")"),"")</f>
        <v/>
      </c>
      <c r="M18" s="14" t="str">
        <f>IFERROR(__xludf.DUMMYFUNCTION("IF(REGEXMATCH($B18,M$1),$D18,"""")"),"")</f>
        <v/>
      </c>
      <c r="N18" s="14" t="str">
        <f>IFERROR(__xludf.DUMMYFUNCTION("IF(REGEXMATCH($B18,N$1),$D18,"""")"),"")</f>
        <v/>
      </c>
      <c r="O18" s="14" t="str">
        <f>IFERROR(__xludf.DUMMYFUNCTION("IF(REGEXMATCH($B18,O$1),$D18,"""")"),"")</f>
        <v/>
      </c>
      <c r="P18" s="14" t="str">
        <f>IFERROR(__xludf.DUMMYFUNCTION("IF(REGEXMATCH($B18,P$1),$D18,"""")"),"Animal Construct")</f>
        <v>Animal Construct</v>
      </c>
      <c r="Q18" s="14">
        <f>IFERROR(__xludf.DUMMYFUNCTION("IF($A18="""","""",LEN(REGEXREPLACE($I18,"",\s?"","""")))"),2.0)</f>
        <v>2</v>
      </c>
      <c r="R18" s="30" t="s">
        <v>130</v>
      </c>
      <c r="S18" s="31" t="s">
        <v>131</v>
      </c>
      <c r="T18" s="32"/>
      <c r="U18" s="32"/>
      <c r="V18" s="32"/>
      <c r="W18" s="32"/>
      <c r="X18" s="32"/>
      <c r="Y18" s="32"/>
      <c r="Z18" s="32"/>
      <c r="AA18" s="32"/>
      <c r="AB18" s="32"/>
    </row>
    <row r="19" hidden="1">
      <c r="A19" s="10" t="s">
        <v>132</v>
      </c>
      <c r="B19" s="11" t="s">
        <v>15</v>
      </c>
      <c r="C19" s="12">
        <v>2.0</v>
      </c>
      <c r="D19" s="12" t="s">
        <v>35</v>
      </c>
      <c r="E19" s="10" t="s">
        <v>133</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Crystal|.*crystal.*b"&amp;"ury""),""Empty-Crystal"","""")&amp;IF(REGEXMATCH($E19,""Move|move""),""Move"","""")"),"Unearth Control ")</f>
        <v>Unearth Control </v>
      </c>
      <c r="G19" s="13" t="s">
        <v>134</v>
      </c>
      <c r="H19" s="12">
        <v>4.0</v>
      </c>
      <c r="I19" s="12" t="s">
        <v>38</v>
      </c>
      <c r="J19" s="12" t="s">
        <v>69</v>
      </c>
      <c r="L19" s="14" t="str">
        <f>IFERROR(__xludf.DUMMYFUNCTION("IF(REGEXMATCH($B19,L$1),$D19,"""")"),"")</f>
        <v/>
      </c>
      <c r="M19" s="14" t="str">
        <f>IFERROR(__xludf.DUMMYFUNCTION("IF(REGEXMATCH($B19,M$1),$D19,"""")"),"")</f>
        <v/>
      </c>
      <c r="N19" s="14" t="str">
        <f>IFERROR(__xludf.DUMMYFUNCTION("IF(REGEXMATCH($B19,N$1),$D19,"""")"),"")</f>
        <v/>
      </c>
      <c r="O19" s="14" t="str">
        <f>IFERROR(__xludf.DUMMYFUNCTION("IF(REGEXMATCH($B19,O$1),$D19,"""")"),"")</f>
        <v/>
      </c>
      <c r="P19" s="14" t="str">
        <f>IFERROR(__xludf.DUMMYFUNCTION("IF(REGEXMATCH($B19,P$1),$D19,"""")"),"Angel")</f>
        <v>Angel</v>
      </c>
      <c r="Q19" s="14">
        <f>IFERROR(__xludf.DUMMYFUNCTION("IF($A19="""","""",LEN(REGEXREPLACE($I19,"",\s?"","""")))"),5.0)</f>
        <v>5</v>
      </c>
      <c r="S19" s="14"/>
      <c r="T19" s="14"/>
      <c r="U19" s="14"/>
      <c r="V19" s="14"/>
      <c r="W19" s="14"/>
      <c r="X19" s="14"/>
      <c r="Y19" s="14"/>
      <c r="Z19" s="14"/>
      <c r="AA19" s="14"/>
      <c r="AB19" s="14"/>
    </row>
    <row r="20">
      <c r="A20" s="27" t="s">
        <v>135</v>
      </c>
      <c r="B20" s="10" t="s">
        <v>15</v>
      </c>
      <c r="C20" s="12">
        <v>1.0</v>
      </c>
      <c r="D20" s="24" t="s">
        <v>77</v>
      </c>
      <c r="E20" s="20" t="s">
        <v>136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1" t="s">
        <v>137</v>
      </c>
      <c r="H20" s="12">
        <v>3.0</v>
      </c>
      <c r="I20" s="12" t="s">
        <v>56</v>
      </c>
      <c r="J20" s="24" t="s">
        <v>33</v>
      </c>
      <c r="L20" s="14" t="str">
        <f>IFERROR(__xludf.DUMMYFUNCTION("IF(REGEXMATCH($B20,L$1),$D20,"""")"),"")</f>
        <v/>
      </c>
      <c r="M20" s="14" t="str">
        <f>IFERROR(__xludf.DUMMYFUNCTION("IF(REGEXMATCH($B20,M$1),$D20,"""")"),"")</f>
        <v/>
      </c>
      <c r="N20" s="14" t="str">
        <f>IFERROR(__xludf.DUMMYFUNCTION("IF(REGEXMATCH($B20,N$1),$D20,"""")"),"")</f>
        <v/>
      </c>
      <c r="O20" s="14" t="str">
        <f>IFERROR(__xludf.DUMMYFUNCTION("IF(REGEXMATCH($B20,O$1),$D20,"""")"),"")</f>
        <v/>
      </c>
      <c r="P20" s="14" t="str">
        <f>IFERROR(__xludf.DUMMYFUNCTION("IF(REGEXMATCH($B20,P$1),$D20,"""")"),"Construct")</f>
        <v>Construct</v>
      </c>
      <c r="Q20" s="14">
        <f>IFERROR(__xludf.DUMMYFUNCTION("IF($A20="""","""",LEN(REGEXREPLACE($I20,"",\s?"","""")))"),3.0)</f>
        <v>3</v>
      </c>
      <c r="R20" s="15" t="s">
        <v>138</v>
      </c>
      <c r="S20" s="17" t="s">
        <v>139</v>
      </c>
      <c r="T20" s="14"/>
      <c r="U20" s="14"/>
      <c r="V20" s="14"/>
      <c r="W20" s="14"/>
      <c r="X20" s="14"/>
      <c r="Y20" s="14"/>
      <c r="Z20" s="14"/>
      <c r="AA20" s="14"/>
      <c r="AB20" s="14"/>
    </row>
    <row r="21">
      <c r="A21" s="10" t="s">
        <v>140</v>
      </c>
      <c r="B21" s="10" t="s">
        <v>15</v>
      </c>
      <c r="C21" s="12">
        <v>1.0</v>
      </c>
      <c r="D21" s="12" t="s">
        <v>141</v>
      </c>
      <c r="E21" s="10" t="s">
        <v>142</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Crystal|.*crystal.*b"&amp;"ury""),""Empty-Crystal"","""")&amp;IF(REGEXMATCH($E21,""Move|move""),""Move"","""")"),"Control ")</f>
        <v>Control </v>
      </c>
      <c r="G21" s="13" t="s">
        <v>143</v>
      </c>
      <c r="H21" s="12">
        <v>2.0</v>
      </c>
      <c r="I21" s="12" t="s">
        <v>105</v>
      </c>
      <c r="J21" s="12" t="s">
        <v>33</v>
      </c>
      <c r="L21" s="14" t="str">
        <f>IFERROR(__xludf.DUMMYFUNCTION("IF(REGEXMATCH($B21,L$1),$D21,"""")"),"")</f>
        <v/>
      </c>
      <c r="M21" s="14" t="str">
        <f>IFERROR(__xludf.DUMMYFUNCTION("IF(REGEXMATCH($B21,M$1),$D21,"""")"),"")</f>
        <v/>
      </c>
      <c r="N21" s="14" t="str">
        <f>IFERROR(__xludf.DUMMYFUNCTION("IF(REGEXMATCH($B21,N$1),$D21,"""")"),"")</f>
        <v/>
      </c>
      <c r="O21" s="14" t="str">
        <f>IFERROR(__xludf.DUMMYFUNCTION("IF(REGEXMATCH($B21,O$1),$D21,"""")"),"")</f>
        <v/>
      </c>
      <c r="P21" s="14" t="str">
        <f>IFERROR(__xludf.DUMMYFUNCTION("IF(REGEXMATCH($B21,P$1),$D21,"""")"),"Human Hunter")</f>
        <v>Human Hunter</v>
      </c>
      <c r="Q21" s="14">
        <f>IFERROR(__xludf.DUMMYFUNCTION("IF($A21="""","""",LEN(REGEXREPLACE($I21,"",\s?"","""")))"),2.0)</f>
        <v>2</v>
      </c>
      <c r="R21" s="15" t="s">
        <v>144</v>
      </c>
      <c r="S21" s="17" t="s">
        <v>145</v>
      </c>
      <c r="T21" s="14"/>
      <c r="U21" s="14"/>
      <c r="V21" s="14"/>
      <c r="W21" s="14"/>
      <c r="X21" s="14"/>
      <c r="Y21" s="14"/>
      <c r="Z21" s="14"/>
      <c r="AA21" s="14"/>
      <c r="AB21" s="14"/>
    </row>
    <row r="22">
      <c r="A22" s="10" t="s">
        <v>146</v>
      </c>
      <c r="B22" s="10" t="s">
        <v>15</v>
      </c>
      <c r="C22" s="12">
        <v>1.0</v>
      </c>
      <c r="D22" s="33" t="s">
        <v>147</v>
      </c>
      <c r="E22" s="10" t="s">
        <v>148</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Crystal|.*crystal.*b"&amp;"ury""),""Empty-Crystal"","""")&amp;IF(REGEXMATCH($E22,""Move|move""),""Move"","""")"),"Angel ")</f>
        <v>Angel </v>
      </c>
      <c r="G22" s="13" t="s">
        <v>149</v>
      </c>
      <c r="H22" s="12">
        <v>4.0</v>
      </c>
      <c r="I22" s="12" t="s">
        <v>150</v>
      </c>
      <c r="J22" s="12" t="s">
        <v>69</v>
      </c>
      <c r="L22" s="14" t="str">
        <f>IFERROR(__xludf.DUMMYFUNCTION("IF(REGEXMATCH($B22,L$1),$D22,"""")"),"")</f>
        <v/>
      </c>
      <c r="M22" s="14" t="str">
        <f>IFERROR(__xludf.DUMMYFUNCTION("IF(REGEXMATCH($B22,M$1),$D22,"""")"),"")</f>
        <v/>
      </c>
      <c r="N22" s="14" t="str">
        <f>IFERROR(__xludf.DUMMYFUNCTION("IF(REGEXMATCH($B22,N$1),$D22,"""")"),"")</f>
        <v/>
      </c>
      <c r="O22" s="14" t="str">
        <f>IFERROR(__xludf.DUMMYFUNCTION("IF(REGEXMATCH($B22,O$1),$D22,"""")"),"")</f>
        <v/>
      </c>
      <c r="P22" s="14" t="str">
        <f>IFERROR(__xludf.DUMMYFUNCTION("IF(REGEXMATCH($B22,P$1),$D22,"""")"),"Angel Spirit")</f>
        <v>Angel Spirit</v>
      </c>
      <c r="Q22" s="14">
        <f>IFERROR(__xludf.DUMMYFUNCTION("IF($A22="""","""",LEN(REGEXREPLACE($I22,"",\s?"","""")))"),4.0)</f>
        <v>4</v>
      </c>
      <c r="R22" s="15" t="s">
        <v>151</v>
      </c>
      <c r="S22" s="17" t="s">
        <v>152</v>
      </c>
      <c r="T22" s="14"/>
      <c r="U22" s="14"/>
      <c r="V22" s="14"/>
      <c r="W22" s="14"/>
      <c r="X22" s="14"/>
      <c r="Y22" s="14"/>
      <c r="Z22" s="14"/>
      <c r="AA22" s="14"/>
      <c r="AB22" s="14"/>
    </row>
    <row r="23" hidden="1">
      <c r="A23" s="20" t="s">
        <v>153</v>
      </c>
      <c r="B23" s="20" t="s">
        <v>15</v>
      </c>
      <c r="C23" s="19">
        <v>0.0</v>
      </c>
      <c r="D23" s="19" t="s">
        <v>95</v>
      </c>
      <c r="E23" s="20" t="s">
        <v>154</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Crystal|.*crystal.*b"&amp;"ury""),""Empty-Crystal"","""")&amp;IF(REGEXMATCH($E23,""Move|move""),""Move"","""")"),"Ramp Control ")</f>
        <v>Ramp Control </v>
      </c>
      <c r="G23" s="21" t="s">
        <v>155</v>
      </c>
      <c r="H23" s="19">
        <v>4.0</v>
      </c>
      <c r="I23" s="19" t="s">
        <v>38</v>
      </c>
      <c r="J23" s="19" t="s">
        <v>69</v>
      </c>
      <c r="L23" s="14" t="str">
        <f>IFERROR(__xludf.DUMMYFUNCTION("IF(REGEXMATCH($B23,L$1),$D23,"""")"),"")</f>
        <v/>
      </c>
      <c r="M23" s="14" t="str">
        <f>IFERROR(__xludf.DUMMYFUNCTION("IF(REGEXMATCH($B23,M$1),$D23,"""")"),"")</f>
        <v/>
      </c>
      <c r="N23" s="14" t="str">
        <f>IFERROR(__xludf.DUMMYFUNCTION("IF(REGEXMATCH($B23,N$1),$D23,"""")"),"")</f>
        <v/>
      </c>
      <c r="O23" s="14" t="str">
        <f>IFERROR(__xludf.DUMMYFUNCTION("IF(REGEXMATCH($B23,O$1),$D23,"""")"),"")</f>
        <v/>
      </c>
      <c r="P23" s="14" t="str">
        <f>IFERROR(__xludf.DUMMYFUNCTION("IF(REGEXMATCH($B23,P$1),$D23,"""")"),"Angel Wizard")</f>
        <v>Angel Wizard</v>
      </c>
      <c r="Q23" s="14">
        <f>IFERROR(__xludf.DUMMYFUNCTION("IF($A23="""","""",LEN(REGEXREPLACE($I23,"",\s?"","""")))"),5.0)</f>
        <v>5</v>
      </c>
      <c r="S23" s="14"/>
      <c r="T23" s="14"/>
      <c r="U23" s="14"/>
      <c r="V23" s="14"/>
      <c r="W23" s="14"/>
      <c r="X23" s="14"/>
      <c r="Y23" s="14"/>
      <c r="Z23" s="14"/>
      <c r="AA23" s="14"/>
      <c r="AB23" s="14"/>
    </row>
    <row r="24">
      <c r="A24" s="10" t="s">
        <v>156</v>
      </c>
      <c r="B24" s="10" t="s">
        <v>15</v>
      </c>
      <c r="C24" s="12">
        <v>1.0</v>
      </c>
      <c r="D24" s="12" t="s">
        <v>127</v>
      </c>
      <c r="E24" s="10" t="s">
        <v>157</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Control ")</f>
        <v>Ramp Control </v>
      </c>
      <c r="G24" s="13" t="s">
        <v>158</v>
      </c>
      <c r="H24" s="12">
        <v>3.0</v>
      </c>
      <c r="I24" s="12" t="s">
        <v>98</v>
      </c>
      <c r="J24" s="19" t="s">
        <v>69</v>
      </c>
      <c r="L24" s="14" t="str">
        <f>IFERROR(__xludf.DUMMYFUNCTION("IF(REGEXMATCH($B24,L$1),$D24,"""")"),"")</f>
        <v/>
      </c>
      <c r="M24" s="14" t="str">
        <f>IFERROR(__xludf.DUMMYFUNCTION("IF(REGEXMATCH($B24,M$1),$D24,"""")"),"")</f>
        <v/>
      </c>
      <c r="N24" s="14" t="str">
        <f>IFERROR(__xludf.DUMMYFUNCTION("IF(REGEXMATCH($B24,N$1),$D24,"""")"),"")</f>
        <v/>
      </c>
      <c r="O24" s="14" t="str">
        <f>IFERROR(__xludf.DUMMYFUNCTION("IF(REGEXMATCH($B24,O$1),$D24,"""")"),"")</f>
        <v/>
      </c>
      <c r="P24" s="14" t="str">
        <f>IFERROR(__xludf.DUMMYFUNCTION("IF(REGEXMATCH($B24,P$1),$D24,"""")"),"Animal Construct")</f>
        <v>Animal Construct</v>
      </c>
      <c r="Q24" s="14">
        <f>IFERROR(__xludf.DUMMYFUNCTION("IF($A24="""","""",LEN(REGEXREPLACE($I24,"",\s?"","""")))"),3.0)</f>
        <v>3</v>
      </c>
      <c r="R24" s="30" t="s">
        <v>159</v>
      </c>
      <c r="S24" s="31" t="s">
        <v>160</v>
      </c>
      <c r="T24" s="32"/>
      <c r="U24" s="32"/>
      <c r="V24" s="32"/>
      <c r="W24" s="32"/>
      <c r="X24" s="32"/>
      <c r="Y24" s="32"/>
      <c r="Z24" s="32"/>
      <c r="AA24" s="32"/>
      <c r="AB24" s="32"/>
    </row>
    <row r="25" hidden="1">
      <c r="A25" s="20" t="s">
        <v>161</v>
      </c>
      <c r="B25" s="11" t="s">
        <v>15</v>
      </c>
      <c r="C25" s="12">
        <v>2.0</v>
      </c>
      <c r="D25" s="19" t="s">
        <v>35</v>
      </c>
      <c r="E25" s="20" t="s">
        <v>162</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Crystal|.*crystal.*b"&amp;"ury""),""Empty-Crystal"","""")&amp;IF(REGEXMATCH($E25,""Move|move""),""Move"","""")"),"Angel Ramp ")</f>
        <v>Angel Ramp </v>
      </c>
      <c r="G25" s="21" t="s">
        <v>163</v>
      </c>
      <c r="H25" s="19">
        <v>4.0</v>
      </c>
      <c r="I25" s="19" t="s">
        <v>98</v>
      </c>
      <c r="J25" s="19" t="s">
        <v>69</v>
      </c>
      <c r="L25" s="14" t="str">
        <f>IFERROR(__xludf.DUMMYFUNCTION("IF(REGEXMATCH($B25,L$1),$D25,"""")"),"")</f>
        <v/>
      </c>
      <c r="M25" s="14" t="str">
        <f>IFERROR(__xludf.DUMMYFUNCTION("IF(REGEXMATCH($B25,M$1),$D25,"""")"),"")</f>
        <v/>
      </c>
      <c r="N25" s="14" t="str">
        <f>IFERROR(__xludf.DUMMYFUNCTION("IF(REGEXMATCH($B25,N$1),$D25,"""")"),"")</f>
        <v/>
      </c>
      <c r="O25" s="14" t="str">
        <f>IFERROR(__xludf.DUMMYFUNCTION("IF(REGEXMATCH($B25,O$1),$D25,"""")"),"")</f>
        <v/>
      </c>
      <c r="P25" s="14" t="str">
        <f>IFERROR(__xludf.DUMMYFUNCTION("IF(REGEXMATCH($B25,P$1),$D25,"""")"),"Angel")</f>
        <v>Angel</v>
      </c>
      <c r="Q25" s="14">
        <f>IFERROR(__xludf.DUMMYFUNCTION("IF($A25="""","""",LEN(REGEXREPLACE($I25,"",\s?"","""")))"),3.0)</f>
        <v>3</v>
      </c>
      <c r="S25" s="14"/>
      <c r="T25" s="14"/>
      <c r="U25" s="14"/>
      <c r="V25" s="14"/>
      <c r="W25" s="14"/>
      <c r="X25" s="14"/>
      <c r="Y25" s="14"/>
      <c r="Z25" s="14"/>
      <c r="AA25" s="14"/>
      <c r="AB25" s="14"/>
    </row>
    <row r="26" hidden="1">
      <c r="A26" s="10" t="s">
        <v>164</v>
      </c>
      <c r="B26" s="11" t="s">
        <v>15</v>
      </c>
      <c r="C26" s="12">
        <v>2.0</v>
      </c>
      <c r="D26" s="12" t="s">
        <v>47</v>
      </c>
      <c r="E26" s="10" t="s">
        <v>165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Crystal|.*crystal.*b"&amp;"ury""),""Empty-Crystal"","""")&amp;IF(REGEXMATCH($E26,""Move|move""),""Move"","""")"),"Angel Control ")</f>
        <v>Angel Control </v>
      </c>
      <c r="G26" s="13" t="s">
        <v>166</v>
      </c>
      <c r="H26" s="12">
        <v>2.0</v>
      </c>
      <c r="I26" s="12" t="s">
        <v>56</v>
      </c>
      <c r="J26" s="12" t="s">
        <v>69</v>
      </c>
      <c r="L26" s="14" t="str">
        <f>IFERROR(__xludf.DUMMYFUNCTION("IF(REGEXMATCH($B26,L$1),$D26,"""")"),"")</f>
        <v/>
      </c>
      <c r="M26" s="14" t="str">
        <f>IFERROR(__xludf.DUMMYFUNCTION("IF(REGEXMATCH($B26,M$1),$D26,"""")"),"")</f>
        <v/>
      </c>
      <c r="N26" s="14" t="str">
        <f>IFERROR(__xludf.DUMMYFUNCTION("IF(REGEXMATCH($B26,N$1),$D26,"""")"),"")</f>
        <v/>
      </c>
      <c r="O26" s="14" t="str">
        <f>IFERROR(__xludf.DUMMYFUNCTION("IF(REGEXMATCH($B26,O$1),$D26,"""")"),"")</f>
        <v/>
      </c>
      <c r="P26" s="14" t="str">
        <f>IFERROR(__xludf.DUMMYFUNCTION("IF(REGEXMATCH($B26,P$1),$D26,"""")"),"Angel Warrior")</f>
        <v>Angel Warrior</v>
      </c>
      <c r="Q26" s="14">
        <f>IFERROR(__xludf.DUMMYFUNCTION("IF($A26="""","""",LEN(REGEXREPLACE($I26,"",\s?"","""")))"),3.0)</f>
        <v>3</v>
      </c>
      <c r="S26" s="14"/>
      <c r="T26" s="14"/>
      <c r="U26" s="14"/>
      <c r="V26" s="14"/>
      <c r="W26" s="14"/>
      <c r="X26" s="14"/>
      <c r="Y26" s="14"/>
      <c r="Z26" s="14"/>
      <c r="AA26" s="14"/>
      <c r="AB26" s="14"/>
    </row>
    <row r="27" hidden="1">
      <c r="A27" s="20" t="s">
        <v>167</v>
      </c>
      <c r="B27" s="18" t="s">
        <v>15</v>
      </c>
      <c r="C27" s="19">
        <v>2.0</v>
      </c>
      <c r="D27" s="19" t="s">
        <v>168</v>
      </c>
      <c r="E27" s="34" t="s">
        <v>169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Crystal|.*crystal.*b"&amp;"ury""),""Empty-Crystal"","""")&amp;IF(REGEXMATCH($E27,""Move|move""),""Move"","""")"),"Void Ramp Ascend ")</f>
        <v>Void Ramp Ascend </v>
      </c>
      <c r="G27" s="21" t="s">
        <v>170</v>
      </c>
      <c r="H27" s="19">
        <v>0.0</v>
      </c>
      <c r="I27" s="19" t="s">
        <v>56</v>
      </c>
      <c r="J27" s="19" t="s">
        <v>69</v>
      </c>
      <c r="L27" s="14" t="str">
        <f>IFERROR(__xludf.DUMMYFUNCTION("IF(REGEXMATCH($B27,L$1),$D27,"""")"),"")</f>
        <v/>
      </c>
      <c r="M27" s="14" t="str">
        <f>IFERROR(__xludf.DUMMYFUNCTION("IF(REGEXMATCH($B27,M$1),$D27,"""")"),"")</f>
        <v/>
      </c>
      <c r="N27" s="14" t="str">
        <f>IFERROR(__xludf.DUMMYFUNCTION("IF(REGEXMATCH($B27,N$1),$D27,"""")"),"")</f>
        <v/>
      </c>
      <c r="O27" s="14" t="str">
        <f>IFERROR(__xludf.DUMMYFUNCTION("IF(REGEXMATCH($B27,O$1),$D27,"""")"),"")</f>
        <v/>
      </c>
      <c r="P27" s="14" t="str">
        <f>IFERROR(__xludf.DUMMYFUNCTION("IF(REGEXMATCH($B27,P$1),$D27,"""")"),"Construct Demon")</f>
        <v>Construct Demon</v>
      </c>
      <c r="Q27" s="14">
        <f>IFERROR(__xludf.DUMMYFUNCTION("IF($A27="""","""",LEN(REGEXREPLACE($I27,"",\s?"","""")))"),3.0)</f>
        <v>3</v>
      </c>
      <c r="S27" s="14"/>
      <c r="T27" s="14"/>
      <c r="U27" s="14"/>
      <c r="V27" s="14"/>
      <c r="W27" s="14"/>
      <c r="X27" s="14"/>
      <c r="Y27" s="14"/>
      <c r="Z27" s="14"/>
      <c r="AA27" s="14"/>
      <c r="AB27" s="14"/>
    </row>
    <row r="28">
      <c r="A28" s="20" t="s">
        <v>171</v>
      </c>
      <c r="B28" s="10" t="s">
        <v>15</v>
      </c>
      <c r="C28" s="12">
        <v>1.0</v>
      </c>
      <c r="D28" s="12" t="s">
        <v>77</v>
      </c>
      <c r="E28" s="10" t="s">
        <v>172</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Crystal|.*crystal.*b"&amp;"ury""),""Empty-Crystal"","""")&amp;IF(REGEXMATCH($E28,""Move|move""),""Move"","""")"),"Construct Ramp ")</f>
        <v>Construct Ramp </v>
      </c>
      <c r="G28" s="13" t="s">
        <v>173</v>
      </c>
      <c r="H28" s="12">
        <v>3.0</v>
      </c>
      <c r="I28" s="12" t="s">
        <v>150</v>
      </c>
      <c r="J28" s="12" t="s">
        <v>69</v>
      </c>
      <c r="L28" s="14" t="str">
        <f>IFERROR(__xludf.DUMMYFUNCTION("IF(REGEXMATCH($B28,L$1),$D28,"""")"),"")</f>
        <v/>
      </c>
      <c r="M28" s="14" t="str">
        <f>IFERROR(__xludf.DUMMYFUNCTION("IF(REGEXMATCH($B28,M$1),$D28,"""")"),"")</f>
        <v/>
      </c>
      <c r="N28" s="14" t="str">
        <f>IFERROR(__xludf.DUMMYFUNCTION("IF(REGEXMATCH($B28,N$1),$D28,"""")"),"")</f>
        <v/>
      </c>
      <c r="O28" s="14" t="str">
        <f>IFERROR(__xludf.DUMMYFUNCTION("IF(REGEXMATCH($B28,O$1),$D28,"""")"),"")</f>
        <v/>
      </c>
      <c r="P28" s="14" t="str">
        <f>IFERROR(__xludf.DUMMYFUNCTION("IF(REGEXMATCH($B28,P$1),$D28,"""")"),"Construct")</f>
        <v>Construct</v>
      </c>
      <c r="Q28" s="14">
        <f>IFERROR(__xludf.DUMMYFUNCTION("IF($A28="""","""",LEN(REGEXREPLACE($I28,"",\s?"","""")))"),4.0)</f>
        <v>4</v>
      </c>
      <c r="R28" s="15" t="s">
        <v>174</v>
      </c>
      <c r="S28" s="17" t="s">
        <v>175</v>
      </c>
      <c r="T28" s="14"/>
      <c r="U28" s="14"/>
      <c r="V28" s="14"/>
      <c r="W28" s="14"/>
      <c r="X28" s="14"/>
      <c r="Y28" s="14"/>
      <c r="Z28" s="14"/>
      <c r="AA28" s="14"/>
      <c r="AB28" s="14"/>
    </row>
    <row r="29" hidden="1">
      <c r="A29" s="25" t="s">
        <v>176</v>
      </c>
      <c r="B29" s="11" t="s">
        <v>15</v>
      </c>
      <c r="C29" s="12">
        <v>2.0</v>
      </c>
      <c r="D29" s="12" t="s">
        <v>53</v>
      </c>
      <c r="E29" s="10" t="s">
        <v>177</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Crystal|.*crystal.*b"&amp;"ury""),""Empty-Crystal"","""")&amp;IF(REGEXMATCH($E29,""Move|move""),""Move"","""")"),"Control Aggro ")</f>
        <v>Control Aggro </v>
      </c>
      <c r="G29" s="13" t="s">
        <v>178</v>
      </c>
      <c r="H29" s="12">
        <v>4.0</v>
      </c>
      <c r="I29" s="12" t="s">
        <v>179</v>
      </c>
      <c r="J29" s="12" t="s">
        <v>69</v>
      </c>
      <c r="L29" s="14" t="str">
        <f>IFERROR(__xludf.DUMMYFUNCTION("IF(REGEXMATCH($B29,L$1),$D29,"""")"),"")</f>
        <v/>
      </c>
      <c r="M29" s="14" t="str">
        <f>IFERROR(__xludf.DUMMYFUNCTION("IF(REGEXMATCH($B29,M$1),$D29,"""")"),"")</f>
        <v/>
      </c>
      <c r="N29" s="14" t="str">
        <f>IFERROR(__xludf.DUMMYFUNCTION("IF(REGEXMATCH($B29,N$1),$D29,"""")"),"")</f>
        <v/>
      </c>
      <c r="O29" s="14" t="str">
        <f>IFERROR(__xludf.DUMMYFUNCTION("IF(REGEXMATCH($B29,O$1),$D29,"""")"),"")</f>
        <v/>
      </c>
      <c r="P29" s="14" t="str">
        <f>IFERROR(__xludf.DUMMYFUNCTION("IF(REGEXMATCH($B29,P$1),$D29,"""")"),"Angel Construct")</f>
        <v>Angel Construct</v>
      </c>
      <c r="Q29" s="14">
        <f>IFERROR(__xludf.DUMMYFUNCTION("IF($A29="""","""",LEN(REGEXREPLACE($I29,"",\s?"","""")))"),6.0)</f>
        <v>6</v>
      </c>
      <c r="S29" s="14"/>
      <c r="T29" s="14"/>
      <c r="U29" s="14"/>
      <c r="V29" s="14"/>
      <c r="W29" s="14"/>
      <c r="X29" s="14"/>
      <c r="Y29" s="14"/>
      <c r="Z29" s="14"/>
      <c r="AA29" s="14"/>
      <c r="AB29" s="14"/>
    </row>
    <row r="30">
      <c r="A30" s="25" t="s">
        <v>180</v>
      </c>
      <c r="B30" s="10" t="s">
        <v>15</v>
      </c>
      <c r="C30" s="12">
        <v>1.0</v>
      </c>
      <c r="D30" s="12" t="s">
        <v>77</v>
      </c>
      <c r="E30" s="20" t="s">
        <v>181</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Ramp ")</f>
        <v>Construct Ramp </v>
      </c>
      <c r="G30" s="13" t="s">
        <v>182</v>
      </c>
      <c r="H30" s="12">
        <v>6.0</v>
      </c>
      <c r="I30" s="12" t="s">
        <v>183</v>
      </c>
      <c r="J30" s="19" t="s">
        <v>69</v>
      </c>
      <c r="L30" s="14" t="str">
        <f>IFERROR(__xludf.DUMMYFUNCTION("IF(REGEXMATCH($B30,L$1),$D30,"""")"),"")</f>
        <v/>
      </c>
      <c r="M30" s="14" t="str">
        <f>IFERROR(__xludf.DUMMYFUNCTION("IF(REGEXMATCH($B30,M$1),$D30,"""")"),"")</f>
        <v/>
      </c>
      <c r="N30" s="14" t="str">
        <f>IFERROR(__xludf.DUMMYFUNCTION("IF(REGEXMATCH($B30,N$1),$D30,"""")"),"")</f>
        <v/>
      </c>
      <c r="O30" s="14" t="str">
        <f>IFERROR(__xludf.DUMMYFUNCTION("IF(REGEXMATCH($B30,O$1),$D30,"""")"),"")</f>
        <v/>
      </c>
      <c r="P30" s="14" t="str">
        <f>IFERROR(__xludf.DUMMYFUNCTION("IF(REGEXMATCH($B30,P$1),$D30,"""")"),"Construct")</f>
        <v>Construct</v>
      </c>
      <c r="Q30" s="14">
        <f>IFERROR(__xludf.DUMMYFUNCTION("IF($A30="""","""",LEN(REGEXREPLACE($I30,"",\s?"","""")))"),7.0)</f>
        <v>7</v>
      </c>
      <c r="R30" s="15" t="s">
        <v>184</v>
      </c>
      <c r="S30" s="17" t="s">
        <v>185</v>
      </c>
      <c r="T30" s="14"/>
      <c r="U30" s="14"/>
      <c r="V30" s="14"/>
      <c r="W30" s="14"/>
      <c r="X30" s="14"/>
      <c r="Y30" s="14"/>
      <c r="Z30" s="14"/>
      <c r="AA30" s="14"/>
      <c r="AB30" s="14"/>
    </row>
    <row r="31">
      <c r="A31" s="25" t="s">
        <v>186</v>
      </c>
      <c r="B31" s="10" t="s">
        <v>15</v>
      </c>
      <c r="C31" s="12">
        <v>1.0</v>
      </c>
      <c r="D31" s="12" t="s">
        <v>187</v>
      </c>
      <c r="E31" s="10" t="s">
        <v>188</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f>
        <v>Ramp </v>
      </c>
      <c r="G31" s="13" t="s">
        <v>189</v>
      </c>
      <c r="H31" s="12">
        <v>2.0</v>
      </c>
      <c r="I31" s="12" t="s">
        <v>150</v>
      </c>
      <c r="J31" s="12" t="s">
        <v>33</v>
      </c>
      <c r="L31" s="14" t="str">
        <f>IFERROR(__xludf.DUMMYFUNCTION("IF(REGEXMATCH($B31,L$1),$D31,"""")"),"")</f>
        <v/>
      </c>
      <c r="M31" s="14" t="str">
        <f>IFERROR(__xludf.DUMMYFUNCTION("IF(REGEXMATCH($B31,M$1),$D31,"""")"),"")</f>
        <v/>
      </c>
      <c r="N31" s="14" t="str">
        <f>IFERROR(__xludf.DUMMYFUNCTION("IF(REGEXMATCH($B31,N$1),$D31,"""")"),"")</f>
        <v/>
      </c>
      <c r="O31" s="14" t="str">
        <f>IFERROR(__xludf.DUMMYFUNCTION("IF(REGEXMATCH($B31,O$1),$D31,"""")"),"")</f>
        <v/>
      </c>
      <c r="P31" s="14" t="str">
        <f>IFERROR(__xludf.DUMMYFUNCTION("IF(REGEXMATCH($B31,P$1),$D31,"""")"),"Angel Plant")</f>
        <v>Angel Plant</v>
      </c>
      <c r="Q31" s="14">
        <f>IFERROR(__xludf.DUMMYFUNCTION("IF($A31="""","""",LEN(REGEXREPLACE($I31,"",\s?"","""")))"),4.0)</f>
        <v>4</v>
      </c>
      <c r="R31" s="15" t="s">
        <v>190</v>
      </c>
      <c r="S31" s="17" t="s">
        <v>191</v>
      </c>
      <c r="T31" s="14"/>
      <c r="U31" s="14"/>
      <c r="V31" s="14"/>
      <c r="W31" s="14"/>
      <c r="X31" s="14"/>
      <c r="Y31" s="14"/>
      <c r="Z31" s="14"/>
      <c r="AA31" s="14"/>
      <c r="AB31" s="14"/>
    </row>
    <row r="32">
      <c r="A32" s="10" t="s">
        <v>192</v>
      </c>
      <c r="B32" s="10" t="s">
        <v>15</v>
      </c>
      <c r="C32" s="12">
        <v>1.0</v>
      </c>
      <c r="D32" s="12" t="s">
        <v>193</v>
      </c>
      <c r="E32" s="20" t="s">
        <v>194</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Crystal|.*crystal.*b"&amp;"ury""),""Empty-Crystal"","""")&amp;IF(REGEXMATCH($E32,""Move|move""),""Move"","""")"),"Divine ")</f>
        <v>Divine </v>
      </c>
      <c r="G32" s="21" t="s">
        <v>195</v>
      </c>
      <c r="H32" s="12">
        <v>2.0</v>
      </c>
      <c r="I32" s="12" t="s">
        <v>32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IFERROR(__xludf.DUMMYFUNCTION("IF(REGEXMATCH($B32,P$1),$D32,"""")"),"Undead Warrior")</f>
        <v>Undead Warrior</v>
      </c>
      <c r="Q32" s="14">
        <f>IFERROR(__xludf.DUMMYFUNCTION("IF($A32="""","""",LEN(REGEXREPLACE($I32,"",\s?"","""")))"),1.0)</f>
        <v>1</v>
      </c>
      <c r="R32" s="15" t="s">
        <v>196</v>
      </c>
      <c r="S32" s="17" t="s">
        <v>197</v>
      </c>
      <c r="T32" s="14"/>
      <c r="U32" s="14"/>
      <c r="V32" s="14"/>
      <c r="W32" s="14"/>
      <c r="X32" s="14"/>
      <c r="Y32" s="14"/>
      <c r="Z32" s="14"/>
      <c r="AA32" s="14"/>
      <c r="AB32" s="14"/>
    </row>
    <row r="33" hidden="1">
      <c r="A33" s="20" t="s">
        <v>198</v>
      </c>
      <c r="B33" s="11" t="s">
        <v>15</v>
      </c>
      <c r="C33" s="12">
        <v>2.0</v>
      </c>
      <c r="D33" s="19" t="s">
        <v>77</v>
      </c>
      <c r="E33" s="20" t="s">
        <v>199</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Crystal|.*crystal.*b"&amp;"ury""),""Empty-Crystal"","""")&amp;IF(REGEXMATCH($E33,""Move|move""),""Move"","""")"),"Construct ")</f>
        <v>Construct </v>
      </c>
      <c r="G33" s="21" t="s">
        <v>200</v>
      </c>
      <c r="H33" s="19">
        <v>1.0</v>
      </c>
      <c r="I33" s="19" t="s">
        <v>32</v>
      </c>
      <c r="J33" s="19" t="s">
        <v>69</v>
      </c>
      <c r="L33" s="14" t="str">
        <f>IFERROR(__xludf.DUMMYFUNCTION("IF(REGEXMATCH($B33,L$1),$D33,"""")"),"")</f>
        <v/>
      </c>
      <c r="M33" s="14" t="str">
        <f>IFERROR(__xludf.DUMMYFUNCTION("IF(REGEXMATCH($B33,M$1),$D33,"""")"),"")</f>
        <v/>
      </c>
      <c r="N33" s="14" t="str">
        <f>IFERROR(__xludf.DUMMYFUNCTION("IF(REGEXMATCH($B33,N$1),$D33,"""")"),"")</f>
        <v/>
      </c>
      <c r="O33" s="14" t="str">
        <f>IFERROR(__xludf.DUMMYFUNCTION("IF(REGEXMATCH($B33,O$1),$D33,"""")"),"")</f>
        <v/>
      </c>
      <c r="P33" s="14" t="str">
        <f>IFERROR(__xludf.DUMMYFUNCTION("IF(REGEXMATCH($B33,P$1),$D33,"""")"),"Construct")</f>
        <v>Construct</v>
      </c>
      <c r="Q33" s="14">
        <f>IFERROR(__xludf.DUMMYFUNCTION("IF($A33="""","""",LEN(REGEXREPLACE($I33,"",\s?"","""")))"),1.0)</f>
        <v>1</v>
      </c>
      <c r="S33" s="14"/>
      <c r="T33" s="14"/>
      <c r="U33" s="14"/>
      <c r="V33" s="14"/>
      <c r="W33" s="14"/>
      <c r="X33" s="14"/>
      <c r="Y33" s="14"/>
      <c r="Z33" s="14"/>
      <c r="AA33" s="14"/>
      <c r="AB33" s="14"/>
    </row>
    <row r="34">
      <c r="A34" s="10" t="s">
        <v>201</v>
      </c>
      <c r="B34" s="10" t="s">
        <v>15</v>
      </c>
      <c r="C34" s="12">
        <v>1.0</v>
      </c>
      <c r="D34" s="12" t="s">
        <v>110</v>
      </c>
      <c r="E34" s="10" t="s">
        <v>202</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f>
        <v/>
      </c>
      <c r="G34" s="13" t="s">
        <v>203</v>
      </c>
      <c r="H34" s="12">
        <v>0.0</v>
      </c>
      <c r="I34" s="12" t="s">
        <v>56</v>
      </c>
      <c r="J34" s="12" t="s">
        <v>39</v>
      </c>
      <c r="L34" s="14" t="str">
        <f>IFERROR(__xludf.DUMMYFUNCTION("IF(REGEXMATCH($B34,L$1),$D34,"""")"),"")</f>
        <v/>
      </c>
      <c r="M34" s="14" t="str">
        <f>IFERROR(__xludf.DUMMYFUNCTION("IF(REGEXMATCH($B34,M$1),$D34,"""")"),"")</f>
        <v/>
      </c>
      <c r="N34" s="14" t="str">
        <f>IFERROR(__xludf.DUMMYFUNCTION("IF(REGEXMATCH($B34,N$1),$D34,"""")"),"")</f>
        <v/>
      </c>
      <c r="O34" s="14" t="str">
        <f>IFERROR(__xludf.DUMMYFUNCTION("IF(REGEXMATCH($B34,O$1),$D34,"""")"),"")</f>
        <v/>
      </c>
      <c r="P34" s="14" t="str">
        <f>IFERROR(__xludf.DUMMYFUNCTION("IF(REGEXMATCH($B34,P$1),$D34,"""")"),"Animal")</f>
        <v>Animal</v>
      </c>
      <c r="Q34" s="14">
        <f>IFERROR(__xludf.DUMMYFUNCTION("IF($A34="""","""",LEN(REGEXREPLACE($I34,"",\s?"","""")))"),3.0)</f>
        <v>3</v>
      </c>
      <c r="R34" s="15" t="s">
        <v>204</v>
      </c>
      <c r="S34" s="17" t="s">
        <v>205</v>
      </c>
      <c r="T34" s="14"/>
      <c r="U34" s="14"/>
      <c r="V34" s="14"/>
      <c r="W34" s="14"/>
      <c r="X34" s="14"/>
      <c r="Y34" s="14"/>
      <c r="Z34" s="14"/>
      <c r="AA34" s="14"/>
      <c r="AB34" s="14"/>
    </row>
    <row r="35">
      <c r="A35" s="10" t="s">
        <v>206</v>
      </c>
      <c r="B35" s="10" t="s">
        <v>15</v>
      </c>
      <c r="C35" s="12">
        <v>1.0</v>
      </c>
      <c r="D35" s="12" t="s">
        <v>127</v>
      </c>
      <c r="E35" s="10" t="s">
        <v>207</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f>
        <v/>
      </c>
      <c r="G35" s="13" t="s">
        <v>208</v>
      </c>
      <c r="H35" s="12">
        <v>4.0</v>
      </c>
      <c r="I35" s="12" t="s">
        <v>150</v>
      </c>
      <c r="J35" s="12" t="s">
        <v>33</v>
      </c>
      <c r="L35" s="14" t="str">
        <f>IFERROR(__xludf.DUMMYFUNCTION("IF(REGEXMATCH($B35,L$1),$D35,"""")"),"")</f>
        <v/>
      </c>
      <c r="M35" s="14" t="str">
        <f>IFERROR(__xludf.DUMMYFUNCTION("IF(REGEXMATCH($B35,M$1),$D35,"""")"),"")</f>
        <v/>
      </c>
      <c r="N35" s="14" t="str">
        <f>IFERROR(__xludf.DUMMYFUNCTION("IF(REGEXMATCH($B35,N$1),$D35,"""")"),"")</f>
        <v/>
      </c>
      <c r="O35" s="14" t="str">
        <f>IFERROR(__xludf.DUMMYFUNCTION("IF(REGEXMATCH($B35,O$1),$D35,"""")"),"")</f>
        <v/>
      </c>
      <c r="P35" s="14" t="str">
        <f>IFERROR(__xludf.DUMMYFUNCTION("IF(REGEXMATCH($B35,P$1),$D35,"""")"),"Animal Construct")</f>
        <v>Animal Construct</v>
      </c>
      <c r="Q35" s="14">
        <f>IFERROR(__xludf.DUMMYFUNCTION("IF($A35="""","""",LEN(REGEXREPLACE($I35,"",\s?"","""")))"),4.0)</f>
        <v>4</v>
      </c>
      <c r="R35" s="15" t="s">
        <v>209</v>
      </c>
      <c r="S35" s="17" t="s">
        <v>210</v>
      </c>
      <c r="T35" s="14"/>
      <c r="U35" s="14"/>
      <c r="V35" s="14"/>
      <c r="W35" s="14"/>
      <c r="X35" s="14"/>
      <c r="Y35" s="14"/>
      <c r="Z35" s="14"/>
      <c r="AA35" s="14"/>
      <c r="AB35" s="14"/>
    </row>
    <row r="36" hidden="1">
      <c r="A36" s="20" t="s">
        <v>211</v>
      </c>
      <c r="B36" s="18" t="s">
        <v>15</v>
      </c>
      <c r="C36" s="19">
        <v>2.0</v>
      </c>
      <c r="D36" s="19" t="s">
        <v>44</v>
      </c>
      <c r="E36" s="20" t="s">
        <v>212</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Crystal|.*crystal.*b"&amp;"ury""),""Empty-Crystal"","""")&amp;IF(REGEXMATCH($E36,""Move|move""),""Move"","""")"),"Construct Warrior Angel Ascend ")</f>
        <v>Construct Warrior Angel Ascend </v>
      </c>
      <c r="G36" s="21" t="s">
        <v>31</v>
      </c>
      <c r="H36" s="19">
        <v>0.0</v>
      </c>
      <c r="I36" s="19" t="s">
        <v>98</v>
      </c>
      <c r="J36" s="19" t="s">
        <v>33</v>
      </c>
      <c r="L36" s="14" t="str">
        <f>IFERROR(__xludf.DUMMYFUNCTION("IF(REGEXMATCH($B36,L$1),$D36,"""")"),"")</f>
        <v/>
      </c>
      <c r="M36" s="14" t="str">
        <f>IFERROR(__xludf.DUMMYFUNCTION("IF(REGEXMATCH($B36,M$1),$D36,"""")"),"")</f>
        <v/>
      </c>
      <c r="N36" s="14" t="str">
        <f>IFERROR(__xludf.DUMMYFUNCTION("IF(REGEXMATCH($B36,N$1),$D36,"""")"),"")</f>
        <v/>
      </c>
      <c r="O36" s="14" t="str">
        <f>IFERROR(__xludf.DUMMYFUNCTION("IF(REGEXMATCH($B36,O$1),$D36,"""")"),"")</f>
        <v/>
      </c>
      <c r="P36" s="14" t="str">
        <f>IFERROR(__xludf.DUMMYFUNCTION("IF(REGEXMATCH($B36,P$1),$D36,"""")"),"Human")</f>
        <v>Human</v>
      </c>
      <c r="Q36" s="14">
        <f>IFERROR(__xludf.DUMMYFUNCTION("IF($A36="""","""",LEN(REGEXREPLACE($I36,"",\s?"","""")))"),3.0)</f>
        <v>3</v>
      </c>
      <c r="S36" s="14"/>
      <c r="T36" s="14"/>
      <c r="U36" s="14"/>
      <c r="V36" s="14"/>
      <c r="W36" s="14"/>
      <c r="X36" s="14"/>
      <c r="Y36" s="14"/>
      <c r="Z36" s="14"/>
      <c r="AA36" s="14"/>
      <c r="AB36" s="14"/>
    </row>
    <row r="37" hidden="1">
      <c r="A37" s="20" t="s">
        <v>213</v>
      </c>
      <c r="B37" s="18" t="s">
        <v>15</v>
      </c>
      <c r="C37" s="19">
        <v>2.0</v>
      </c>
      <c r="D37" s="19" t="s">
        <v>53</v>
      </c>
      <c r="E37" s="35" t="s">
        <v>214</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Crystal|.*crystal.*b"&amp;"ury""),""Empty-Crystal"","""")&amp;IF(REGEXMATCH($E37,""Move|move""),""Move"","""")"),"Construct Angel Ramp ")</f>
        <v>Construct Angel Ramp </v>
      </c>
      <c r="G37" s="21" t="s">
        <v>215</v>
      </c>
      <c r="H37" s="19">
        <v>8.0</v>
      </c>
      <c r="I37" s="19" t="s">
        <v>216</v>
      </c>
      <c r="J37" s="19" t="s">
        <v>39</v>
      </c>
      <c r="L37" s="14" t="str">
        <f>IFERROR(__xludf.DUMMYFUNCTION("IF(REGEXMATCH($B37,L$1),$D37,"""")"),"")</f>
        <v/>
      </c>
      <c r="M37" s="14" t="str">
        <f>IFERROR(__xludf.DUMMYFUNCTION("IF(REGEXMATCH($B37,M$1),$D37,"""")"),"")</f>
        <v/>
      </c>
      <c r="N37" s="14" t="str">
        <f>IFERROR(__xludf.DUMMYFUNCTION("IF(REGEXMATCH($B37,N$1),$D37,"""")"),"")</f>
        <v/>
      </c>
      <c r="O37" s="14" t="str">
        <f>IFERROR(__xludf.DUMMYFUNCTION("IF(REGEXMATCH($B37,O$1),$D37,"""")"),"")</f>
        <v/>
      </c>
      <c r="P37" s="14" t="str">
        <f>IFERROR(__xludf.DUMMYFUNCTION("IF(REGEXMATCH($B37,P$1),$D37,"""")"),"Angel Construct")</f>
        <v>Angel Construct</v>
      </c>
      <c r="Q37" s="14">
        <f>IFERROR(__xludf.DUMMYFUNCTION("IF($A37="""","""",LEN(REGEXREPLACE($I37,"",\s?"","""")))"),7.0)</f>
        <v>7</v>
      </c>
      <c r="S37" s="14"/>
      <c r="T37" s="14"/>
      <c r="U37" s="14"/>
      <c r="V37" s="14"/>
      <c r="W37" s="14"/>
      <c r="X37" s="14"/>
      <c r="Y37" s="14"/>
      <c r="Z37" s="14"/>
      <c r="AA37" s="14"/>
      <c r="AB37" s="14"/>
    </row>
    <row r="38" hidden="1">
      <c r="A38" s="20" t="s">
        <v>217</v>
      </c>
      <c r="B38" s="20" t="s">
        <v>15</v>
      </c>
      <c r="C38" s="19">
        <v>2.0</v>
      </c>
      <c r="D38" s="19" t="s">
        <v>47</v>
      </c>
      <c r="E38" s="20" t="s">
        <v>218</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Crystal|.*crystal.*b"&amp;"ury""),""Empty-Crystal"","""")&amp;IF(REGEXMATCH($E38,""Move|move""),""Move"","""")"),"Move")</f>
        <v>Move</v>
      </c>
      <c r="G38" s="21" t="s">
        <v>219</v>
      </c>
      <c r="H38" s="19">
        <v>5.0</v>
      </c>
      <c r="I38" s="12" t="s">
        <v>38</v>
      </c>
      <c r="J38" s="12" t="s">
        <v>69</v>
      </c>
      <c r="L38" s="14" t="str">
        <f>IFERROR(__xludf.DUMMYFUNCTION("IF(REGEXMATCH($B38,L$1),$D38,"""")"),"")</f>
        <v/>
      </c>
      <c r="M38" s="14" t="str">
        <f>IFERROR(__xludf.DUMMYFUNCTION("IF(REGEXMATCH($B38,M$1),$D38,"""")"),"")</f>
        <v/>
      </c>
      <c r="N38" s="14" t="str">
        <f>IFERROR(__xludf.DUMMYFUNCTION("IF(REGEXMATCH($B38,N$1),$D38,"""")"),"")</f>
        <v/>
      </c>
      <c r="O38" s="14" t="str">
        <f>IFERROR(__xludf.DUMMYFUNCTION("IF(REGEXMATCH($B38,O$1),$D38,"""")"),"")</f>
        <v/>
      </c>
      <c r="P38" s="14" t="str">
        <f>IFERROR(__xludf.DUMMYFUNCTION("IF(REGEXMATCH($B38,P$1),$D38,"""")"),"Angel Warrior")</f>
        <v>Angel Warrior</v>
      </c>
      <c r="Q38" s="14">
        <f>IFERROR(__xludf.DUMMYFUNCTION("IF($A38="""","""",LEN(REGEXREPLACE($I38,"",\s?"","""")))"),5.0)</f>
        <v>5</v>
      </c>
      <c r="S38" s="14"/>
      <c r="T38" s="14"/>
      <c r="U38" s="14"/>
      <c r="V38" s="14"/>
      <c r="W38" s="14"/>
      <c r="X38" s="14"/>
      <c r="Y38" s="14"/>
      <c r="Z38" s="14"/>
      <c r="AA38" s="14"/>
      <c r="AB38" s="14"/>
    </row>
    <row r="39" hidden="1">
      <c r="A39" s="28" t="s">
        <v>220</v>
      </c>
      <c r="B39" s="18" t="s">
        <v>15</v>
      </c>
      <c r="C39" s="19">
        <v>2.0</v>
      </c>
      <c r="D39" s="19" t="s">
        <v>221</v>
      </c>
      <c r="E39" s="20" t="s">
        <v>222</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f>
        <v/>
      </c>
      <c r="G39" s="21" t="s">
        <v>223</v>
      </c>
      <c r="H39" s="19">
        <v>2.0</v>
      </c>
      <c r="I39" s="19" t="s">
        <v>105</v>
      </c>
      <c r="J39" s="19" t="s">
        <v>69</v>
      </c>
      <c r="L39" s="14" t="str">
        <f>IFERROR(__xludf.DUMMYFUNCTION("IF(REGEXMATCH($B39,L$1),$D39,"""")"),"")</f>
        <v/>
      </c>
      <c r="M39" s="14" t="str">
        <f>IFERROR(__xludf.DUMMYFUNCTION("IF(REGEXMATCH($B39,M$1),$D39,"""")"),"")</f>
        <v/>
      </c>
      <c r="N39" s="14" t="str">
        <f>IFERROR(__xludf.DUMMYFUNCTION("IF(REGEXMATCH($B39,N$1),$D39,"""")"),"")</f>
        <v/>
      </c>
      <c r="O39" s="14" t="str">
        <f>IFERROR(__xludf.DUMMYFUNCTION("IF(REGEXMATCH($B39,O$1),$D39,"""")"),"")</f>
        <v/>
      </c>
      <c r="P39" s="14" t="str">
        <f>IFERROR(__xludf.DUMMYFUNCTION("IF(REGEXMATCH($B39,P$1),$D39,"""")"),"Animal Spirit")</f>
        <v>Animal Spirit</v>
      </c>
      <c r="Q39" s="14">
        <f>IFERROR(__xludf.DUMMYFUNCTION("IF($A39="""","""",LEN(REGEXREPLACE($I39,"",\s?"","""")))"),2.0)</f>
        <v>2</v>
      </c>
      <c r="S39" s="14"/>
      <c r="T39" s="14"/>
      <c r="U39" s="14"/>
      <c r="V39" s="14"/>
      <c r="W39" s="14"/>
      <c r="X39" s="14"/>
      <c r="Y39" s="14"/>
      <c r="Z39" s="14"/>
      <c r="AA39" s="14"/>
      <c r="AB39" s="14"/>
    </row>
    <row r="40">
      <c r="A40" s="10" t="s">
        <v>224</v>
      </c>
      <c r="B40" s="10" t="s">
        <v>15</v>
      </c>
      <c r="C40" s="12">
        <v>1.0</v>
      </c>
      <c r="D40" s="12" t="s">
        <v>225</v>
      </c>
      <c r="E40" s="10"/>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f>
        <v/>
      </c>
      <c r="G40" s="13" t="s">
        <v>226</v>
      </c>
      <c r="H40" s="12">
        <v>4.0</v>
      </c>
      <c r="I40" s="12" t="s">
        <v>227</v>
      </c>
      <c r="J40" s="12" t="s">
        <v>33</v>
      </c>
      <c r="L40" s="14" t="str">
        <f>IFERROR(__xludf.DUMMYFUNCTION("IF(REGEXMATCH($B40,L$1),$D40,"""")"),"")</f>
        <v/>
      </c>
      <c r="M40" s="14" t="str">
        <f>IFERROR(__xludf.DUMMYFUNCTION("IF(REGEXMATCH($B40,M$1),$D40,"""")"),"")</f>
        <v/>
      </c>
      <c r="N40" s="14" t="str">
        <f>IFERROR(__xludf.DUMMYFUNCTION("IF(REGEXMATCH($B40,N$1),$D40,"""")"),"")</f>
        <v/>
      </c>
      <c r="O40" s="14" t="str">
        <f>IFERROR(__xludf.DUMMYFUNCTION("IF(REGEXMATCH($B40,O$1),$D40,"""")"),"")</f>
        <v/>
      </c>
      <c r="P40" s="14" t="str">
        <f>IFERROR(__xludf.DUMMYFUNCTION("IF(REGEXMATCH($B40,P$1),$D40,"""")"),"Angel Animal")</f>
        <v>Angel Animal</v>
      </c>
      <c r="Q40" s="14">
        <f>IFERROR(__xludf.DUMMYFUNCTION("IF($A40="""","""",LEN(REGEXREPLACE($I40,"",\s?"","""")))"),4.0)</f>
        <v>4</v>
      </c>
      <c r="R40" s="15" t="s">
        <v>228</v>
      </c>
      <c r="S40" s="17" t="s">
        <v>229</v>
      </c>
      <c r="T40" s="14"/>
      <c r="U40" s="14"/>
      <c r="V40" s="14"/>
      <c r="W40" s="14"/>
      <c r="X40" s="14"/>
      <c r="Y40" s="14"/>
      <c r="Z40" s="14"/>
      <c r="AA40" s="14"/>
      <c r="AB40" s="14"/>
    </row>
    <row r="41">
      <c r="A41" s="10" t="s">
        <v>230</v>
      </c>
      <c r="B41" s="10" t="s">
        <v>15</v>
      </c>
      <c r="C41" s="12">
        <v>1.0</v>
      </c>
      <c r="D41" s="12" t="s">
        <v>231</v>
      </c>
      <c r="E41" s="10" t="s">
        <v>232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Crystal|.*crystal.*b"&amp;"ury""),""Empty-Crystal"","""")&amp;IF(REGEXMATCH($E41,""Move|move""),""Move"","""")"),"Warrior Demon Demon ")</f>
        <v>Warrior Demon Demon </v>
      </c>
      <c r="G41" s="13" t="s">
        <v>233</v>
      </c>
      <c r="H41" s="12">
        <v>3.0</v>
      </c>
      <c r="I41" s="12" t="s">
        <v>227</v>
      </c>
      <c r="J41" s="12" t="s">
        <v>69</v>
      </c>
      <c r="L41" s="14" t="str">
        <f>IFERROR(__xludf.DUMMYFUNCTION("IF(REGEXMATCH($B41,L$1),$D41,"""")"),"")</f>
        <v/>
      </c>
      <c r="M41" s="14" t="str">
        <f>IFERROR(__xludf.DUMMYFUNCTION("IF(REGEXMATCH($B41,M$1),$D41,"""")"),"")</f>
        <v/>
      </c>
      <c r="N41" s="14" t="str">
        <f>IFERROR(__xludf.DUMMYFUNCTION("IF(REGEXMATCH($B41,N$1),$D41,"""")"),"")</f>
        <v/>
      </c>
      <c r="O41" s="14" t="str">
        <f>IFERROR(__xludf.DUMMYFUNCTION("IF(REGEXMATCH($B41,O$1),$D41,"""")"),"")</f>
        <v/>
      </c>
      <c r="P41" s="14" t="str">
        <f>IFERROR(__xludf.DUMMYFUNCTION("IF(REGEXMATCH($B41,P$1),$D41,"""")"),"Angel Hunter")</f>
        <v>Angel Hunter</v>
      </c>
      <c r="Q41" s="14">
        <f>IFERROR(__xludf.DUMMYFUNCTION("IF($A41="""","""",LEN(REGEXREPLACE($I41,"",\s?"","""")))"),4.0)</f>
        <v>4</v>
      </c>
      <c r="R41" s="15" t="s">
        <v>234</v>
      </c>
      <c r="S41" s="17" t="s">
        <v>235</v>
      </c>
      <c r="T41" s="17" t="s">
        <v>236</v>
      </c>
      <c r="U41" s="14"/>
      <c r="V41" s="14"/>
      <c r="W41" s="14"/>
      <c r="X41" s="14"/>
      <c r="Y41" s="14"/>
      <c r="Z41" s="14"/>
      <c r="AA41" s="14"/>
      <c r="AB41" s="14"/>
    </row>
    <row r="42" hidden="1">
      <c r="A42" s="36" t="s">
        <v>237</v>
      </c>
      <c r="B42" s="11" t="s">
        <v>15</v>
      </c>
      <c r="C42" s="12">
        <v>2.0</v>
      </c>
      <c r="D42" s="12" t="s">
        <v>77</v>
      </c>
      <c r="E42" s="10" t="s">
        <v>238</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Ascend ")</f>
        <v>Construct Ascend </v>
      </c>
      <c r="G42" s="13" t="s">
        <v>31</v>
      </c>
      <c r="H42" s="12">
        <v>3.0</v>
      </c>
      <c r="I42" s="12" t="s">
        <v>150</v>
      </c>
      <c r="J42" s="12" t="s">
        <v>69</v>
      </c>
      <c r="L42" s="14" t="str">
        <f>IFERROR(__xludf.DUMMYFUNCTION("IF(REGEXMATCH($B42,L$1),$D42,"""")"),"")</f>
        <v/>
      </c>
      <c r="M42" s="14" t="str">
        <f>IFERROR(__xludf.DUMMYFUNCTION("IF(REGEXMATCH($B42,M$1),$D42,"""")"),"")</f>
        <v/>
      </c>
      <c r="N42" s="14" t="str">
        <f>IFERROR(__xludf.DUMMYFUNCTION("IF(REGEXMATCH($B42,N$1),$D42,"""")"),"")</f>
        <v/>
      </c>
      <c r="O42" s="14" t="str">
        <f>IFERROR(__xludf.DUMMYFUNCTION("IF(REGEXMATCH($B42,O$1),$D42,"""")"),"")</f>
        <v/>
      </c>
      <c r="P42" s="14" t="str">
        <f>IFERROR(__xludf.DUMMYFUNCTION("IF(REGEXMATCH($B42,P$1),$D42,"""")"),"Construct")</f>
        <v>Construct</v>
      </c>
      <c r="Q42" s="14">
        <f>IFERROR(__xludf.DUMMYFUNCTION("IF($A42="""","""",LEN(REGEXREPLACE($I42,"",\s?"","""")))"),4.0)</f>
        <v>4</v>
      </c>
      <c r="S42" s="14"/>
      <c r="T42" s="14"/>
      <c r="U42" s="14"/>
      <c r="V42" s="14"/>
      <c r="W42" s="14"/>
      <c r="X42" s="14"/>
      <c r="Y42" s="14"/>
      <c r="Z42" s="14"/>
      <c r="AA42" s="14"/>
      <c r="AB42" s="14"/>
    </row>
    <row r="43">
      <c r="A43" s="10" t="s">
        <v>239</v>
      </c>
      <c r="B43" s="10" t="s">
        <v>15</v>
      </c>
      <c r="C43" s="12">
        <v>1.0</v>
      </c>
      <c r="D43" s="12" t="s">
        <v>240</v>
      </c>
      <c r="E43" s="34" t="s">
        <v>241</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f>
        <v>Divine </v>
      </c>
      <c r="G43" s="13" t="s">
        <v>242</v>
      </c>
      <c r="H43" s="12">
        <v>6.0</v>
      </c>
      <c r="I43" s="12" t="s">
        <v>63</v>
      </c>
      <c r="J43" s="12" t="s">
        <v>33</v>
      </c>
      <c r="L43" s="14" t="str">
        <f>IFERROR(__xludf.DUMMYFUNCTION("IF(REGEXMATCH($B43,L$1),$D43,"""")"),"")</f>
        <v/>
      </c>
      <c r="M43" s="14" t="str">
        <f>IFERROR(__xludf.DUMMYFUNCTION("IF(REGEXMATCH($B43,M$1),$D43,"""")"),"")</f>
        <v/>
      </c>
      <c r="N43" s="14" t="str">
        <f>IFERROR(__xludf.DUMMYFUNCTION("IF(REGEXMATCH($B43,N$1),$D43,"""")"),"")</f>
        <v/>
      </c>
      <c r="O43" s="14" t="str">
        <f>IFERROR(__xludf.DUMMYFUNCTION("IF(REGEXMATCH($B43,O$1),$D43,"""")"),"")</f>
        <v/>
      </c>
      <c r="P43" s="14" t="str">
        <f>IFERROR(__xludf.DUMMYFUNCTION("IF(REGEXMATCH($B43,P$1),$D43,"""")"),"Construct Warrior")</f>
        <v>Construct Warrior</v>
      </c>
      <c r="Q43" s="14">
        <f>IFERROR(__xludf.DUMMYFUNCTION("IF($A43="""","""",LEN(REGEXREPLACE($I43,"",\s?"","""")))"),6.0)</f>
        <v>6</v>
      </c>
      <c r="R43" s="15" t="s">
        <v>243</v>
      </c>
      <c r="S43" s="17" t="s">
        <v>244</v>
      </c>
      <c r="T43" s="14"/>
      <c r="U43" s="14"/>
      <c r="V43" s="14"/>
      <c r="W43" s="14"/>
      <c r="X43" s="14"/>
      <c r="Y43" s="14"/>
      <c r="Z43" s="14"/>
      <c r="AA43" s="14"/>
      <c r="AB43" s="14"/>
    </row>
    <row r="44" hidden="1">
      <c r="A44" s="20" t="s">
        <v>245</v>
      </c>
      <c r="B44" s="11" t="s">
        <v>15</v>
      </c>
      <c r="C44" s="12">
        <v>2.0</v>
      </c>
      <c r="D44" s="19" t="s">
        <v>246</v>
      </c>
      <c r="E44" s="20" t="s">
        <v>247</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Crystal|.*crystal.*b"&amp;"ury""),""Empty-Crystal"","""")&amp;IF(REGEXMATCH($E44,""Move|move""),""Move"","""")"),"Ramp Control Ascend ")</f>
        <v>Ramp Control Ascend </v>
      </c>
      <c r="G44" s="21" t="s">
        <v>248</v>
      </c>
      <c r="H44" s="19">
        <v>5.0</v>
      </c>
      <c r="I44" s="19" t="s">
        <v>38</v>
      </c>
      <c r="J44" s="19" t="s">
        <v>69</v>
      </c>
      <c r="L44" s="14" t="str">
        <f>IFERROR(__xludf.DUMMYFUNCTION("IF(REGEXMATCH($B44,L$1),$D44,"""")"),"")</f>
        <v/>
      </c>
      <c r="M44" s="14" t="str">
        <f>IFERROR(__xludf.DUMMYFUNCTION("IF(REGEXMATCH($B44,M$1),$D44,"""")"),"")</f>
        <v/>
      </c>
      <c r="N44" s="14" t="str">
        <f>IFERROR(__xludf.DUMMYFUNCTION("IF(REGEXMATCH($B44,N$1),$D44,"""")"),"")</f>
        <v/>
      </c>
      <c r="O44" s="14" t="str">
        <f>IFERROR(__xludf.DUMMYFUNCTION("IF(REGEXMATCH($B44,O$1),$D44,"""")"),"")</f>
        <v/>
      </c>
      <c r="P44" s="14" t="str">
        <f>IFERROR(__xludf.DUMMYFUNCTION("IF(REGEXMATCH($B44,P$1),$D44,"""")"),"Construct Insect")</f>
        <v>Construct Insect</v>
      </c>
      <c r="Q44" s="14">
        <f>IFERROR(__xludf.DUMMYFUNCTION("IF($A44="""","""",LEN(REGEXREPLACE($I44,"",\s?"","""")))"),5.0)</f>
        <v>5</v>
      </c>
      <c r="S44" s="14"/>
      <c r="T44" s="14"/>
      <c r="U44" s="14"/>
      <c r="V44" s="14"/>
      <c r="W44" s="14"/>
      <c r="X44" s="14"/>
      <c r="Y44" s="14"/>
      <c r="Z44" s="14"/>
      <c r="AA44" s="14"/>
      <c r="AB44" s="14"/>
    </row>
    <row r="45">
      <c r="A45" s="10" t="s">
        <v>249</v>
      </c>
      <c r="B45" s="10" t="s">
        <v>15</v>
      </c>
      <c r="C45" s="12">
        <v>1.0</v>
      </c>
      <c r="D45" s="12" t="s">
        <v>250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f>
        <v/>
      </c>
      <c r="G45" s="13" t="s">
        <v>251</v>
      </c>
      <c r="H45" s="12">
        <v>9.0</v>
      </c>
      <c r="I45" s="12" t="s">
        <v>123</v>
      </c>
      <c r="J45" s="12" t="s">
        <v>69</v>
      </c>
      <c r="L45" s="14" t="str">
        <f>IFERROR(__xludf.DUMMYFUNCTION("IF(REGEXMATCH($B45,L$1),$D45,"""")"),"")</f>
        <v/>
      </c>
      <c r="M45" s="14" t="str">
        <f>IFERROR(__xludf.DUMMYFUNCTION("IF(REGEXMATCH($B45,M$1),$D45,"""")"),"")</f>
        <v/>
      </c>
      <c r="N45" s="14" t="str">
        <f>IFERROR(__xludf.DUMMYFUNCTION("IF(REGEXMATCH($B45,N$1),$D45,"""")"),"")</f>
        <v/>
      </c>
      <c r="O45" s="14" t="str">
        <f>IFERROR(__xludf.DUMMYFUNCTION("IF(REGEXMATCH($B45,O$1),$D45,"""")"),"")</f>
        <v/>
      </c>
      <c r="P45" s="14" t="str">
        <f>IFERROR(__xludf.DUMMYFUNCTION("IF(REGEXMATCH($B45,P$1),$D45,"""")"),"Construct Spirit")</f>
        <v>Construct Spirit</v>
      </c>
      <c r="Q45" s="14">
        <f>IFERROR(__xludf.DUMMYFUNCTION("IF($A45="""","""",LEN(REGEXREPLACE($I45,"",\s?"","""")))"),6.0)</f>
        <v>6</v>
      </c>
      <c r="R45" s="15" t="s">
        <v>252</v>
      </c>
      <c r="S45" s="17" t="s">
        <v>253</v>
      </c>
      <c r="T45" s="14"/>
      <c r="U45" s="14"/>
      <c r="V45" s="14"/>
      <c r="W45" s="14"/>
      <c r="X45" s="14"/>
      <c r="Y45" s="14"/>
      <c r="Z45" s="14"/>
      <c r="AA45" s="14"/>
      <c r="AB45" s="14"/>
    </row>
    <row r="46" hidden="1">
      <c r="A46" s="28" t="s">
        <v>254</v>
      </c>
      <c r="B46" s="18" t="s">
        <v>15</v>
      </c>
      <c r="C46" s="19">
        <v>2.0</v>
      </c>
      <c r="D46" s="19" t="s">
        <v>255</v>
      </c>
      <c r="E46" s="20" t="s">
        <v>256</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f>
        <v/>
      </c>
      <c r="G46" s="21" t="s">
        <v>257</v>
      </c>
      <c r="H46" s="19">
        <v>2.0</v>
      </c>
      <c r="I46" s="19" t="s">
        <v>105</v>
      </c>
      <c r="J46" s="19" t="s">
        <v>33</v>
      </c>
      <c r="L46" s="14" t="str">
        <f>IFERROR(__xludf.DUMMYFUNCTION("IF(REGEXMATCH($B46,L$1),$D46,"""")"),"")</f>
        <v/>
      </c>
      <c r="M46" s="14" t="str">
        <f>IFERROR(__xludf.DUMMYFUNCTION("IF(REGEXMATCH($B46,M$1),$D46,"""")"),"")</f>
        <v/>
      </c>
      <c r="N46" s="14" t="str">
        <f>IFERROR(__xludf.DUMMYFUNCTION("IF(REGEXMATCH($B46,N$1),$D46,"""")"),"")</f>
        <v/>
      </c>
      <c r="O46" s="14" t="str">
        <f>IFERROR(__xludf.DUMMYFUNCTION("IF(REGEXMATCH($B46,O$1),$D46,"""")"),"")</f>
        <v/>
      </c>
      <c r="P46" s="14" t="str">
        <f>IFERROR(__xludf.DUMMYFUNCTION("IF(REGEXMATCH($B46,P$1),$D46,"""")"),"Crusader, Warrior")</f>
        <v>Crusader, Warrior</v>
      </c>
      <c r="Q46" s="14">
        <f>IFERROR(__xludf.DUMMYFUNCTION("IF($A46="""","""",LEN(REGEXREPLACE($I46,"",\s?"","""")))"),2.0)</f>
        <v>2</v>
      </c>
      <c r="S46" s="14"/>
      <c r="T46" s="14"/>
      <c r="U46" s="14"/>
      <c r="V46" s="14"/>
      <c r="W46" s="14"/>
      <c r="X46" s="14"/>
      <c r="Y46" s="14"/>
      <c r="Z46" s="14"/>
      <c r="AA46" s="14"/>
      <c r="AB46" s="14"/>
    </row>
    <row r="47" hidden="1">
      <c r="A47" s="20" t="s">
        <v>258</v>
      </c>
      <c r="B47" s="11" t="s">
        <v>15</v>
      </c>
      <c r="C47" s="12">
        <v>2.0</v>
      </c>
      <c r="D47" s="19" t="s">
        <v>44</v>
      </c>
      <c r="E47" s="20" t="s">
        <v>259</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Crystal|.*crystal.*b"&amp;"ury""),""Empty-Crystal"","""")&amp;IF(REGEXMATCH($E47,""Move|move""),""Move"","""")"),"Ascend ")</f>
        <v>Ascend </v>
      </c>
      <c r="G47" s="21" t="s">
        <v>260</v>
      </c>
      <c r="H47" s="19">
        <v>1.0</v>
      </c>
      <c r="I47" s="19" t="s">
        <v>98</v>
      </c>
      <c r="J47" s="19" t="s">
        <v>33</v>
      </c>
      <c r="L47" s="14" t="str">
        <f>IFERROR(__xludf.DUMMYFUNCTION("IF(REGEXMATCH($B47,L$1),$D47,"""")"),"")</f>
        <v/>
      </c>
      <c r="M47" s="14" t="str">
        <f>IFERROR(__xludf.DUMMYFUNCTION("IF(REGEXMATCH($B47,M$1),$D47,"""")"),"")</f>
        <v/>
      </c>
      <c r="N47" s="14" t="str">
        <f>IFERROR(__xludf.DUMMYFUNCTION("IF(REGEXMATCH($B47,N$1),$D47,"""")"),"")</f>
        <v/>
      </c>
      <c r="O47" s="14" t="str">
        <f>IFERROR(__xludf.DUMMYFUNCTION("IF(REGEXMATCH($B47,O$1),$D47,"""")"),"")</f>
        <v/>
      </c>
      <c r="P47" s="14" t="str">
        <f>IFERROR(__xludf.DUMMYFUNCTION("IF(REGEXMATCH($B47,P$1),$D47,"""")"),"Human")</f>
        <v>Human</v>
      </c>
      <c r="Q47" s="14">
        <f>IFERROR(__xludf.DUMMYFUNCTION("IF($A47="""","""",LEN(REGEXREPLACE($I47,"",\s?"","""")))"),3.0)</f>
        <v>3</v>
      </c>
      <c r="S47" s="14"/>
      <c r="T47" s="14"/>
      <c r="U47" s="14"/>
      <c r="V47" s="14"/>
      <c r="W47" s="14"/>
      <c r="X47" s="14"/>
      <c r="Y47" s="14"/>
      <c r="Z47" s="14"/>
      <c r="AA47" s="14"/>
      <c r="AB47" s="14"/>
    </row>
    <row r="48">
      <c r="A48" s="10" t="s">
        <v>261</v>
      </c>
      <c r="B48" s="10" t="s">
        <v>262</v>
      </c>
      <c r="C48" s="12">
        <v>1.0</v>
      </c>
      <c r="D48" s="12" t="s">
        <v>221</v>
      </c>
      <c r="E48" s="10" t="s">
        <v>263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Crystal|.*crystal.*b"&amp;"ury""),""Empty-Crystal"","""")&amp;IF(REGEXMATCH($E48,""Move|move""),""Move"","""")"),"Control ")</f>
        <v>Control </v>
      </c>
      <c r="G48" s="13" t="s">
        <v>264</v>
      </c>
      <c r="H48" s="12">
        <v>2.0</v>
      </c>
      <c r="I48" s="12" t="s">
        <v>265</v>
      </c>
      <c r="J48" s="12" t="s">
        <v>69</v>
      </c>
      <c r="L48" s="14" t="str">
        <f>IFERROR(__xludf.DUMMYFUNCTION("IF(REGEXMATCH($B48,L$1),$D48,"""")"),"Animal Spirit")</f>
        <v>Animal Spirit</v>
      </c>
      <c r="M48" s="14" t="str">
        <f>IFERROR(__xludf.DUMMYFUNCTION("IF(REGEXMATCH($B48,M$1),$D48,"""")"),"")</f>
        <v/>
      </c>
      <c r="N48" s="14" t="str">
        <f>IFERROR(__xludf.DUMMYFUNCTION("IF(REGEXMATCH($B48,N$1),$D48,"""")"),"")</f>
        <v/>
      </c>
      <c r="O48" s="14" t="str">
        <f>IFERROR(__xludf.DUMMYFUNCTION("IF(REGEXMATCH($B48,O$1),$D48,"""")"),"")</f>
        <v/>
      </c>
      <c r="P48" s="14" t="str">
        <f>IFERROR(__xludf.DUMMYFUNCTION("IF(REGEXMATCH($B48,P$1),$D48,"""")"),"Animal Spirit")</f>
        <v>Animal Spirit</v>
      </c>
      <c r="Q48" s="14">
        <f>IFERROR(__xludf.DUMMYFUNCTION("IF($A48="""","""",LEN(REGEXREPLACE($I48,"",\s?"","""")))"),2.0)</f>
        <v>2</v>
      </c>
      <c r="R48" s="15" t="s">
        <v>266</v>
      </c>
      <c r="S48" s="17" t="s">
        <v>267</v>
      </c>
      <c r="T48" s="14"/>
      <c r="U48" s="14"/>
      <c r="V48" s="14"/>
      <c r="W48" s="14"/>
      <c r="X48" s="14"/>
      <c r="Y48" s="14"/>
      <c r="Z48" s="14"/>
      <c r="AA48" s="14"/>
      <c r="AB48" s="14"/>
    </row>
    <row r="49" hidden="1">
      <c r="A49" s="10" t="s">
        <v>268</v>
      </c>
      <c r="B49" s="10" t="s">
        <v>262</v>
      </c>
      <c r="C49" s="12">
        <v>2.0</v>
      </c>
      <c r="D49" s="12" t="s">
        <v>221</v>
      </c>
      <c r="E49" s="10" t="s">
        <v>269</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Crystal|.*crystal.*b"&amp;"ury""),""Empty-Crystal"","""")&amp;IF(REGEXMATCH($E49,""Move|move""),""Move"","""")"),"Control ")</f>
        <v>Control </v>
      </c>
      <c r="G49" s="13" t="s">
        <v>270</v>
      </c>
      <c r="H49" s="12">
        <v>7.0</v>
      </c>
      <c r="I49" s="12" t="s">
        <v>271</v>
      </c>
      <c r="J49" s="19" t="s">
        <v>39</v>
      </c>
      <c r="L49" s="14" t="str">
        <f>IFERROR(__xludf.DUMMYFUNCTION("IF(REGEXMATCH($B49,L$1),$D49,"""")"),"Animal Spirit")</f>
        <v>Animal Spirit</v>
      </c>
      <c r="M49" s="14" t="str">
        <f>IFERROR(__xludf.DUMMYFUNCTION("IF(REGEXMATCH($B49,M$1),$D49,"""")"),"")</f>
        <v/>
      </c>
      <c r="N49" s="14" t="str">
        <f>IFERROR(__xludf.DUMMYFUNCTION("IF(REGEXMATCH($B49,N$1),$D49,"""")"),"")</f>
        <v/>
      </c>
      <c r="O49" s="14" t="str">
        <f>IFERROR(__xludf.DUMMYFUNCTION("IF(REGEXMATCH($B49,O$1),$D49,"""")"),"")</f>
        <v/>
      </c>
      <c r="P49" s="14" t="str">
        <f>IFERROR(__xludf.DUMMYFUNCTION("IF(REGEXMATCH($B49,P$1),$D49,"""")"),"Animal Spirit")</f>
        <v>Animal Spirit</v>
      </c>
      <c r="Q49" s="14">
        <f>IFERROR(__xludf.DUMMYFUNCTION("IF($A49="""","""",LEN(REGEXREPLACE($I49,"",\s?"","""")))"),5.0)</f>
        <v>5</v>
      </c>
      <c r="S49" s="14"/>
      <c r="T49" s="14"/>
      <c r="U49" s="14"/>
      <c r="V49" s="14"/>
      <c r="W49" s="14"/>
      <c r="X49" s="14"/>
      <c r="Y49" s="14"/>
      <c r="Z49" s="14"/>
      <c r="AA49" s="14"/>
      <c r="AB49" s="14"/>
    </row>
    <row r="50" hidden="1">
      <c r="A50" s="27" t="s">
        <v>272</v>
      </c>
      <c r="B50" s="10" t="s">
        <v>262</v>
      </c>
      <c r="C50" s="12">
        <v>2.0</v>
      </c>
      <c r="D50" s="12" t="s">
        <v>95</v>
      </c>
      <c r="E50" s="10" t="s">
        <v>273</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Crystal|.*crystal.*b"&amp;"ury""),""Empty-Crystal"","""")&amp;IF(REGEXMATCH($E50,""Move|move""),""Move"","""")"),"Ramp ")</f>
        <v>Ramp </v>
      </c>
      <c r="G50" s="13" t="s">
        <v>274</v>
      </c>
      <c r="H50" s="12">
        <v>4.0</v>
      </c>
      <c r="I50" s="12" t="s">
        <v>227</v>
      </c>
      <c r="J50" s="12" t="s">
        <v>69</v>
      </c>
      <c r="L50" s="14" t="str">
        <f>IFERROR(__xludf.DUMMYFUNCTION("IF(REGEXMATCH($B50,L$1),$D50,"""")"),"Angel Wizard")</f>
        <v>Angel Wizard</v>
      </c>
      <c r="M50" s="14" t="str">
        <f>IFERROR(__xludf.DUMMYFUNCTION("IF(REGEXMATCH($B50,M$1),$D50,"""")"),"")</f>
        <v/>
      </c>
      <c r="N50" s="14" t="str">
        <f>IFERROR(__xludf.DUMMYFUNCTION("IF(REGEXMATCH($B50,N$1),$D50,"""")"),"")</f>
        <v/>
      </c>
      <c r="O50" s="14" t="str">
        <f>IFERROR(__xludf.DUMMYFUNCTION("IF(REGEXMATCH($B50,O$1),$D50,"""")"),"")</f>
        <v/>
      </c>
      <c r="P50" s="14" t="str">
        <f>IFERROR(__xludf.DUMMYFUNCTION("IF(REGEXMATCH($B50,P$1),$D50,"""")"),"Angel Wizard")</f>
        <v>Angel Wizard</v>
      </c>
      <c r="Q50" s="14">
        <f>IFERROR(__xludf.DUMMYFUNCTION("IF($A50="""","""",LEN(REGEXREPLACE($I50,"",\s?"","""")))"),4.0)</f>
        <v>4</v>
      </c>
      <c r="S50" s="14"/>
      <c r="T50" s="14"/>
      <c r="U50" s="14"/>
      <c r="V50" s="14"/>
      <c r="W50" s="14"/>
      <c r="X50" s="14"/>
      <c r="Y50" s="14"/>
      <c r="Z50" s="14"/>
      <c r="AA50" s="14"/>
      <c r="AB50" s="14"/>
    </row>
    <row r="51" hidden="1">
      <c r="A51" s="20" t="s">
        <v>275</v>
      </c>
      <c r="B51" s="20" t="s">
        <v>262</v>
      </c>
      <c r="C51" s="19">
        <v>0.0</v>
      </c>
      <c r="D51" s="19" t="s">
        <v>276</v>
      </c>
      <c r="E51" s="20" t="s">
        <v>277</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Crystal|.*crystal.*b"&amp;"ury""),""Empty-Crystal"","""")&amp;IF(REGEXMATCH($E51,""Move|move""),""Move"","""")"),"Unearth ")</f>
        <v>Unearth </v>
      </c>
      <c r="G51" s="21" t="s">
        <v>278</v>
      </c>
      <c r="H51" s="19">
        <v>4.0</v>
      </c>
      <c r="I51" s="19" t="s">
        <v>279</v>
      </c>
      <c r="J51" s="19" t="s">
        <v>69</v>
      </c>
      <c r="L51" s="14" t="str">
        <f>IFERROR(__xludf.DUMMYFUNCTION("IF(REGEXMATCH($B51,L$1),$D51,"""")"),"Animal Hunter")</f>
        <v>Animal Hunter</v>
      </c>
      <c r="M51" s="14" t="str">
        <f>IFERROR(__xludf.DUMMYFUNCTION("IF(REGEXMATCH($B51,M$1),$D51,"""")"),"")</f>
        <v/>
      </c>
      <c r="N51" s="14" t="str">
        <f>IFERROR(__xludf.DUMMYFUNCTION("IF(REGEXMATCH($B51,N$1),$D51,"""")"),"")</f>
        <v/>
      </c>
      <c r="O51" s="14" t="str">
        <f>IFERROR(__xludf.DUMMYFUNCTION("IF(REGEXMATCH($B51,O$1),$D51,"""")"),"")</f>
        <v/>
      </c>
      <c r="P51" s="14" t="str">
        <f>IFERROR(__xludf.DUMMYFUNCTION("IF(REGEXMATCH($B51,P$1),$D51,"""")"),"Animal Hunter")</f>
        <v>Animal Hunter</v>
      </c>
      <c r="Q51" s="14">
        <f>IFERROR(__xludf.DUMMYFUNCTION("IF($A51="""","""",LEN(REGEXREPLACE($I51,"",\s?"","""")))"),5.0)</f>
        <v>5</v>
      </c>
      <c r="S51" s="14"/>
      <c r="T51" s="14"/>
      <c r="U51" s="14"/>
      <c r="V51" s="14"/>
      <c r="W51" s="14"/>
      <c r="X51" s="14"/>
      <c r="Y51" s="14"/>
      <c r="Z51" s="14"/>
      <c r="AA51" s="14"/>
      <c r="AB51" s="14"/>
    </row>
    <row r="52">
      <c r="A52" s="10" t="s">
        <v>280</v>
      </c>
      <c r="B52" s="10" t="s">
        <v>262</v>
      </c>
      <c r="C52" s="12">
        <v>1.0</v>
      </c>
      <c r="D52" s="12" t="s">
        <v>281</v>
      </c>
      <c r="E52" s="10" t="s">
        <v>282</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f>
        <v/>
      </c>
      <c r="G52" s="13" t="s">
        <v>283</v>
      </c>
      <c r="H52" s="12">
        <v>5.0</v>
      </c>
      <c r="I52" s="12" t="s">
        <v>284</v>
      </c>
      <c r="J52" s="12" t="s">
        <v>39</v>
      </c>
      <c r="L52" s="14" t="str">
        <f>IFERROR(__xludf.DUMMYFUNCTION("IF(REGEXMATCH($B52,L$1),$D52,"""")"),"Angel Dragon")</f>
        <v>Angel Dragon</v>
      </c>
      <c r="M52" s="14" t="str">
        <f>IFERROR(__xludf.DUMMYFUNCTION("IF(REGEXMATCH($B52,M$1),$D52,"""")"),"")</f>
        <v/>
      </c>
      <c r="N52" s="14" t="str">
        <f>IFERROR(__xludf.DUMMYFUNCTION("IF(REGEXMATCH($B52,N$1),$D52,"""")"),"")</f>
        <v/>
      </c>
      <c r="O52" s="14" t="str">
        <f>IFERROR(__xludf.DUMMYFUNCTION("IF(REGEXMATCH($B52,O$1),$D52,"""")"),"")</f>
        <v/>
      </c>
      <c r="P52" s="14" t="str">
        <f>IFERROR(__xludf.DUMMYFUNCTION("IF(REGEXMATCH($B52,P$1),$D52,"""")"),"Angel Dragon")</f>
        <v>Angel Dragon</v>
      </c>
      <c r="Q52" s="14">
        <f>IFERROR(__xludf.DUMMYFUNCTION("IF($A52="""","""",LEN(REGEXREPLACE($I52,"",\s?"","""")))"),5.0)</f>
        <v>5</v>
      </c>
      <c r="R52" s="15" t="s">
        <v>285</v>
      </c>
      <c r="S52" s="37" t="s">
        <v>286</v>
      </c>
      <c r="T52" s="14"/>
      <c r="U52" s="14"/>
      <c r="V52" s="14"/>
      <c r="W52" s="14"/>
      <c r="X52" s="14"/>
      <c r="Y52" s="14"/>
      <c r="Z52" s="14"/>
      <c r="AA52" s="14"/>
      <c r="AB52" s="14"/>
    </row>
    <row r="53">
      <c r="A53" s="10" t="s">
        <v>287</v>
      </c>
      <c r="B53" s="10" t="s">
        <v>262</v>
      </c>
      <c r="C53" s="12">
        <v>1.0</v>
      </c>
      <c r="D53" s="12" t="s">
        <v>288</v>
      </c>
      <c r="E53" s="10"/>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f>
        <v/>
      </c>
      <c r="G53" s="13" t="s">
        <v>289</v>
      </c>
      <c r="H53" s="12">
        <v>2.0</v>
      </c>
      <c r="I53" s="12" t="s">
        <v>265</v>
      </c>
      <c r="J53" s="12" t="s">
        <v>33</v>
      </c>
      <c r="L53" s="14" t="str">
        <f>IFERROR(__xludf.DUMMYFUNCTION("IF(REGEXMATCH($B53,L$1),$D53,"""")"),"Angel Bannerbearer Warrior")</f>
        <v>Angel Bannerbearer Warrior</v>
      </c>
      <c r="M53" s="14" t="str">
        <f>IFERROR(__xludf.DUMMYFUNCTION("IF(REGEXMATCH($B53,M$1),$D53,"""")"),"")</f>
        <v/>
      </c>
      <c r="N53" s="14" t="str">
        <f>IFERROR(__xludf.DUMMYFUNCTION("IF(REGEXMATCH($B53,N$1),$D53,"""")"),"")</f>
        <v/>
      </c>
      <c r="O53" s="14" t="str">
        <f>IFERROR(__xludf.DUMMYFUNCTION("IF(REGEXMATCH($B53,O$1),$D53,"""")"),"")</f>
        <v/>
      </c>
      <c r="P53" s="14" t="str">
        <f>IFERROR(__xludf.DUMMYFUNCTION("IF(REGEXMATCH($B53,P$1),$D53,"""")"),"Angel Bannerbearer Warrior")</f>
        <v>Angel Bannerbearer Warrior</v>
      </c>
      <c r="Q53" s="14">
        <f>IFERROR(__xludf.DUMMYFUNCTION("IF($A53="""","""",LEN(REGEXREPLACE($I53,"",\s?"","""")))"),2.0)</f>
        <v>2</v>
      </c>
      <c r="R53" s="15" t="s">
        <v>290</v>
      </c>
      <c r="S53" s="17" t="s">
        <v>291</v>
      </c>
      <c r="T53" s="14"/>
      <c r="U53" s="14"/>
      <c r="V53" s="14"/>
      <c r="W53" s="14"/>
      <c r="X53" s="14"/>
      <c r="Y53" s="14"/>
      <c r="Z53" s="14"/>
      <c r="AA53" s="14"/>
      <c r="AB53" s="14"/>
    </row>
    <row r="54" hidden="1">
      <c r="A54" s="20" t="s">
        <v>292</v>
      </c>
      <c r="B54" s="20" t="s">
        <v>262</v>
      </c>
      <c r="C54" s="19">
        <v>2.0</v>
      </c>
      <c r="D54" s="19" t="s">
        <v>147</v>
      </c>
      <c r="E54" s="20" t="s">
        <v>293</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Crystal|.*crystal.*b"&amp;"ury""),""Empty-Crystal"","""")&amp;IF(REGEXMATCH($E54,""Move|move""),""Move"","""")"),"Spirit ")</f>
        <v>Spirit </v>
      </c>
      <c r="G54" s="21" t="s">
        <v>294</v>
      </c>
      <c r="H54" s="19">
        <v>6.0</v>
      </c>
      <c r="I54" s="19" t="s">
        <v>279</v>
      </c>
      <c r="J54" s="19" t="s">
        <v>69</v>
      </c>
      <c r="L54" s="14" t="str">
        <f>IFERROR(__xludf.DUMMYFUNCTION("IF(REGEXMATCH($B54,L$1),$D54,"""")"),"Angel Spirit")</f>
        <v>Angel Spirit</v>
      </c>
      <c r="M54" s="14" t="str">
        <f>IFERROR(__xludf.DUMMYFUNCTION("IF(REGEXMATCH($B54,M$1),$D54,"""")"),"")</f>
        <v/>
      </c>
      <c r="N54" s="14" t="str">
        <f>IFERROR(__xludf.DUMMYFUNCTION("IF(REGEXMATCH($B54,N$1),$D54,"""")"),"")</f>
        <v/>
      </c>
      <c r="O54" s="14" t="str">
        <f>IFERROR(__xludf.DUMMYFUNCTION("IF(REGEXMATCH($B54,O$1),$D54,"""")"),"")</f>
        <v/>
      </c>
      <c r="P54" s="14" t="str">
        <f>IFERROR(__xludf.DUMMYFUNCTION("IF(REGEXMATCH($B54,P$1),$D54,"""")"),"Angel Spirit")</f>
        <v>Angel Spirit</v>
      </c>
      <c r="Q54" s="14">
        <f>IFERROR(__xludf.DUMMYFUNCTION("IF($A54="""","""",LEN(REGEXREPLACE($I54,"",\s?"","""")))"),5.0)</f>
        <v>5</v>
      </c>
      <c r="S54" s="14"/>
      <c r="T54" s="14"/>
      <c r="U54" s="14"/>
      <c r="V54" s="14"/>
      <c r="W54" s="14"/>
      <c r="X54" s="14"/>
      <c r="Y54" s="14"/>
      <c r="Z54" s="14"/>
      <c r="AA54" s="14"/>
      <c r="AB54" s="14"/>
    </row>
    <row r="55" hidden="1">
      <c r="A55" s="20" t="s">
        <v>295</v>
      </c>
      <c r="B55" s="20" t="s">
        <v>296</v>
      </c>
      <c r="C55" s="19">
        <v>2.0</v>
      </c>
      <c r="D55" s="19" t="s">
        <v>141</v>
      </c>
      <c r="E55" s="20" t="s">
        <v>297</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Crystal|.*crystal.*b"&amp;"ury""),""Empty-Crystal"","""")&amp;IF(REGEXMATCH($E55,""Move|move""),""Move"","""")"),"Unearth ")</f>
        <v>Unearth </v>
      </c>
      <c r="G55" s="21" t="s">
        <v>298</v>
      </c>
      <c r="H55" s="19">
        <v>3.0</v>
      </c>
      <c r="I55" s="19" t="s">
        <v>299</v>
      </c>
      <c r="J55" s="19" t="s">
        <v>69</v>
      </c>
      <c r="L55" s="14" t="str">
        <f>IFERROR(__xludf.DUMMYFUNCTION("IF(REGEXMATCH($B55,L$1),$D55,"""")"),"")</f>
        <v/>
      </c>
      <c r="M55" s="14" t="str">
        <f>IFERROR(__xludf.DUMMYFUNCTION("IF(REGEXMATCH($B55,M$1),$D55,"""")"),"")</f>
        <v/>
      </c>
      <c r="N55" s="14" t="str">
        <f>IFERROR(__xludf.DUMMYFUNCTION("IF(REGEXMATCH($B55,N$1),$D55,"""")"),"")</f>
        <v/>
      </c>
      <c r="O55" s="14" t="str">
        <f>IFERROR(__xludf.DUMMYFUNCTION("IF(REGEXMATCH($B55,O$1),$D55,"""")"),"Human Hunter")</f>
        <v>Human Hunter</v>
      </c>
      <c r="P55" s="14" t="str">
        <f>IFERROR(__xludf.DUMMYFUNCTION("IF(REGEXMATCH($B55,P$1),$D55,"""")"),"Human Hunter")</f>
        <v>Human Hunter</v>
      </c>
      <c r="Q55" s="14">
        <f>IFERROR(__xludf.DUMMYFUNCTION("IF($A55="""","""",LEN(REGEXREPLACE($I55,"",\s?"","""")))"),5.0)</f>
        <v>5</v>
      </c>
      <c r="S55" s="14"/>
      <c r="T55" s="14"/>
      <c r="U55" s="14"/>
      <c r="V55" s="14"/>
      <c r="W55" s="14"/>
      <c r="X55" s="14"/>
      <c r="Y55" s="14"/>
      <c r="Z55" s="14"/>
      <c r="AA55" s="14"/>
      <c r="AB55" s="14"/>
    </row>
    <row r="56" hidden="1">
      <c r="A56" s="10" t="s">
        <v>300</v>
      </c>
      <c r="B56" s="10" t="s">
        <v>296</v>
      </c>
      <c r="C56" s="12">
        <v>2.0</v>
      </c>
      <c r="D56" s="12" t="s">
        <v>301</v>
      </c>
      <c r="E56" s="10" t="s">
        <v>302</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Crystal|.*crystal.*b"&amp;"ury""),""Empty-Crystal"","""")&amp;IF(REGEXMATCH($E56,""Move|move""),""Move"","""")"),"Divine Mortal Control ")</f>
        <v>Divine Mortal Control </v>
      </c>
      <c r="G56" s="13" t="s">
        <v>303</v>
      </c>
      <c r="H56" s="12">
        <v>4.0</v>
      </c>
      <c r="I56" s="12" t="s">
        <v>304</v>
      </c>
      <c r="J56" s="12" t="s">
        <v>39</v>
      </c>
      <c r="L56" s="14" t="str">
        <f>IFERROR(__xludf.DUMMYFUNCTION("IF(REGEXMATCH($B56,L$1),$D56,"""")"),"")</f>
        <v/>
      </c>
      <c r="M56" s="14" t="str">
        <f>IFERROR(__xludf.DUMMYFUNCTION("IF(REGEXMATCH($B56,M$1),$D56,"""")"),"")</f>
        <v/>
      </c>
      <c r="N56" s="14" t="str">
        <f>IFERROR(__xludf.DUMMYFUNCTION("IF(REGEXMATCH($B56,N$1),$D56,"""")"),"")</f>
        <v/>
      </c>
      <c r="O56" s="14" t="str">
        <f>IFERROR(__xludf.DUMMYFUNCTION("IF(REGEXMATCH($B56,O$1),$D56,"""")"),"Spirit Warrior")</f>
        <v>Spirit Warrior</v>
      </c>
      <c r="P56" s="14" t="str">
        <f>IFERROR(__xludf.DUMMYFUNCTION("IF(REGEXMATCH($B56,P$1),$D56,"""")"),"Spirit Warrior")</f>
        <v>Spirit Warrior</v>
      </c>
      <c r="Q56" s="14">
        <f>IFERROR(__xludf.DUMMYFUNCTION("IF($A56="""","""",LEN(REGEXREPLACE($I56,"",\s?"","""")))"),3.0)</f>
        <v>3</v>
      </c>
      <c r="S56" s="14"/>
      <c r="T56" s="14"/>
      <c r="U56" s="14"/>
      <c r="V56" s="14"/>
      <c r="W56" s="14"/>
      <c r="X56" s="14"/>
      <c r="Y56" s="14"/>
      <c r="Z56" s="14"/>
      <c r="AA56" s="14"/>
      <c r="AB56" s="14"/>
    </row>
    <row r="57">
      <c r="A57" s="20" t="s">
        <v>305</v>
      </c>
      <c r="B57" s="20" t="s">
        <v>296</v>
      </c>
      <c r="C57" s="19">
        <v>1.0</v>
      </c>
      <c r="D57" s="19" t="s">
        <v>240</v>
      </c>
      <c r="E57" s="20" t="s">
        <v>306</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Aggro ")</f>
        <v>Ramp Aggro </v>
      </c>
      <c r="G57" s="21" t="s">
        <v>307</v>
      </c>
      <c r="H57" s="19">
        <v>4.0</v>
      </c>
      <c r="I57" s="19" t="s">
        <v>308</v>
      </c>
      <c r="J57" s="19" t="s">
        <v>39</v>
      </c>
      <c r="L57" s="14" t="str">
        <f>IFERROR(__xludf.DUMMYFUNCTION("IF(REGEXMATCH($B57,L$1),$D57,"""")"),"")</f>
        <v/>
      </c>
      <c r="M57" s="14" t="str">
        <f>IFERROR(__xludf.DUMMYFUNCTION("IF(REGEXMATCH($B57,M$1),$D57,"""")"),"")</f>
        <v/>
      </c>
      <c r="N57" s="14" t="str">
        <f>IFERROR(__xludf.DUMMYFUNCTION("IF(REGEXMATCH($B57,N$1),$D57,"""")"),"")</f>
        <v/>
      </c>
      <c r="O57" s="14" t="str">
        <f>IFERROR(__xludf.DUMMYFUNCTION("IF(REGEXMATCH($B57,O$1),$D57,"""")"),"Construct Warrior")</f>
        <v>Construct Warrior</v>
      </c>
      <c r="P57" s="14" t="str">
        <f>IFERROR(__xludf.DUMMYFUNCTION("IF(REGEXMATCH($B57,P$1),$D57,"""")"),"Construct Warrior")</f>
        <v>Construct Warrior</v>
      </c>
      <c r="Q57" s="14">
        <f>IFERROR(__xludf.DUMMYFUNCTION("IF($A57="""","""",LEN(REGEXREPLACE($I57,"",\s?"","""")))"),5.0)</f>
        <v>5</v>
      </c>
      <c r="R57" s="15" t="s">
        <v>309</v>
      </c>
      <c r="S57" s="17" t="s">
        <v>310</v>
      </c>
      <c r="T57" s="14"/>
      <c r="U57" s="14"/>
      <c r="V57" s="14"/>
      <c r="W57" s="14"/>
      <c r="X57" s="14"/>
      <c r="Y57" s="14"/>
      <c r="Z57" s="14"/>
      <c r="AA57" s="14"/>
      <c r="AB57" s="14"/>
    </row>
    <row r="58">
      <c r="A58" s="10" t="s">
        <v>311</v>
      </c>
      <c r="B58" s="10" t="s">
        <v>296</v>
      </c>
      <c r="C58" s="12">
        <v>1.0</v>
      </c>
      <c r="D58" s="12" t="s">
        <v>312</v>
      </c>
      <c r="E58" s="10" t="s">
        <v>313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Crystal|.*crystal.*b"&amp;"ury""),""Empty-Crystal"","""")&amp;IF(REGEXMATCH($E58,""Move|move""),""Move"","""")"),"Unearth Control ")</f>
        <v>Unearth Control </v>
      </c>
      <c r="G58" s="13" t="s">
        <v>314</v>
      </c>
      <c r="H58" s="12">
        <v>3.0</v>
      </c>
      <c r="I58" s="12" t="s">
        <v>315</v>
      </c>
      <c r="J58" s="12" t="s">
        <v>69</v>
      </c>
      <c r="L58" s="14" t="str">
        <f>IFERROR(__xludf.DUMMYFUNCTION("IF(REGEXMATCH($B58,L$1),$D58,"""")"),"")</f>
        <v/>
      </c>
      <c r="M58" s="14" t="str">
        <f>IFERROR(__xludf.DUMMYFUNCTION("IF(REGEXMATCH($B58,M$1),$D58,"""")"),"")</f>
        <v/>
      </c>
      <c r="N58" s="14" t="str">
        <f>IFERROR(__xludf.DUMMYFUNCTION("IF(REGEXMATCH($B58,N$1),$D58,"""")"),"")</f>
        <v/>
      </c>
      <c r="O58" s="14" t="str">
        <f>IFERROR(__xludf.DUMMYFUNCTION("IF(REGEXMATCH($B58,O$1),$D58,"""")"),"Human Wizard")</f>
        <v>Human Wizard</v>
      </c>
      <c r="P58" s="14" t="str">
        <f>IFERROR(__xludf.DUMMYFUNCTION("IF(REGEXMATCH($B58,P$1),$D58,"""")"),"Human Wizard")</f>
        <v>Human Wizard</v>
      </c>
      <c r="Q58" s="14">
        <f>IFERROR(__xludf.DUMMYFUNCTION("IF($A58="""","""",LEN(REGEXREPLACE($I58,"",\s?"","""")))"),4.0)</f>
        <v>4</v>
      </c>
      <c r="R58" s="15" t="s">
        <v>316</v>
      </c>
      <c r="S58" s="17" t="s">
        <v>317</v>
      </c>
      <c r="T58" s="14"/>
      <c r="U58" s="14"/>
      <c r="V58" s="14"/>
      <c r="W58" s="14"/>
      <c r="X58" s="14"/>
      <c r="Y58" s="14"/>
      <c r="Z58" s="14"/>
      <c r="AA58" s="14"/>
      <c r="AB58" s="14"/>
    </row>
    <row r="59">
      <c r="A59" s="10" t="s">
        <v>318</v>
      </c>
      <c r="B59" s="10" t="s">
        <v>296</v>
      </c>
      <c r="C59" s="12">
        <v>1.0</v>
      </c>
      <c r="D59" s="12" t="s">
        <v>319</v>
      </c>
      <c r="E59" s="10"/>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f>
        <v/>
      </c>
      <c r="G59" s="13" t="s">
        <v>320</v>
      </c>
      <c r="H59" s="12">
        <v>2.0</v>
      </c>
      <c r="I59" s="12" t="s">
        <v>321</v>
      </c>
      <c r="J59" s="12" t="s">
        <v>33</v>
      </c>
      <c r="L59" s="14" t="str">
        <f>IFERROR(__xludf.DUMMYFUNCTION("IF(REGEXMATCH($B59,L$1),$D59,"""")"),"")</f>
        <v/>
      </c>
      <c r="M59" s="14" t="str">
        <f>IFERROR(__xludf.DUMMYFUNCTION("IF(REGEXMATCH($B59,M$1),$D59,"""")"),"")</f>
        <v/>
      </c>
      <c r="N59" s="14" t="str">
        <f>IFERROR(__xludf.DUMMYFUNCTION("IF(REGEXMATCH($B59,N$1),$D59,"""")"),"")</f>
        <v/>
      </c>
      <c r="O59" s="14" t="str">
        <f>IFERROR(__xludf.DUMMYFUNCTION("IF(REGEXMATCH($B59,O$1),$D59,"""")"),"Bannerbearer Spirit Warrior")</f>
        <v>Bannerbearer Spirit Warrior</v>
      </c>
      <c r="P59" s="14" t="str">
        <f>IFERROR(__xludf.DUMMYFUNCTION("IF(REGEXMATCH($B59,P$1),$D59,"""")"),"Bannerbearer Spirit Warrior")</f>
        <v>Bannerbearer Spirit Warrior</v>
      </c>
      <c r="Q59" s="14">
        <f>IFERROR(__xludf.DUMMYFUNCTION("IF($A59="""","""",LEN(REGEXREPLACE($I59,"",\s?"","""")))"),2.0)</f>
        <v>2</v>
      </c>
      <c r="R59" s="15" t="s">
        <v>322</v>
      </c>
      <c r="S59" s="17" t="s">
        <v>323</v>
      </c>
      <c r="T59" s="14"/>
      <c r="U59" s="14"/>
      <c r="V59" s="14"/>
      <c r="W59" s="14"/>
      <c r="X59" s="14"/>
      <c r="Y59" s="14"/>
      <c r="Z59" s="14"/>
      <c r="AA59" s="14"/>
      <c r="AB59" s="14"/>
    </row>
    <row r="60" hidden="1">
      <c r="A60" s="25" t="s">
        <v>324</v>
      </c>
      <c r="B60" s="10" t="s">
        <v>296</v>
      </c>
      <c r="C60" s="12">
        <v>2.0</v>
      </c>
      <c r="D60" s="12" t="s">
        <v>147</v>
      </c>
      <c r="E60" s="10" t="s">
        <v>325</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f>
        <v/>
      </c>
      <c r="G60" s="13" t="s">
        <v>326</v>
      </c>
      <c r="H60" s="12">
        <v>3.0</v>
      </c>
      <c r="I60" s="12" t="s">
        <v>315</v>
      </c>
      <c r="J60" s="12" t="s">
        <v>69</v>
      </c>
      <c r="L60" s="14" t="str">
        <f>IFERROR(__xludf.DUMMYFUNCTION("IF(REGEXMATCH($B60,L$1),$D60,"""")"),"")</f>
        <v/>
      </c>
      <c r="M60" s="14" t="str">
        <f>IFERROR(__xludf.DUMMYFUNCTION("IF(REGEXMATCH($B60,M$1),$D60,"""")"),"")</f>
        <v/>
      </c>
      <c r="N60" s="14" t="str">
        <f>IFERROR(__xludf.DUMMYFUNCTION("IF(REGEXMATCH($B60,N$1),$D60,"""")"),"")</f>
        <v/>
      </c>
      <c r="O60" s="14" t="str">
        <f>IFERROR(__xludf.DUMMYFUNCTION("IF(REGEXMATCH($B60,O$1),$D60,"""")"),"Angel Spirit")</f>
        <v>Angel Spirit</v>
      </c>
      <c r="P60" s="14" t="str">
        <f>IFERROR(__xludf.DUMMYFUNCTION("IF(REGEXMATCH($B60,P$1),$D60,"""")"),"Angel Spirit")</f>
        <v>Angel Spirit</v>
      </c>
      <c r="Q60" s="14">
        <f>IFERROR(__xludf.DUMMYFUNCTION("IF($A60="""","""",LEN(REGEXREPLACE($I60,"",\s?"","""")))"),4.0)</f>
        <v>4</v>
      </c>
      <c r="S60" s="14"/>
      <c r="T60" s="14"/>
      <c r="U60" s="14"/>
      <c r="V60" s="14"/>
      <c r="W60" s="14"/>
      <c r="X60" s="14"/>
      <c r="Y60" s="14"/>
      <c r="Z60" s="14"/>
      <c r="AA60" s="14"/>
      <c r="AB60" s="14"/>
    </row>
    <row r="61" hidden="1">
      <c r="A61" s="20" t="s">
        <v>327</v>
      </c>
      <c r="B61" s="38" t="s">
        <v>296</v>
      </c>
      <c r="C61" s="19">
        <v>2.0</v>
      </c>
      <c r="D61" s="19" t="s">
        <v>35</v>
      </c>
      <c r="E61" s="20" t="s">
        <v>328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Crystal|.*crystal.*b"&amp;"ury""),""Empty-Crystal"","""")&amp;IF(REGEXMATCH($E61,""Move|move""),""Move"","""")"),"Human Control ")</f>
        <v>Human Control </v>
      </c>
      <c r="G61" s="21" t="s">
        <v>329</v>
      </c>
      <c r="H61" s="19">
        <v>3.0</v>
      </c>
      <c r="I61" s="19" t="s">
        <v>315</v>
      </c>
      <c r="J61" s="12" t="s">
        <v>69</v>
      </c>
      <c r="L61" s="14" t="str">
        <f>IFERROR(__xludf.DUMMYFUNCTION("IF(REGEXMATCH($B61,L$1),$D61,"""")"),"")</f>
        <v/>
      </c>
      <c r="M61" s="14" t="str">
        <f>IFERROR(__xludf.DUMMYFUNCTION("IF(REGEXMATCH($B61,M$1),$D61,"""")"),"")</f>
        <v/>
      </c>
      <c r="N61" s="14" t="str">
        <f>IFERROR(__xludf.DUMMYFUNCTION("IF(REGEXMATCH($B61,N$1),$D61,"""")"),"")</f>
        <v/>
      </c>
      <c r="O61" s="14" t="str">
        <f>IFERROR(__xludf.DUMMYFUNCTION("IF(REGEXMATCH($B61,O$1),$D61,"""")"),"Angel")</f>
        <v>Angel</v>
      </c>
      <c r="P61" s="14" t="str">
        <f>IFERROR(__xludf.DUMMYFUNCTION("IF(REGEXMATCH($B61,P$1),$D61,"""")"),"Angel")</f>
        <v>Angel</v>
      </c>
      <c r="Q61" s="14">
        <f>IFERROR(__xludf.DUMMYFUNCTION("IF($A61="""","""",LEN(REGEXREPLACE($I61,"",\s?"","""")))"),4.0)</f>
        <v>4</v>
      </c>
      <c r="S61" s="14"/>
      <c r="T61" s="14"/>
      <c r="U61" s="14"/>
      <c r="V61" s="14"/>
      <c r="W61" s="14"/>
      <c r="X61" s="14"/>
      <c r="Y61" s="14"/>
      <c r="Z61" s="14"/>
      <c r="AA61" s="14"/>
      <c r="AB61" s="14"/>
    </row>
    <row r="62" hidden="1">
      <c r="A62" s="10" t="s">
        <v>330</v>
      </c>
      <c r="B62" s="10" t="s">
        <v>331</v>
      </c>
      <c r="C62" s="12">
        <v>2.0</v>
      </c>
      <c r="D62" s="12" t="s">
        <v>187</v>
      </c>
      <c r="E62" s="10" t="s">
        <v>332</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Crystal|.*crystal.*b"&amp;"ury""),""Empty-Crystal"","""")&amp;IF(REGEXMATCH($E62,""Move|move""),""Move"","""")"),"Plant Angel ")</f>
        <v>Plant Angel </v>
      </c>
      <c r="G62" s="13" t="s">
        <v>333</v>
      </c>
      <c r="H62" s="12">
        <v>3.0</v>
      </c>
      <c r="I62" s="12" t="s">
        <v>334</v>
      </c>
      <c r="J62" s="12" t="s">
        <v>69</v>
      </c>
      <c r="L62" s="14" t="str">
        <f>IFERROR(__xludf.DUMMYFUNCTION("IF(REGEXMATCH($B62,L$1),$D62,"""")"),"")</f>
        <v/>
      </c>
      <c r="M62" s="14" t="str">
        <f>IFERROR(__xludf.DUMMYFUNCTION("IF(REGEXMATCH($B62,M$1),$D62,"""")"),"Angel Plant")</f>
        <v>Angel Plant</v>
      </c>
      <c r="N62" s="14" t="str">
        <f>IFERROR(__xludf.DUMMYFUNCTION("IF(REGEXMATCH($B62,N$1),$D62,"""")"),"")</f>
        <v/>
      </c>
      <c r="O62" s="14" t="str">
        <f>IFERROR(__xludf.DUMMYFUNCTION("IF(REGEXMATCH($B62,O$1),$D62,"""")"),"")</f>
        <v/>
      </c>
      <c r="P62" s="14" t="str">
        <f>IFERROR(__xludf.DUMMYFUNCTION("IF(REGEXMATCH($B62,P$1),$D62,"""")"),"Angel Plant")</f>
        <v>Angel Plant</v>
      </c>
      <c r="Q62" s="14">
        <f>IFERROR(__xludf.DUMMYFUNCTION("IF($A62="""","""",LEN(REGEXREPLACE($I62,"",\s?"","""")))"),3.0)</f>
        <v>3</v>
      </c>
      <c r="S62" s="14"/>
      <c r="T62" s="14"/>
      <c r="U62" s="14"/>
      <c r="V62" s="14"/>
      <c r="W62" s="14"/>
      <c r="X62" s="14"/>
      <c r="Y62" s="14"/>
      <c r="Z62" s="14"/>
      <c r="AA62" s="14"/>
      <c r="AB62" s="14"/>
    </row>
    <row r="63" hidden="1">
      <c r="A63" s="20" t="s">
        <v>335</v>
      </c>
      <c r="B63" s="20" t="s">
        <v>331</v>
      </c>
      <c r="C63" s="19">
        <v>2.0</v>
      </c>
      <c r="D63" s="19" t="s">
        <v>336</v>
      </c>
      <c r="E63" s="20" t="s">
        <v>337</v>
      </c>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Crystal|.*crystal.*b"&amp;"ury""),""Empty-Crystal"","""")&amp;IF(REGEXMATCH($E63,""Move|move""),""Move"","""")"),"Insect Copy ")</f>
        <v>Insect Copy </v>
      </c>
      <c r="G63" s="21" t="s">
        <v>338</v>
      </c>
      <c r="H63" s="19">
        <v>6.0</v>
      </c>
      <c r="I63" s="19" t="s">
        <v>339</v>
      </c>
      <c r="J63" s="19" t="s">
        <v>39</v>
      </c>
      <c r="L63" s="14" t="str">
        <f>IFERROR(__xludf.DUMMYFUNCTION("IF(REGEXMATCH($B63,L$1),$D63,"""")"),"")</f>
        <v/>
      </c>
      <c r="M63" s="14" t="str">
        <f>IFERROR(__xludf.DUMMYFUNCTION("IF(REGEXMATCH($B63,M$1),$D63,"""")"),"Insect Wizard")</f>
        <v>Insect Wizard</v>
      </c>
      <c r="N63" s="14" t="str">
        <f>IFERROR(__xludf.DUMMYFUNCTION("IF(REGEXMATCH($B63,N$1),$D63,"""")"),"")</f>
        <v/>
      </c>
      <c r="O63" s="14" t="str">
        <f>IFERROR(__xludf.DUMMYFUNCTION("IF(REGEXMATCH($B63,O$1),$D63,"""")"),"")</f>
        <v/>
      </c>
      <c r="P63" s="14" t="str">
        <f>IFERROR(__xludf.DUMMYFUNCTION("IF(REGEXMATCH($B63,P$1),$D63,"""")"),"Insect Wizard")</f>
        <v>Insect Wizard</v>
      </c>
      <c r="Q63" s="14">
        <f>IFERROR(__xludf.DUMMYFUNCTION("IF($A63="""","""",LEN(REGEXREPLACE($I63,"",\s?"","""")))"),6.0)</f>
        <v>6</v>
      </c>
      <c r="S63" s="14"/>
      <c r="T63" s="14"/>
      <c r="U63" s="14"/>
      <c r="V63" s="14"/>
      <c r="W63" s="14"/>
      <c r="X63" s="14"/>
      <c r="Y63" s="14"/>
      <c r="Z63" s="14"/>
      <c r="AA63" s="14"/>
      <c r="AB63" s="14"/>
    </row>
    <row r="64">
      <c r="A64" s="10" t="s">
        <v>340</v>
      </c>
      <c r="B64" s="10" t="s">
        <v>331</v>
      </c>
      <c r="C64" s="12">
        <v>1.0</v>
      </c>
      <c r="D64" s="12" t="s">
        <v>341</v>
      </c>
      <c r="E64" s="20" t="s">
        <v>342</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f>
        <v/>
      </c>
      <c r="G64" s="21" t="s">
        <v>343</v>
      </c>
      <c r="H64" s="12">
        <v>3.0</v>
      </c>
      <c r="I64" s="12" t="s">
        <v>344</v>
      </c>
      <c r="J64" s="12" t="s">
        <v>69</v>
      </c>
      <c r="L64" s="14" t="str">
        <f>IFERROR(__xludf.DUMMYFUNCTION("IF(REGEXMATCH($B64,L$1),$D64,"""")"),"")</f>
        <v/>
      </c>
      <c r="M64" s="14" t="str">
        <f>IFERROR(__xludf.DUMMYFUNCTION("IF(REGEXMATCH($B64,M$1),$D64,"""")"),"Animal Wizard")</f>
        <v>Animal Wizard</v>
      </c>
      <c r="N64" s="14" t="str">
        <f>IFERROR(__xludf.DUMMYFUNCTION("IF(REGEXMATCH($B64,N$1),$D64,"""")"),"")</f>
        <v/>
      </c>
      <c r="O64" s="14" t="str">
        <f>IFERROR(__xludf.DUMMYFUNCTION("IF(REGEXMATCH($B64,O$1),$D64,"""")"),"")</f>
        <v/>
      </c>
      <c r="P64" s="14" t="str">
        <f>IFERROR(__xludf.DUMMYFUNCTION("IF(REGEXMATCH($B64,P$1),$D64,"""")"),"Animal Wizard")</f>
        <v>Animal Wizard</v>
      </c>
      <c r="Q64" s="14">
        <f>IFERROR(__xludf.DUMMYFUNCTION("IF($A64="""","""",LEN(REGEXREPLACE($I64,"",\s?"","""")))"),4.0)</f>
        <v>4</v>
      </c>
      <c r="R64" s="15" t="s">
        <v>345</v>
      </c>
      <c r="S64" s="17" t="s">
        <v>346</v>
      </c>
      <c r="T64" s="14"/>
      <c r="U64" s="14"/>
      <c r="V64" s="14"/>
      <c r="W64" s="14"/>
      <c r="X64" s="14"/>
      <c r="Y64" s="14"/>
      <c r="Z64" s="14"/>
      <c r="AA64" s="14"/>
      <c r="AB64" s="14"/>
    </row>
    <row r="65" hidden="1">
      <c r="A65" s="25" t="s">
        <v>347</v>
      </c>
      <c r="B65" s="10" t="s">
        <v>331</v>
      </c>
      <c r="C65" s="12">
        <v>2.0</v>
      </c>
      <c r="D65" s="12" t="s">
        <v>348</v>
      </c>
      <c r="E65" s="10" t="s">
        <v>349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Crystal|.*crystal.*b"&amp;"ury""),""Empty-Crystal"","""")&amp;IF(REGEXMATCH($E65,""Move|move""),""Move"","""")"),"Ramp Control ")</f>
        <v>Ramp Control </v>
      </c>
      <c r="G65" s="13" t="s">
        <v>350</v>
      </c>
      <c r="H65" s="12">
        <v>4.0</v>
      </c>
      <c r="I65" s="12" t="s">
        <v>351</v>
      </c>
      <c r="J65" s="12" t="s">
        <v>69</v>
      </c>
      <c r="L65" s="14" t="str">
        <f>IFERROR(__xludf.DUMMYFUNCTION("IF(REGEXMATCH($B65,L$1),$D65,"""")"),"")</f>
        <v/>
      </c>
      <c r="M65" s="14" t="str">
        <f>IFERROR(__xludf.DUMMYFUNCTION("IF(REGEXMATCH($B65,M$1),$D65,"""")"),"Construct Plant")</f>
        <v>Construct Plant</v>
      </c>
      <c r="N65" s="14" t="str">
        <f>IFERROR(__xludf.DUMMYFUNCTION("IF(REGEXMATCH($B65,N$1),$D65,"""")"),"")</f>
        <v/>
      </c>
      <c r="O65" s="14" t="str">
        <f>IFERROR(__xludf.DUMMYFUNCTION("IF(REGEXMATCH($B65,O$1),$D65,"""")"),"")</f>
        <v/>
      </c>
      <c r="P65" s="14" t="str">
        <f>IFERROR(__xludf.DUMMYFUNCTION("IF(REGEXMATCH($B65,P$1),$D65,"""")"),"Construct Plant")</f>
        <v>Construct Plant</v>
      </c>
      <c r="Q65" s="14">
        <f>IFERROR(__xludf.DUMMYFUNCTION("IF($A65="""","""",LEN(REGEXREPLACE($I65,"",\s?"","""")))"),5.0)</f>
        <v>5</v>
      </c>
      <c r="S65" s="14"/>
      <c r="T65" s="14"/>
      <c r="U65" s="14"/>
      <c r="V65" s="14"/>
      <c r="W65" s="14"/>
      <c r="X65" s="14"/>
      <c r="Y65" s="14"/>
      <c r="Z65" s="14"/>
      <c r="AA65" s="14"/>
      <c r="AB65" s="14"/>
    </row>
    <row r="66">
      <c r="A66" s="10" t="s">
        <v>352</v>
      </c>
      <c r="B66" s="10" t="s">
        <v>331</v>
      </c>
      <c r="C66" s="19">
        <v>1.0</v>
      </c>
      <c r="D66" s="12" t="s">
        <v>353</v>
      </c>
      <c r="E66" s="10" t="s">
        <v>354</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Crystal|.*crystal.*b"&amp;"ury""),""Empty-Crystal"","""")&amp;IF(REGEXMATCH($E66,""Move|move""),""Move"","""")"),"Ramp ")</f>
        <v>Ramp </v>
      </c>
      <c r="G66" s="13" t="s">
        <v>355</v>
      </c>
      <c r="H66" s="12">
        <v>0.0</v>
      </c>
      <c r="I66" s="12" t="s">
        <v>356</v>
      </c>
      <c r="J66" s="12" t="s">
        <v>39</v>
      </c>
      <c r="L66" s="14" t="str">
        <f>IFERROR(__xludf.DUMMYFUNCTION("IF(REGEXMATCH($B66,L$1),$D66,"""")"),"")</f>
        <v/>
      </c>
      <c r="M66" s="14" t="str">
        <f>IFERROR(__xludf.DUMMYFUNCTION("IF(REGEXMATCH($B66,M$1),$D66,"""")"),"Animal Dinosaur")</f>
        <v>Animal Dinosaur</v>
      </c>
      <c r="N66" s="14" t="str">
        <f>IFERROR(__xludf.DUMMYFUNCTION("IF(REGEXMATCH($B66,N$1),$D66,"""")"),"")</f>
        <v/>
      </c>
      <c r="O66" s="14" t="str">
        <f>IFERROR(__xludf.DUMMYFUNCTION("IF(REGEXMATCH($B66,O$1),$D66,"""")"),"")</f>
        <v/>
      </c>
      <c r="P66" s="14" t="str">
        <f>IFERROR(__xludf.DUMMYFUNCTION("IF(REGEXMATCH($B66,P$1),$D66,"""")"),"Animal Dinosaur")</f>
        <v>Animal Dinosaur</v>
      </c>
      <c r="Q66" s="14">
        <f>IFERROR(__xludf.DUMMYFUNCTION("IF($A66="""","""",LEN(REGEXREPLACE($I66,"",\s?"","""")))"),5.0)</f>
        <v>5</v>
      </c>
      <c r="R66" s="15" t="s">
        <v>357</v>
      </c>
      <c r="S66" s="17" t="s">
        <v>358</v>
      </c>
      <c r="T66" s="14"/>
      <c r="U66" s="14"/>
      <c r="V66" s="14"/>
      <c r="W66" s="14"/>
      <c r="X66" s="14"/>
      <c r="Y66" s="14"/>
      <c r="Z66" s="14"/>
      <c r="AA66" s="14"/>
      <c r="AB66" s="14"/>
    </row>
    <row r="67" hidden="1">
      <c r="A67" s="20" t="s">
        <v>359</v>
      </c>
      <c r="B67" s="39" t="s">
        <v>331</v>
      </c>
      <c r="C67" s="19">
        <v>2.0</v>
      </c>
      <c r="D67" s="19" t="s">
        <v>360</v>
      </c>
      <c r="E67" s="20" t="s">
        <v>361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Ascend ")</f>
        <v>Ramp Ascend </v>
      </c>
      <c r="G67" s="21" t="s">
        <v>31</v>
      </c>
      <c r="H67" s="19">
        <v>5.0</v>
      </c>
      <c r="I67" s="19" t="s">
        <v>362</v>
      </c>
      <c r="J67" s="19" t="s">
        <v>39</v>
      </c>
      <c r="L67" s="14" t="str">
        <f>IFERROR(__xludf.DUMMYFUNCTION("IF(REGEXMATCH($B67,L$1),$D67,"""")"),"")</f>
        <v/>
      </c>
      <c r="M67" s="14" t="str">
        <f>IFERROR(__xludf.DUMMYFUNCTION("IF(REGEXMATCH($B67,M$1),$D67,"""")"),"Construct Dinosaur")</f>
        <v>Construct Dinosaur</v>
      </c>
      <c r="N67" s="14" t="str">
        <f>IFERROR(__xludf.DUMMYFUNCTION("IF(REGEXMATCH($B67,N$1),$D67,"""")"),"")</f>
        <v/>
      </c>
      <c r="O67" s="14" t="str">
        <f>IFERROR(__xludf.DUMMYFUNCTION("IF(REGEXMATCH($B67,O$1),$D67,"""")"),"")</f>
        <v/>
      </c>
      <c r="P67" s="14" t="str">
        <f>IFERROR(__xludf.DUMMYFUNCTION("IF(REGEXMATCH($B67,P$1),$D67,"""")"),"Construct Dinosaur")</f>
        <v>Construct Dinosaur</v>
      </c>
      <c r="Q67" s="14">
        <f>IFERROR(__xludf.DUMMYFUNCTION("IF($A67="""","""",LEN(REGEXREPLACE($I67,"",\s?"","""")))"),6.0)</f>
        <v>6</v>
      </c>
      <c r="S67" s="14"/>
      <c r="T67" s="14"/>
      <c r="U67" s="14"/>
      <c r="V67" s="14"/>
      <c r="W67" s="14"/>
      <c r="X67" s="14"/>
      <c r="Y67" s="14"/>
      <c r="Z67" s="14"/>
      <c r="AA67" s="14"/>
      <c r="AB67" s="14"/>
    </row>
    <row r="68" hidden="1">
      <c r="A68" s="20" t="s">
        <v>363</v>
      </c>
      <c r="B68" s="20" t="s">
        <v>331</v>
      </c>
      <c r="C68" s="19">
        <v>2.0</v>
      </c>
      <c r="D68" s="19" t="s">
        <v>364</v>
      </c>
      <c r="E68" s="20" t="s">
        <v>365</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Crystal|.*crystal.*b"&amp;"ury""),""Empty-Crystal"","""")&amp;IF(REGEXMATCH($E68,""Move|move""),""Move"","""")"),"Ramp ")</f>
        <v>Ramp </v>
      </c>
      <c r="G68" s="21" t="s">
        <v>366</v>
      </c>
      <c r="H68" s="19">
        <v>3.0</v>
      </c>
      <c r="I68" s="19" t="s">
        <v>334</v>
      </c>
      <c r="J68" s="19" t="s">
        <v>69</v>
      </c>
      <c r="L68" s="14" t="str">
        <f>IFERROR(__xludf.DUMMYFUNCTION("IF(REGEXMATCH($B68,L$1),$D68,"""")"),"")</f>
        <v/>
      </c>
      <c r="M68" s="14" t="str">
        <f>IFERROR(__xludf.DUMMYFUNCTION("IF(REGEXMATCH($B68,M$1),$D68,"""")"),"Dinosaur")</f>
        <v>Dinosaur</v>
      </c>
      <c r="N68" s="14" t="str">
        <f>IFERROR(__xludf.DUMMYFUNCTION("IF(REGEXMATCH($B68,N$1),$D68,"""")"),"")</f>
        <v/>
      </c>
      <c r="O68" s="14" t="str">
        <f>IFERROR(__xludf.DUMMYFUNCTION("IF(REGEXMATCH($B68,O$1),$D68,"""")"),"")</f>
        <v/>
      </c>
      <c r="P68" s="14" t="str">
        <f>IFERROR(__xludf.DUMMYFUNCTION("IF(REGEXMATCH($B68,P$1),$D68,"""")"),"Dinosaur")</f>
        <v>Dinosaur</v>
      </c>
      <c r="Q68" s="14">
        <f>IFERROR(__xludf.DUMMYFUNCTION("IF($A68="""","""",LEN(REGEXREPLACE($I68,"",\s?"","""")))"),3.0)</f>
        <v>3</v>
      </c>
      <c r="S68" s="14"/>
      <c r="T68" s="14"/>
      <c r="U68" s="14"/>
      <c r="V68" s="14"/>
      <c r="W68" s="14"/>
      <c r="X68" s="14"/>
      <c r="Y68" s="14"/>
      <c r="Z68" s="14"/>
      <c r="AA68" s="14"/>
      <c r="AB68" s="14"/>
    </row>
    <row r="69">
      <c r="A69" s="10" t="s">
        <v>367</v>
      </c>
      <c r="B69" s="10" t="s">
        <v>331</v>
      </c>
      <c r="C69" s="12">
        <v>1.0</v>
      </c>
      <c r="D69" s="12" t="s">
        <v>368</v>
      </c>
      <c r="E69" s="10"/>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f>
        <v/>
      </c>
      <c r="G69" s="13" t="s">
        <v>369</v>
      </c>
      <c r="H69" s="12">
        <v>2.0</v>
      </c>
      <c r="I69" s="12" t="s">
        <v>370</v>
      </c>
      <c r="J69" s="12" t="s">
        <v>33</v>
      </c>
      <c r="L69" s="14" t="str">
        <f>IFERROR(__xludf.DUMMYFUNCTION("IF(REGEXMATCH($B69,L$1),$D69,"""")"),"")</f>
        <v/>
      </c>
      <c r="M69" s="14" t="str">
        <f>IFERROR(__xludf.DUMMYFUNCTION("IF(REGEXMATCH($B69,M$1),$D69,"""")"),"Bannerbearer Dinosaur Wizard")</f>
        <v>Bannerbearer Dinosaur Wizard</v>
      </c>
      <c r="N69" s="14" t="str">
        <f>IFERROR(__xludf.DUMMYFUNCTION("IF(REGEXMATCH($B69,N$1),$D69,"""")"),"")</f>
        <v/>
      </c>
      <c r="O69" s="14" t="str">
        <f>IFERROR(__xludf.DUMMYFUNCTION("IF(REGEXMATCH($B69,O$1),$D69,"""")"),"")</f>
        <v/>
      </c>
      <c r="P69" s="14" t="str">
        <f>IFERROR(__xludf.DUMMYFUNCTION("IF(REGEXMATCH($B69,P$1),$D69,"""")"),"Bannerbearer Dinosaur Wizard")</f>
        <v>Bannerbearer Dinosaur Wizard</v>
      </c>
      <c r="Q69" s="14">
        <f>IFERROR(__xludf.DUMMYFUNCTION("IF($A69="""","""",LEN(REGEXREPLACE($I69,"",\s?"","""")))"),2.0)</f>
        <v>2</v>
      </c>
      <c r="R69" s="15" t="s">
        <v>371</v>
      </c>
      <c r="S69" s="17" t="s">
        <v>372</v>
      </c>
      <c r="T69" s="17" t="s">
        <v>373</v>
      </c>
      <c r="U69" s="17" t="s">
        <v>374</v>
      </c>
      <c r="V69" s="14"/>
      <c r="W69" s="14"/>
      <c r="X69" s="14"/>
      <c r="Y69" s="14"/>
      <c r="Z69" s="14"/>
      <c r="AA69" s="14"/>
      <c r="AB69" s="14"/>
    </row>
    <row r="70" hidden="1">
      <c r="A70" s="10" t="s">
        <v>375</v>
      </c>
      <c r="B70" s="10" t="s">
        <v>376</v>
      </c>
      <c r="C70" s="12">
        <v>2.0</v>
      </c>
      <c r="D70" s="12" t="s">
        <v>141</v>
      </c>
      <c r="E70" s="10" t="s">
        <v>377</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Crystal|.*crystal.*b"&amp;"ury""),""Empty-Crystal"","""")&amp;IF(REGEXMATCH($E70,""Move|move""),""Move"","""")"),"Unearth ")</f>
        <v>Unearth </v>
      </c>
      <c r="G70" s="13" t="s">
        <v>378</v>
      </c>
      <c r="H70" s="12">
        <v>4.0</v>
      </c>
      <c r="I70" s="12" t="s">
        <v>379</v>
      </c>
      <c r="J70" s="12" t="s">
        <v>69</v>
      </c>
      <c r="L70" s="14" t="str">
        <f>IFERROR(__xludf.DUMMYFUNCTION("IF(REGEXMATCH($B70,L$1),$D70,"""")"),"")</f>
        <v/>
      </c>
      <c r="M70" s="14" t="str">
        <f>IFERROR(__xludf.DUMMYFUNCTION("IF(REGEXMATCH($B70,M$1),$D70,"""")"),"")</f>
        <v/>
      </c>
      <c r="N70" s="14" t="str">
        <f>IFERROR(__xludf.DUMMYFUNCTION("IF(REGEXMATCH($B70,N$1),$D70,"""")"),"Human Hunter")</f>
        <v>Human Hunter</v>
      </c>
      <c r="O70" s="14" t="str">
        <f>IFERROR(__xludf.DUMMYFUNCTION("IF(REGEXMATCH($B70,O$1),$D70,"""")"),"")</f>
        <v/>
      </c>
      <c r="P70" s="14" t="str">
        <f>IFERROR(__xludf.DUMMYFUNCTION("IF(REGEXMATCH($B70,P$1),$D70,"""")"),"Human Hunter")</f>
        <v>Human Hunter</v>
      </c>
      <c r="Q70" s="14">
        <f>IFERROR(__xludf.DUMMYFUNCTION("IF($A70="""","""",LEN(REGEXREPLACE($I70,"",\s?"","""")))"),5.0)</f>
        <v>5</v>
      </c>
      <c r="S70" s="14"/>
      <c r="T70" s="14"/>
      <c r="U70" s="14"/>
      <c r="V70" s="14"/>
      <c r="W70" s="14"/>
      <c r="X70" s="14"/>
      <c r="Y70" s="14"/>
      <c r="Z70" s="14"/>
      <c r="AA70" s="14"/>
      <c r="AB70" s="14"/>
    </row>
    <row r="71">
      <c r="A71" s="10" t="s">
        <v>380</v>
      </c>
      <c r="B71" s="10" t="s">
        <v>376</v>
      </c>
      <c r="C71" s="12">
        <v>1.0</v>
      </c>
      <c r="D71" s="12" t="s">
        <v>35</v>
      </c>
      <c r="E71" s="10" t="s">
        <v>381</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Crystal|.*crystal.*b"&amp;"ury""),""Empty-Crystal"","""")&amp;IF(REGEXMATCH($E71,""Move|move""),""Move"","""")"),"Divine Void ")</f>
        <v>Divine Void </v>
      </c>
      <c r="G71" s="13" t="s">
        <v>382</v>
      </c>
      <c r="H71" s="12">
        <v>4.0</v>
      </c>
      <c r="I71" s="12" t="s">
        <v>383</v>
      </c>
      <c r="J71" s="12" t="s">
        <v>39</v>
      </c>
      <c r="L71" s="14" t="str">
        <f>IFERROR(__xludf.DUMMYFUNCTION("IF(REGEXMATCH($B71,L$1),$D71,"""")"),"")</f>
        <v/>
      </c>
      <c r="M71" s="14" t="str">
        <f>IFERROR(__xludf.DUMMYFUNCTION("IF(REGEXMATCH($B71,M$1),$D71,"""")"),"")</f>
        <v/>
      </c>
      <c r="N71" s="14" t="str">
        <f>IFERROR(__xludf.DUMMYFUNCTION("IF(REGEXMATCH($B71,N$1),$D71,"""")"),"Angel")</f>
        <v>Angel</v>
      </c>
      <c r="O71" s="14" t="str">
        <f>IFERROR(__xludf.DUMMYFUNCTION("IF(REGEXMATCH($B71,O$1),$D71,"""")"),"")</f>
        <v/>
      </c>
      <c r="P71" s="14" t="str">
        <f>IFERROR(__xludf.DUMMYFUNCTION("IF(REGEXMATCH($B71,P$1),$D71,"""")"),"Angel")</f>
        <v>Angel</v>
      </c>
      <c r="Q71" s="14">
        <f>IFERROR(__xludf.DUMMYFUNCTION("IF($A71="""","""",LEN(REGEXREPLACE($I71,"",\s?"","""")))"),7.0)</f>
        <v>7</v>
      </c>
      <c r="R71" s="15" t="s">
        <v>384</v>
      </c>
      <c r="S71" s="17" t="s">
        <v>385</v>
      </c>
      <c r="T71" s="17" t="s">
        <v>386</v>
      </c>
      <c r="U71" s="17" t="s">
        <v>387</v>
      </c>
      <c r="V71" s="17" t="s">
        <v>388</v>
      </c>
      <c r="W71" s="17" t="s">
        <v>389</v>
      </c>
      <c r="X71" s="17" t="s">
        <v>390</v>
      </c>
      <c r="Y71" s="17" t="s">
        <v>391</v>
      </c>
      <c r="Z71" s="17" t="s">
        <v>392</v>
      </c>
      <c r="AA71" s="17" t="s">
        <v>393</v>
      </c>
      <c r="AB71" s="17" t="s">
        <v>394</v>
      </c>
    </row>
    <row r="72">
      <c r="A72" s="10" t="s">
        <v>395</v>
      </c>
      <c r="B72" s="10" t="s">
        <v>376</v>
      </c>
      <c r="C72" s="12">
        <v>1.0</v>
      </c>
      <c r="D72" s="12" t="s">
        <v>396</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3" t="s">
        <v>397</v>
      </c>
      <c r="H72" s="12">
        <v>2.0</v>
      </c>
      <c r="I72" s="12" t="s">
        <v>398</v>
      </c>
      <c r="J72" s="12" t="s">
        <v>33</v>
      </c>
      <c r="L72" s="14" t="str">
        <f>IFERROR(__xludf.DUMMYFUNCTION("IF(REGEXMATCH($B72,L$1),$D72,"""")"),"")</f>
        <v/>
      </c>
      <c r="M72" s="14" t="str">
        <f>IFERROR(__xludf.DUMMYFUNCTION("IF(REGEXMATCH($B72,M$1),$D72,"""")"),"")</f>
        <v/>
      </c>
      <c r="N72" s="14" t="str">
        <f>IFERROR(__xludf.DUMMYFUNCTION("IF(REGEXMATCH($B72,N$1),$D72,"""")"),"Angel Bannerbearer Demon")</f>
        <v>Angel Bannerbearer Demon</v>
      </c>
      <c r="O72" s="14" t="str">
        <f>IFERROR(__xludf.DUMMYFUNCTION("IF(REGEXMATCH($B72,O$1),$D72,"""")"),"")</f>
        <v/>
      </c>
      <c r="P72" s="14" t="str">
        <f>IFERROR(__xludf.DUMMYFUNCTION("IF(REGEXMATCH($B72,P$1),$D72,"""")"),"Angel Bannerbearer Demon")</f>
        <v>Angel Bannerbearer Demon</v>
      </c>
      <c r="Q72" s="14">
        <f>IFERROR(__xludf.DUMMYFUNCTION("IF($A72="""","""",LEN(REGEXREPLACE($I72,"",\s?"","""")))"),2.0)</f>
        <v>2</v>
      </c>
      <c r="R72" s="15" t="s">
        <v>399</v>
      </c>
      <c r="S72" s="17" t="s">
        <v>400</v>
      </c>
      <c r="T72" s="17" t="s">
        <v>401</v>
      </c>
      <c r="U72" s="17" t="s">
        <v>402</v>
      </c>
      <c r="V72" s="17" t="s">
        <v>403</v>
      </c>
      <c r="W72" s="17" t="s">
        <v>404</v>
      </c>
      <c r="X72" s="17" t="s">
        <v>405</v>
      </c>
      <c r="Y72" s="17" t="s">
        <v>406</v>
      </c>
      <c r="Z72" s="17" t="s">
        <v>407</v>
      </c>
      <c r="AA72" s="17" t="s">
        <v>408</v>
      </c>
      <c r="AB72" s="17" t="s">
        <v>409</v>
      </c>
    </row>
    <row r="73" hidden="1">
      <c r="A73" s="20" t="s">
        <v>410</v>
      </c>
      <c r="B73" s="20" t="s">
        <v>376</v>
      </c>
      <c r="C73" s="19">
        <v>2.0</v>
      </c>
      <c r="D73" s="19" t="s">
        <v>411</v>
      </c>
      <c r="E73" s="20" t="s">
        <v>412</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Crystal|.*crystal.*b"&amp;"ury""),""Empty-Crystal"","""")&amp;IF(REGEXMATCH($E73,""Move|move""),""Move"","""")"),"Control Copy ")</f>
        <v>Control Copy </v>
      </c>
      <c r="G73" s="21" t="s">
        <v>413</v>
      </c>
      <c r="H73" s="19">
        <v>6.0</v>
      </c>
      <c r="I73" s="19" t="s">
        <v>414</v>
      </c>
      <c r="J73" s="19" t="s">
        <v>69</v>
      </c>
      <c r="L73" s="14" t="str">
        <f>IFERROR(__xludf.DUMMYFUNCTION("IF(REGEXMATCH($B73,L$1),$D73,"""")"),"")</f>
        <v/>
      </c>
      <c r="M73" s="14" t="str">
        <f>IFERROR(__xludf.DUMMYFUNCTION("IF(REGEXMATCH($B73,M$1),$D73,"""")"),"")</f>
        <v/>
      </c>
      <c r="N73" s="14" t="str">
        <f>IFERROR(__xludf.DUMMYFUNCTION("IF(REGEXMATCH($B73,N$1),$D73,"""")"),"Spirit")</f>
        <v>Spirit</v>
      </c>
      <c r="O73" s="14" t="str">
        <f>IFERROR(__xludf.DUMMYFUNCTION("IF(REGEXMATCH($B73,O$1),$D73,"""")"),"")</f>
        <v/>
      </c>
      <c r="P73" s="14" t="str">
        <f>IFERROR(__xludf.DUMMYFUNCTION("IF(REGEXMATCH($B73,P$1),$D73,"""")"),"Spirit")</f>
        <v>Spirit</v>
      </c>
      <c r="Q73" s="14">
        <f>IFERROR(__xludf.DUMMYFUNCTION("IF($A73="""","""",LEN(REGEXREPLACE($I73,"",\s?"","""")))"),6.0)</f>
        <v>6</v>
      </c>
      <c r="S73" s="14"/>
      <c r="T73" s="14"/>
      <c r="U73" s="14"/>
      <c r="V73" s="14"/>
      <c r="W73" s="14"/>
      <c r="X73" s="14"/>
      <c r="Y73" s="14"/>
      <c r="Z73" s="14"/>
      <c r="AA73" s="14"/>
      <c r="AB73" s="14"/>
    </row>
    <row r="74">
      <c r="A74" s="10" t="s">
        <v>415</v>
      </c>
      <c r="B74" s="10" t="s">
        <v>376</v>
      </c>
      <c r="C74" s="12">
        <v>1.0</v>
      </c>
      <c r="D74" s="12" t="s">
        <v>221</v>
      </c>
      <c r="E74" s="10" t="s">
        <v>416</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Crystal|.*crystal.*b"&amp;"ury""),""Empty-Crystal"","""")&amp;IF(REGEXMATCH($E74,""Move|move""),""Move"","""")"),"Divine Void ")</f>
        <v>Divine Void </v>
      </c>
      <c r="G74" s="13" t="s">
        <v>417</v>
      </c>
      <c r="H74" s="12">
        <v>3.0</v>
      </c>
      <c r="I74" s="12" t="s">
        <v>418</v>
      </c>
      <c r="J74" s="12" t="s">
        <v>69</v>
      </c>
      <c r="L74" s="14" t="str">
        <f>IFERROR(__xludf.DUMMYFUNCTION("IF(REGEXMATCH($B74,L$1),$D74,"""")"),"")</f>
        <v/>
      </c>
      <c r="M74" s="14" t="str">
        <f>IFERROR(__xludf.DUMMYFUNCTION("IF(REGEXMATCH($B74,M$1),$D74,"""")"),"")</f>
        <v/>
      </c>
      <c r="N74" s="14" t="str">
        <f>IFERROR(__xludf.DUMMYFUNCTION("IF(REGEXMATCH($B74,N$1),$D74,"""")"),"Animal Spirit")</f>
        <v>Animal Spirit</v>
      </c>
      <c r="O74" s="14" t="str">
        <f>IFERROR(__xludf.DUMMYFUNCTION("IF(REGEXMATCH($B74,O$1),$D74,"""")"),"")</f>
        <v/>
      </c>
      <c r="P74" s="14" t="str">
        <f>IFERROR(__xludf.DUMMYFUNCTION("IF(REGEXMATCH($B74,P$1),$D74,"""")"),"Animal Spirit")</f>
        <v>Animal Spirit</v>
      </c>
      <c r="Q74" s="14">
        <f>IFERROR(__xludf.DUMMYFUNCTION("IF($A74="""","""",LEN(REGEXREPLACE($I74,"",\s?"","""")))"),3.0)</f>
        <v>3</v>
      </c>
      <c r="R74" s="15" t="s">
        <v>419</v>
      </c>
      <c r="S74" s="17" t="s">
        <v>420</v>
      </c>
      <c r="T74" s="17" t="s">
        <v>421</v>
      </c>
      <c r="U74" s="17" t="s">
        <v>422</v>
      </c>
      <c r="V74" s="17" t="s">
        <v>423</v>
      </c>
      <c r="W74" s="17" t="s">
        <v>424</v>
      </c>
      <c r="X74" s="17" t="s">
        <v>425</v>
      </c>
      <c r="Y74" s="17" t="s">
        <v>426</v>
      </c>
      <c r="Z74" s="14"/>
      <c r="AA74" s="14"/>
      <c r="AB74" s="14"/>
    </row>
    <row r="75" hidden="1">
      <c r="A75" s="20" t="s">
        <v>427</v>
      </c>
      <c r="B75" s="40" t="s">
        <v>11</v>
      </c>
      <c r="C75" s="19">
        <v>2.0</v>
      </c>
      <c r="D75" s="19" t="s">
        <v>44</v>
      </c>
      <c r="E75" s="20" t="s">
        <v>428</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Crystal|.*crystal.*b"&amp;"ury""),""Empty-Crystal"","""")&amp;IF(REGEXMATCH($E75,""Move|move""),""Move"","""")"),"Spirit ")</f>
        <v>Spirit </v>
      </c>
      <c r="G75" s="21" t="s">
        <v>429</v>
      </c>
      <c r="H75" s="19">
        <v>2.0</v>
      </c>
      <c r="I75" s="12" t="s">
        <v>430</v>
      </c>
      <c r="J75" s="12" t="s">
        <v>33</v>
      </c>
      <c r="L75" s="14" t="str">
        <f>IFERROR(__xludf.DUMMYFUNCTION("IF(REGEXMATCH($B75,L$1),$D75,"""")"),"Human")</f>
        <v>Human</v>
      </c>
      <c r="M75" s="14" t="str">
        <f>IFERROR(__xludf.DUMMYFUNCTION("IF(REGEXMATCH($B75,M$1),$D75,"""")"),"")</f>
        <v/>
      </c>
      <c r="N75" s="14" t="str">
        <f>IFERROR(__xludf.DUMMYFUNCTION("IF(REGEXMATCH($B75,N$1),$D75,"""")"),"")</f>
        <v/>
      </c>
      <c r="O75" s="14" t="str">
        <f>IFERROR(__xludf.DUMMYFUNCTION("IF(REGEXMATCH($B75,O$1),$D75,"""")"),"")</f>
        <v/>
      </c>
      <c r="P75" s="14" t="str">
        <f>IFERROR(__xludf.DUMMYFUNCTION("IF(REGEXMATCH($B75,P$1),$D75,"""")"),"")</f>
        <v/>
      </c>
      <c r="Q75" s="14">
        <f>IFERROR(__xludf.DUMMYFUNCTION("IF($A75="""","""",LEN(REGEXREPLACE($I75,"",\s?"","""")))"),3.0)</f>
        <v>3</v>
      </c>
      <c r="S75" s="14"/>
      <c r="T75" s="14"/>
      <c r="U75" s="14"/>
      <c r="V75" s="14"/>
      <c r="W75" s="14"/>
      <c r="X75" s="14"/>
      <c r="Y75" s="14"/>
      <c r="Z75" s="14"/>
      <c r="AA75" s="14"/>
      <c r="AB75" s="14"/>
    </row>
    <row r="76">
      <c r="A76" s="10" t="s">
        <v>431</v>
      </c>
      <c r="B76" s="10" t="s">
        <v>11</v>
      </c>
      <c r="C76" s="12">
        <v>1.0</v>
      </c>
      <c r="D76" s="12" t="s">
        <v>432</v>
      </c>
      <c r="E76" s="10" t="s">
        <v>433</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Crystal|.*crystal.*b"&amp;"ury""),""Empty-Crystal"","""")&amp;IF(REGEXMATCH($E76,""Move|move""),""Move"","""")"),"Unearth ")</f>
        <v>Unearth </v>
      </c>
      <c r="G76" s="13" t="s">
        <v>434</v>
      </c>
      <c r="H76" s="12">
        <v>2.0</v>
      </c>
      <c r="I76" s="12" t="s">
        <v>435</v>
      </c>
      <c r="J76" s="12" t="s">
        <v>69</v>
      </c>
      <c r="L76" s="14" t="str">
        <f>IFERROR(__xludf.DUMMYFUNCTION("IF(REGEXMATCH($B76,L$1),$D76,"""")"),"Dragon")</f>
        <v>Dragon</v>
      </c>
      <c r="M76" s="14" t="str">
        <f>IFERROR(__xludf.DUMMYFUNCTION("IF(REGEXMATCH($B76,M$1),$D76,"""")"),"")</f>
        <v/>
      </c>
      <c r="N76" s="14" t="str">
        <f>IFERROR(__xludf.DUMMYFUNCTION("IF(REGEXMATCH($B76,N$1),$D76,"""")"),"")</f>
        <v/>
      </c>
      <c r="O76" s="14" t="str">
        <f>IFERROR(__xludf.DUMMYFUNCTION("IF(REGEXMATCH($B76,O$1),$D76,"""")"),"")</f>
        <v/>
      </c>
      <c r="P76" s="14" t="str">
        <f>IFERROR(__xludf.DUMMYFUNCTION("IF(REGEXMATCH($B76,P$1),$D76,"""")"),"")</f>
        <v/>
      </c>
      <c r="Q76" s="14">
        <f>IFERROR(__xludf.DUMMYFUNCTION("IF($A76="""","""",LEN(REGEXREPLACE($I76,"",\s?"","""")))"),2.0)</f>
        <v>2</v>
      </c>
      <c r="R76" s="15" t="s">
        <v>436</v>
      </c>
      <c r="S76" s="17" t="s">
        <v>437</v>
      </c>
      <c r="T76" s="17" t="s">
        <v>438</v>
      </c>
      <c r="U76" s="17" t="s">
        <v>439</v>
      </c>
      <c r="V76" s="17" t="s">
        <v>440</v>
      </c>
      <c r="W76" s="17" t="s">
        <v>441</v>
      </c>
      <c r="X76" s="17" t="s">
        <v>442</v>
      </c>
      <c r="Y76" s="17" t="s">
        <v>443</v>
      </c>
      <c r="Z76" s="17" t="s">
        <v>444</v>
      </c>
      <c r="AA76" s="17" t="s">
        <v>445</v>
      </c>
      <c r="AB76" s="17" t="s">
        <v>446</v>
      </c>
    </row>
    <row r="77" hidden="1">
      <c r="A77" s="10" t="s">
        <v>447</v>
      </c>
      <c r="B77" s="41" t="s">
        <v>11</v>
      </c>
      <c r="C77" s="12">
        <v>2.0</v>
      </c>
      <c r="D77" s="12" t="s">
        <v>312</v>
      </c>
      <c r="E77" s="10" t="s">
        <v>448</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Crystal|.*crystal.*b"&amp;"ury""),""Empty-Crystal"","""")&amp;IF(REGEXMATCH($E77,""Move|move""),""Move"","""")"),"Wizard ")</f>
        <v>Wizard </v>
      </c>
      <c r="G77" s="13" t="s">
        <v>449</v>
      </c>
      <c r="H77" s="12">
        <v>4.0</v>
      </c>
      <c r="I77" s="12" t="s">
        <v>450</v>
      </c>
      <c r="J77" s="12" t="s">
        <v>69</v>
      </c>
      <c r="L77" s="14" t="str">
        <f>IFERROR(__xludf.DUMMYFUNCTION("IF(REGEXMATCH($B77,L$1),$D77,"""")"),"Human Wizard")</f>
        <v>Human Wizard</v>
      </c>
      <c r="M77" s="14" t="str">
        <f>IFERROR(__xludf.DUMMYFUNCTION("IF(REGEXMATCH($B77,M$1),$D77,"""")"),"")</f>
        <v/>
      </c>
      <c r="N77" s="14" t="str">
        <f>IFERROR(__xludf.DUMMYFUNCTION("IF(REGEXMATCH($B77,N$1),$D77,"""")"),"")</f>
        <v/>
      </c>
      <c r="O77" s="14" t="str">
        <f>IFERROR(__xludf.DUMMYFUNCTION("IF(REGEXMATCH($B77,O$1),$D77,"""")"),"")</f>
        <v/>
      </c>
      <c r="P77" s="14" t="str">
        <f>IFERROR(__xludf.DUMMYFUNCTION("IF(REGEXMATCH($B77,P$1),$D77,"""")"),"")</f>
        <v/>
      </c>
      <c r="Q77" s="14">
        <f>IFERROR(__xludf.DUMMYFUNCTION("IF($A77="""","""",LEN(REGEXREPLACE($I77,"",\s?"","""")))"),5.0)</f>
        <v>5</v>
      </c>
      <c r="S77" s="14"/>
      <c r="T77" s="14"/>
      <c r="U77" s="14"/>
      <c r="V77" s="14"/>
      <c r="W77" s="14"/>
      <c r="X77" s="14"/>
      <c r="Y77" s="14"/>
      <c r="Z77" s="14"/>
      <c r="AA77" s="14"/>
      <c r="AB77" s="14"/>
    </row>
    <row r="78" hidden="1">
      <c r="A78" s="20" t="s">
        <v>451</v>
      </c>
      <c r="B78" s="42" t="s">
        <v>11</v>
      </c>
      <c r="C78" s="19">
        <v>2.0</v>
      </c>
      <c r="D78" s="19" t="s">
        <v>432</v>
      </c>
      <c r="E78" s="20" t="s">
        <v>452</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Crystal|.*crystal.*b"&amp;"ury""),""Empty-Crystal"","""")&amp;IF(REGEXMATCH($E78,""Move|move""),""Move"","""")"),"Ramp ")</f>
        <v>Ramp </v>
      </c>
      <c r="G78" s="21" t="s">
        <v>453</v>
      </c>
      <c r="H78" s="19">
        <v>3.0</v>
      </c>
      <c r="I78" s="19" t="s">
        <v>430</v>
      </c>
      <c r="J78" s="19" t="s">
        <v>33</v>
      </c>
      <c r="L78" s="14" t="str">
        <f>IFERROR(__xludf.DUMMYFUNCTION("IF(REGEXMATCH($B78,L$1),$D78,"""")"),"Dragon")</f>
        <v>Dragon</v>
      </c>
      <c r="M78" s="14" t="str">
        <f>IFERROR(__xludf.DUMMYFUNCTION("IF(REGEXMATCH($B78,M$1),$D78,"""")"),"")</f>
        <v/>
      </c>
      <c r="N78" s="14" t="str">
        <f>IFERROR(__xludf.DUMMYFUNCTION("IF(REGEXMATCH($B78,N$1),$D78,"""")"),"")</f>
        <v/>
      </c>
      <c r="O78" s="14" t="str">
        <f>IFERROR(__xludf.DUMMYFUNCTION("IF(REGEXMATCH($B78,O$1),$D78,"""")"),"")</f>
        <v/>
      </c>
      <c r="P78" s="14" t="str">
        <f>IFERROR(__xludf.DUMMYFUNCTION("IF(REGEXMATCH($B78,P$1),$D78,"""")"),"")</f>
        <v/>
      </c>
      <c r="Q78" s="14">
        <f>IFERROR(__xludf.DUMMYFUNCTION("IF($A78="""","""",LEN(REGEXREPLACE($I78,"",\s?"","""")))"),3.0)</f>
        <v>3</v>
      </c>
      <c r="S78" s="14"/>
      <c r="T78" s="14"/>
      <c r="U78" s="14"/>
      <c r="V78" s="14"/>
      <c r="W78" s="14"/>
      <c r="X78" s="14"/>
      <c r="Y78" s="14"/>
      <c r="Z78" s="14"/>
      <c r="AA78" s="14"/>
      <c r="AB78" s="14"/>
    </row>
    <row r="79" hidden="1">
      <c r="A79" s="25" t="s">
        <v>454</v>
      </c>
      <c r="B79" s="41" t="s">
        <v>11</v>
      </c>
      <c r="C79" s="12">
        <v>2.0</v>
      </c>
      <c r="D79" s="12" t="s">
        <v>221</v>
      </c>
      <c r="E79" s="10" t="s">
        <v>455</v>
      </c>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Crystal|.*crystal.*b"&amp;"ury""),""Empty-Crystal"","""")&amp;IF(REGEXMATCH($E79,""Move|move""),""Move"","""")"),"Control Move")</f>
        <v>Control Move</v>
      </c>
      <c r="G79" s="13" t="s">
        <v>456</v>
      </c>
      <c r="H79" s="12">
        <v>2.0</v>
      </c>
      <c r="I79" s="12" t="s">
        <v>457</v>
      </c>
      <c r="J79" s="12" t="s">
        <v>39</v>
      </c>
      <c r="L79" s="14" t="str">
        <f>IFERROR(__xludf.DUMMYFUNCTION("IF(REGEXMATCH($B79,L$1),$D79,"""")"),"Animal Spirit")</f>
        <v>Animal Spirit</v>
      </c>
      <c r="M79" s="14" t="str">
        <f>IFERROR(__xludf.DUMMYFUNCTION("IF(REGEXMATCH($B79,M$1),$D79,"""")"),"")</f>
        <v/>
      </c>
      <c r="N79" s="14" t="str">
        <f>IFERROR(__xludf.DUMMYFUNCTION("IF(REGEXMATCH($B79,N$1),$D79,"""")"),"")</f>
        <v/>
      </c>
      <c r="O79" s="14" t="str">
        <f>IFERROR(__xludf.DUMMYFUNCTION("IF(REGEXMATCH($B79,O$1),$D79,"""")"),"")</f>
        <v/>
      </c>
      <c r="P79" s="14" t="str">
        <f>IFERROR(__xludf.DUMMYFUNCTION("IF(REGEXMATCH($B79,P$1),$D79,"""")"),"")</f>
        <v/>
      </c>
      <c r="Q79" s="14">
        <f>IFERROR(__xludf.DUMMYFUNCTION("IF($A79="""","""",LEN(REGEXREPLACE($I79,"",\s?"","""")))"),1.0)</f>
        <v>1</v>
      </c>
      <c r="S79" s="14"/>
      <c r="T79" s="14"/>
      <c r="U79" s="14"/>
      <c r="V79" s="14"/>
      <c r="W79" s="14"/>
      <c r="X79" s="14"/>
      <c r="Y79" s="14"/>
      <c r="Z79" s="14"/>
      <c r="AA79" s="14"/>
      <c r="AB79" s="14"/>
    </row>
    <row r="80">
      <c r="A80" s="43" t="s">
        <v>458</v>
      </c>
      <c r="B80" s="20" t="s">
        <v>11</v>
      </c>
      <c r="C80" s="19">
        <v>1.0</v>
      </c>
      <c r="D80" s="19" t="s">
        <v>459</v>
      </c>
      <c r="E80" s="20" t="s">
        <v>460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Crystal|.*crystal.*b"&amp;"ury""),""Empty-Crystal"","""")&amp;IF(REGEXMATCH($E80,""Move|move""),""Move"","""")"),"Unearth ")</f>
        <v>Unearth </v>
      </c>
      <c r="G80" s="44"/>
      <c r="H80" s="19">
        <v>2.0</v>
      </c>
      <c r="I80" s="19" t="s">
        <v>461</v>
      </c>
      <c r="J80" s="19" t="s">
        <v>39</v>
      </c>
      <c r="L80" s="14" t="str">
        <f>IFERROR(__xludf.DUMMYFUNCTION("IF(REGEXMATCH($B80,L$1),$D80,"""")"),"Insect")</f>
        <v>Insect</v>
      </c>
      <c r="M80" s="14" t="str">
        <f>IFERROR(__xludf.DUMMYFUNCTION("IF(REGEXMATCH($B80,M$1),$D80,"""")"),"")</f>
        <v/>
      </c>
      <c r="N80" s="14" t="str">
        <f>IFERROR(__xludf.DUMMYFUNCTION("IF(REGEXMATCH($B80,N$1),$D80,"""")"),"")</f>
        <v/>
      </c>
      <c r="O80" s="14" t="str">
        <f>IFERROR(__xludf.DUMMYFUNCTION("IF(REGEXMATCH($B80,O$1),$D80,"""")"),"")</f>
        <v/>
      </c>
      <c r="P80" s="14" t="str">
        <f>IFERROR(__xludf.DUMMYFUNCTION("IF(REGEXMATCH($B80,P$1),$D80,"""")"),"")</f>
        <v/>
      </c>
      <c r="Q80" s="14">
        <f>IFERROR(__xludf.DUMMYFUNCTION("IF($A80="""","""",LEN(REGEXREPLACE($I80,"",\s?"","""")))"),3.0)</f>
        <v>3</v>
      </c>
      <c r="R80" s="15" t="s">
        <v>462</v>
      </c>
      <c r="S80" s="17" t="s">
        <v>463</v>
      </c>
      <c r="T80" s="17" t="s">
        <v>464</v>
      </c>
      <c r="U80" s="17" t="s">
        <v>465</v>
      </c>
      <c r="V80" s="17" t="s">
        <v>466</v>
      </c>
      <c r="W80" s="17" t="s">
        <v>467</v>
      </c>
      <c r="X80" s="17" t="s">
        <v>468</v>
      </c>
      <c r="Y80" s="17" t="s">
        <v>469</v>
      </c>
      <c r="Z80" s="17" t="s">
        <v>470</v>
      </c>
      <c r="AA80" s="17" t="s">
        <v>471</v>
      </c>
      <c r="AB80" s="17" t="s">
        <v>472</v>
      </c>
    </row>
    <row r="81" hidden="1">
      <c r="A81" s="20" t="s">
        <v>473</v>
      </c>
      <c r="B81" s="45" t="s">
        <v>11</v>
      </c>
      <c r="C81" s="19">
        <v>2.0</v>
      </c>
      <c r="D81" s="19" t="s">
        <v>474</v>
      </c>
      <c r="E81" s="20" t="s">
        <v>475</v>
      </c>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Crystal|.*crystal.*b"&amp;"ury""),""Empty-Crystal"","""")&amp;IF(REGEXMATCH($E81,""Move|move""),""Move"","""")"),"Dragon Ascend ")</f>
        <v>Dragon Ascend </v>
      </c>
      <c r="G81" s="21" t="s">
        <v>476</v>
      </c>
      <c r="H81" s="19">
        <v>3.0</v>
      </c>
      <c r="I81" s="19" t="s">
        <v>430</v>
      </c>
      <c r="J81" s="19" t="s">
        <v>33</v>
      </c>
      <c r="L81" s="14" t="str">
        <f>IFERROR(__xludf.DUMMYFUNCTION("IF(REGEXMATCH($B81,L$1),$D81,"""")"),"Human Warrior")</f>
        <v>Human Warrior</v>
      </c>
      <c r="M81" s="14" t="str">
        <f>IFERROR(__xludf.DUMMYFUNCTION("IF(REGEXMATCH($B81,M$1),$D81,"""")"),"")</f>
        <v/>
      </c>
      <c r="N81" s="14" t="str">
        <f>IFERROR(__xludf.DUMMYFUNCTION("IF(REGEXMATCH($B81,N$1),$D81,"""")"),"")</f>
        <v/>
      </c>
      <c r="O81" s="14" t="str">
        <f>IFERROR(__xludf.DUMMYFUNCTION("IF(REGEXMATCH($B81,O$1),$D81,"""")"),"")</f>
        <v/>
      </c>
      <c r="P81" s="14" t="str">
        <f>IFERROR(__xludf.DUMMYFUNCTION("IF(REGEXMATCH($B81,P$1),$D81,"""")"),"")</f>
        <v/>
      </c>
      <c r="Q81" s="14">
        <f>IFERROR(__xludf.DUMMYFUNCTION("IF($A81="""","""",LEN(REGEXREPLACE($I81,"",\s?"","""")))"),3.0)</f>
        <v>3</v>
      </c>
      <c r="S81" s="14"/>
      <c r="T81" s="14"/>
      <c r="U81" s="14"/>
      <c r="V81" s="14"/>
      <c r="W81" s="14"/>
      <c r="X81" s="14"/>
      <c r="Y81" s="14"/>
      <c r="Z81" s="14"/>
      <c r="AA81" s="14"/>
      <c r="AB81" s="14"/>
    </row>
    <row r="82">
      <c r="A82" s="20" t="s">
        <v>477</v>
      </c>
      <c r="B82" s="10" t="s">
        <v>11</v>
      </c>
      <c r="C82" s="12">
        <v>1.0</v>
      </c>
      <c r="D82" s="24" t="s">
        <v>432</v>
      </c>
      <c r="E82" s="20" t="s">
        <v>478</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f>
        <v/>
      </c>
      <c r="G82" s="21" t="s">
        <v>479</v>
      </c>
      <c r="H82" s="24">
        <v>5.0</v>
      </c>
      <c r="I82" s="12" t="s">
        <v>480</v>
      </c>
      <c r="J82" s="24" t="s">
        <v>33</v>
      </c>
      <c r="L82" s="14" t="str">
        <f>IFERROR(__xludf.DUMMYFUNCTION("IF(REGEXMATCH($B82,L$1),$D82,"""")"),"Dragon")</f>
        <v>Dragon</v>
      </c>
      <c r="M82" s="14" t="str">
        <f>IFERROR(__xludf.DUMMYFUNCTION("IF(REGEXMATCH($B82,M$1),$D82,"""")"),"")</f>
        <v/>
      </c>
      <c r="N82" s="14" t="str">
        <f>IFERROR(__xludf.DUMMYFUNCTION("IF(REGEXMATCH($B82,N$1),$D82,"""")"),"")</f>
        <v/>
      </c>
      <c r="O82" s="14" t="str">
        <f>IFERROR(__xludf.DUMMYFUNCTION("IF(REGEXMATCH($B82,O$1),$D82,"""")"),"")</f>
        <v/>
      </c>
      <c r="P82" s="14" t="str">
        <f>IFERROR(__xludf.DUMMYFUNCTION("IF(REGEXMATCH($B82,P$1),$D82,"""")"),"")</f>
        <v/>
      </c>
      <c r="Q82" s="14">
        <f>IFERROR(__xludf.DUMMYFUNCTION("IF($A82="""","""",LEN(REGEXREPLACE($I82,"",\s?"","""")))"),5.0)</f>
        <v>5</v>
      </c>
      <c r="R82" s="15" t="s">
        <v>481</v>
      </c>
      <c r="S82" s="17" t="s">
        <v>482</v>
      </c>
      <c r="T82" s="17" t="s">
        <v>483</v>
      </c>
      <c r="U82" s="17" t="s">
        <v>484</v>
      </c>
      <c r="V82" s="17" t="s">
        <v>485</v>
      </c>
      <c r="W82" s="17" t="s">
        <v>486</v>
      </c>
      <c r="X82" s="17" t="s">
        <v>487</v>
      </c>
      <c r="Y82" s="17" t="s">
        <v>488</v>
      </c>
      <c r="Z82" s="17" t="s">
        <v>489</v>
      </c>
      <c r="AA82" s="17" t="s">
        <v>490</v>
      </c>
      <c r="AB82" s="17" t="s">
        <v>491</v>
      </c>
    </row>
    <row r="83">
      <c r="A83" s="25" t="s">
        <v>492</v>
      </c>
      <c r="B83" s="10" t="s">
        <v>11</v>
      </c>
      <c r="C83" s="12">
        <v>1.0</v>
      </c>
      <c r="D83" s="12" t="s">
        <v>493</v>
      </c>
      <c r="E83" s="10" t="s">
        <v>494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Crystal|.*crystal.*b"&amp;"ury""),""Empty-Crystal"","""")&amp;IF(REGEXMATCH($E83,""Move|move""),""Move"","""")"),"Elemental ")</f>
        <v>Elemental </v>
      </c>
      <c r="G83" s="13" t="s">
        <v>495</v>
      </c>
      <c r="H83" s="12">
        <v>1.0</v>
      </c>
      <c r="I83" s="12" t="s">
        <v>457</v>
      </c>
      <c r="J83" s="12" t="s">
        <v>33</v>
      </c>
      <c r="L83" s="14" t="str">
        <f>IFERROR(__xludf.DUMMYFUNCTION("IF(REGEXMATCH($B83,L$1),$D83,"""")"),"Spirit Wizard")</f>
        <v>Spirit Wizard</v>
      </c>
      <c r="M83" s="14" t="str">
        <f>IFERROR(__xludf.DUMMYFUNCTION("IF(REGEXMATCH($B83,M$1),$D83,"""")"),"")</f>
        <v/>
      </c>
      <c r="N83" s="14" t="str">
        <f>IFERROR(__xludf.DUMMYFUNCTION("IF(REGEXMATCH($B83,N$1),$D83,"""")"),"")</f>
        <v/>
      </c>
      <c r="O83" s="14" t="str">
        <f>IFERROR(__xludf.DUMMYFUNCTION("IF(REGEXMATCH($B83,O$1),$D83,"""")"),"")</f>
        <v/>
      </c>
      <c r="P83" s="14" t="str">
        <f>IFERROR(__xludf.DUMMYFUNCTION("IF(REGEXMATCH($B83,P$1),$D83,"""")"),"")</f>
        <v/>
      </c>
      <c r="Q83" s="14">
        <f>IFERROR(__xludf.DUMMYFUNCTION("IF($A83="""","""",LEN(REGEXREPLACE($I83,"",\s?"","""")))"),1.0)</f>
        <v>1</v>
      </c>
      <c r="R83" s="15" t="s">
        <v>496</v>
      </c>
      <c r="S83" s="17" t="s">
        <v>497</v>
      </c>
      <c r="T83" s="17" t="s">
        <v>498</v>
      </c>
      <c r="U83" s="17" t="s">
        <v>499</v>
      </c>
      <c r="V83" s="17" t="s">
        <v>500</v>
      </c>
      <c r="W83" s="17" t="s">
        <v>501</v>
      </c>
      <c r="X83" s="17" t="s">
        <v>502</v>
      </c>
      <c r="Y83" s="17" t="s">
        <v>503</v>
      </c>
      <c r="Z83" s="16" t="s">
        <v>504</v>
      </c>
      <c r="AA83" s="17" t="s">
        <v>505</v>
      </c>
      <c r="AB83" s="17" t="s">
        <v>506</v>
      </c>
    </row>
    <row r="84">
      <c r="A84" s="10" t="s">
        <v>507</v>
      </c>
      <c r="B84" s="10" t="s">
        <v>11</v>
      </c>
      <c r="C84" s="12">
        <v>1.0</v>
      </c>
      <c r="D84" s="12" t="s">
        <v>474</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f>
        <v/>
      </c>
      <c r="G84" s="46" t="s">
        <v>508</v>
      </c>
      <c r="H84" s="12">
        <v>3.0</v>
      </c>
      <c r="I84" s="12" t="s">
        <v>435</v>
      </c>
      <c r="J84" s="12" t="s">
        <v>33</v>
      </c>
      <c r="L84" s="14" t="str">
        <f>IFERROR(__xludf.DUMMYFUNCTION("IF(REGEXMATCH($B84,L$1),$D84,"""")"),"Human Warrior")</f>
        <v>Human Warrior</v>
      </c>
      <c r="M84" s="14" t="str">
        <f>IFERROR(__xludf.DUMMYFUNCTION("IF(REGEXMATCH($B84,M$1),$D84,"""")"),"")</f>
        <v/>
      </c>
      <c r="N84" s="14" t="str">
        <f>IFERROR(__xludf.DUMMYFUNCTION("IF(REGEXMATCH($B84,N$1),$D84,"""")"),"")</f>
        <v/>
      </c>
      <c r="O84" s="14" t="str">
        <f>IFERROR(__xludf.DUMMYFUNCTION("IF(REGEXMATCH($B84,O$1),$D84,"""")"),"")</f>
        <v/>
      </c>
      <c r="P84" s="14" t="str">
        <f>IFERROR(__xludf.DUMMYFUNCTION("IF(REGEXMATCH($B84,P$1),$D84,"""")"),"")</f>
        <v/>
      </c>
      <c r="Q84" s="14">
        <f>IFERROR(__xludf.DUMMYFUNCTION("IF($A84="""","""",LEN(REGEXREPLACE($I84,"",\s?"","""")))"),2.0)</f>
        <v>2</v>
      </c>
      <c r="R84" s="15" t="s">
        <v>509</v>
      </c>
      <c r="S84" s="17" t="s">
        <v>510</v>
      </c>
      <c r="T84" s="17" t="s">
        <v>511</v>
      </c>
      <c r="U84" s="17" t="s">
        <v>512</v>
      </c>
      <c r="V84" s="17" t="s">
        <v>513</v>
      </c>
      <c r="W84" s="17" t="s">
        <v>514</v>
      </c>
      <c r="X84" s="17" t="s">
        <v>515</v>
      </c>
      <c r="Y84" s="17" t="s">
        <v>516</v>
      </c>
      <c r="Z84" s="17" t="s">
        <v>517</v>
      </c>
      <c r="AA84" s="17" t="s">
        <v>518</v>
      </c>
      <c r="AB84" s="17" t="s">
        <v>519</v>
      </c>
    </row>
    <row r="85">
      <c r="A85" s="20" t="s">
        <v>520</v>
      </c>
      <c r="B85" s="10" t="s">
        <v>11</v>
      </c>
      <c r="C85" s="12">
        <v>1.0</v>
      </c>
      <c r="D85" s="12" t="s">
        <v>44</v>
      </c>
      <c r="E85" s="10" t="s">
        <v>521</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f>
        <v/>
      </c>
      <c r="G85" s="13" t="s">
        <v>522</v>
      </c>
      <c r="H85" s="12">
        <v>1.0</v>
      </c>
      <c r="I85" s="47" t="s">
        <v>457</v>
      </c>
      <c r="J85" s="12" t="s">
        <v>33</v>
      </c>
      <c r="L85" s="14" t="str">
        <f>IFERROR(__xludf.DUMMYFUNCTION("IF(REGEXMATCH($B85,L$1),$D85,"""")"),"Human")</f>
        <v>Human</v>
      </c>
      <c r="M85" s="14" t="str">
        <f>IFERROR(__xludf.DUMMYFUNCTION("IF(REGEXMATCH($B85,M$1),$D85,"""")"),"")</f>
        <v/>
      </c>
      <c r="N85" s="14" t="str">
        <f>IFERROR(__xludf.DUMMYFUNCTION("IF(REGEXMATCH($B85,N$1),$D85,"""")"),"")</f>
        <v/>
      </c>
      <c r="O85" s="14" t="str">
        <f>IFERROR(__xludf.DUMMYFUNCTION("IF(REGEXMATCH($B85,O$1),$D85,"""")"),"")</f>
        <v/>
      </c>
      <c r="P85" s="14" t="str">
        <f>IFERROR(__xludf.DUMMYFUNCTION("IF(REGEXMATCH($B85,P$1),$D85,"""")"),"")</f>
        <v/>
      </c>
      <c r="Q85" s="14">
        <f>IFERROR(__xludf.DUMMYFUNCTION("IF($A85="""","""",LEN(REGEXREPLACE($I85,"",\s?"","""")))"),1.0)</f>
        <v>1</v>
      </c>
      <c r="R85" s="15" t="s">
        <v>523</v>
      </c>
      <c r="S85" s="17" t="s">
        <v>524</v>
      </c>
      <c r="T85" s="17" t="s">
        <v>525</v>
      </c>
      <c r="U85" s="17" t="s">
        <v>526</v>
      </c>
      <c r="V85" s="17" t="s">
        <v>527</v>
      </c>
      <c r="W85" s="17" t="s">
        <v>528</v>
      </c>
      <c r="X85" s="17" t="s">
        <v>529</v>
      </c>
      <c r="Y85" s="17" t="s">
        <v>530</v>
      </c>
      <c r="Z85" s="17" t="s">
        <v>531</v>
      </c>
      <c r="AA85" s="17" t="s">
        <v>532</v>
      </c>
      <c r="AB85" s="17" t="s">
        <v>533</v>
      </c>
    </row>
    <row r="86">
      <c r="A86" s="25" t="s">
        <v>534</v>
      </c>
      <c r="B86" s="10" t="s">
        <v>11</v>
      </c>
      <c r="C86" s="12">
        <v>1.0</v>
      </c>
      <c r="D86" s="12" t="s">
        <v>535</v>
      </c>
      <c r="E86" s="10" t="s">
        <v>536</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13" t="s">
        <v>537</v>
      </c>
      <c r="H86" s="12">
        <v>5.0</v>
      </c>
      <c r="I86" s="12" t="s">
        <v>538</v>
      </c>
      <c r="J86" s="12" t="s">
        <v>33</v>
      </c>
      <c r="L86" s="14" t="str">
        <f>IFERROR(__xludf.DUMMYFUNCTION("IF(REGEXMATCH($B86,L$1),$D86,"""")"),"Dragon Human")</f>
        <v>Dragon Human</v>
      </c>
      <c r="M86" s="14" t="str">
        <f>IFERROR(__xludf.DUMMYFUNCTION("IF(REGEXMATCH($B86,M$1),$D86,"""")"),"")</f>
        <v/>
      </c>
      <c r="N86" s="14" t="str">
        <f>IFERROR(__xludf.DUMMYFUNCTION("IF(REGEXMATCH($B86,N$1),$D86,"""")"),"")</f>
        <v/>
      </c>
      <c r="O86" s="14" t="str">
        <f>IFERROR(__xludf.DUMMYFUNCTION("IF(REGEXMATCH($B86,O$1),$D86,"""")"),"")</f>
        <v/>
      </c>
      <c r="P86" s="14" t="str">
        <f>IFERROR(__xludf.DUMMYFUNCTION("IF(REGEXMATCH($B86,P$1),$D86,"""")"),"")</f>
        <v/>
      </c>
      <c r="Q86" s="14">
        <f>IFERROR(__xludf.DUMMYFUNCTION("IF($A86="""","""",LEN(REGEXREPLACE($I86,"",\s?"","""")))"),6.0)</f>
        <v>6</v>
      </c>
      <c r="R86" s="15" t="s">
        <v>539</v>
      </c>
      <c r="S86" s="17" t="s">
        <v>540</v>
      </c>
      <c r="T86" s="17" t="s">
        <v>541</v>
      </c>
      <c r="U86" s="17" t="s">
        <v>542</v>
      </c>
      <c r="V86" s="17" t="s">
        <v>543</v>
      </c>
      <c r="W86" s="17" t="s">
        <v>544</v>
      </c>
      <c r="X86" s="17" t="s">
        <v>545</v>
      </c>
      <c r="Y86" s="17" t="s">
        <v>546</v>
      </c>
      <c r="Z86" s="17" t="s">
        <v>547</v>
      </c>
      <c r="AA86" s="17" t="s">
        <v>548</v>
      </c>
      <c r="AB86" s="17" t="s">
        <v>549</v>
      </c>
    </row>
    <row r="87">
      <c r="A87" s="10" t="s">
        <v>550</v>
      </c>
      <c r="B87" s="10" t="s">
        <v>11</v>
      </c>
      <c r="C87" s="12">
        <v>1.0</v>
      </c>
      <c r="D87" s="12" t="s">
        <v>411</v>
      </c>
      <c r="E87" s="10" t="s">
        <v>551</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Crystal|.*crystal.*b"&amp;"ury""),""Empty-Crystal"","""")&amp;IF(REGEXMATCH($E87,""Move|move""),""Move"","""")"),"Elemental ")</f>
        <v>Elemental </v>
      </c>
      <c r="G87" s="13" t="s">
        <v>552</v>
      </c>
      <c r="H87" s="12">
        <v>1.0</v>
      </c>
      <c r="I87" s="12" t="s">
        <v>435</v>
      </c>
      <c r="J87" s="12" t="s">
        <v>33</v>
      </c>
      <c r="L87" s="14" t="str">
        <f>IFERROR(__xludf.DUMMYFUNCTION("IF(REGEXMATCH($B87,L$1),$D87,"""")"),"Spirit")</f>
        <v>Spirit</v>
      </c>
      <c r="M87" s="14" t="str">
        <f>IFERROR(__xludf.DUMMYFUNCTION("IF(REGEXMATCH($B87,M$1),$D87,"""")"),"")</f>
        <v/>
      </c>
      <c r="N87" s="14" t="str">
        <f>IFERROR(__xludf.DUMMYFUNCTION("IF(REGEXMATCH($B87,N$1),$D87,"""")"),"")</f>
        <v/>
      </c>
      <c r="O87" s="14" t="str">
        <f>IFERROR(__xludf.DUMMYFUNCTION("IF(REGEXMATCH($B87,O$1),$D87,"""")"),"")</f>
        <v/>
      </c>
      <c r="P87" s="14" t="str">
        <f>IFERROR(__xludf.DUMMYFUNCTION("IF(REGEXMATCH($B87,P$1),$D87,"""")"),"")</f>
        <v/>
      </c>
      <c r="Q87" s="14">
        <f>IFERROR(__xludf.DUMMYFUNCTION("IF($A87="""","""",LEN(REGEXREPLACE($I87,"",\s?"","""")))"),2.0)</f>
        <v>2</v>
      </c>
      <c r="R87" s="15" t="s">
        <v>553</v>
      </c>
      <c r="S87" s="17" t="s">
        <v>554</v>
      </c>
      <c r="T87" s="17" t="s">
        <v>555</v>
      </c>
      <c r="U87" s="17" t="s">
        <v>556</v>
      </c>
      <c r="V87" s="17" t="s">
        <v>557</v>
      </c>
      <c r="W87" s="17" t="s">
        <v>558</v>
      </c>
      <c r="X87" s="17" t="s">
        <v>559</v>
      </c>
      <c r="Y87" s="17" t="s">
        <v>560</v>
      </c>
      <c r="Z87" s="17" t="s">
        <v>561</v>
      </c>
      <c r="AA87" s="17" t="s">
        <v>562</v>
      </c>
      <c r="AB87" s="17" t="s">
        <v>563</v>
      </c>
    </row>
    <row r="88" hidden="1">
      <c r="A88" s="20" t="s">
        <v>564</v>
      </c>
      <c r="B88" s="48" t="s">
        <v>11</v>
      </c>
      <c r="C88" s="19">
        <v>2.0</v>
      </c>
      <c r="D88" s="19" t="s">
        <v>565</v>
      </c>
      <c r="E88" s="20" t="s">
        <v>566</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Crystal|.*crystal.*b"&amp;"ury""),""Empty-Crystal"","""")&amp;IF(REGEXMATCH($E88,""Move|move""),""Move"","""")"),"Spirit Ramp ")</f>
        <v>Spirit Ramp </v>
      </c>
      <c r="G88" s="49" t="s">
        <v>567</v>
      </c>
      <c r="H88" s="12">
        <v>3.0</v>
      </c>
      <c r="I88" s="12" t="s">
        <v>461</v>
      </c>
      <c r="J88" s="12" t="s">
        <v>39</v>
      </c>
      <c r="L88" s="14" t="str">
        <f>IFERROR(__xludf.DUMMYFUNCTION("IF(REGEXMATCH($B88,L$1),$D88,"""")"),"Spirit Undead")</f>
        <v>Spirit Undead</v>
      </c>
      <c r="M88" s="14" t="str">
        <f>IFERROR(__xludf.DUMMYFUNCTION("IF(REGEXMATCH($B88,M$1),$D88,"""")"),"")</f>
        <v/>
      </c>
      <c r="N88" s="14" t="str">
        <f>IFERROR(__xludf.DUMMYFUNCTION("IF(REGEXMATCH($B88,N$1),$D88,"""")"),"")</f>
        <v/>
      </c>
      <c r="O88" s="14" t="str">
        <f>IFERROR(__xludf.DUMMYFUNCTION("IF(REGEXMATCH($B88,O$1),$D88,"""")"),"")</f>
        <v/>
      </c>
      <c r="P88" s="14" t="str">
        <f>IFERROR(__xludf.DUMMYFUNCTION("IF(REGEXMATCH($B88,P$1),$D88,"""")"),"")</f>
        <v/>
      </c>
      <c r="Q88" s="14">
        <f>IFERROR(__xludf.DUMMYFUNCTION("IF($A88="""","""",LEN(REGEXREPLACE($I88,"",\s?"","""")))"),3.0)</f>
        <v>3</v>
      </c>
      <c r="S88" s="14"/>
      <c r="T88" s="14"/>
      <c r="U88" s="14"/>
      <c r="V88" s="14"/>
      <c r="W88" s="14"/>
      <c r="X88" s="14"/>
      <c r="Y88" s="14"/>
      <c r="Z88" s="14"/>
      <c r="AA88" s="14"/>
      <c r="AB88" s="14"/>
    </row>
    <row r="89" hidden="1">
      <c r="A89" s="10" t="s">
        <v>568</v>
      </c>
      <c r="B89" s="50" t="s">
        <v>11</v>
      </c>
      <c r="C89" s="12">
        <v>2.0</v>
      </c>
      <c r="D89" s="12" t="s">
        <v>569</v>
      </c>
      <c r="E89" s="20" t="s">
        <v>570</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Crystal|.*crystal.*b"&amp;"ury""),""Empty-Crystal"","""")&amp;IF(REGEXMATCH($E89,""Move|move""),""Move"","""")"),"Dragon Control ")</f>
        <v>Dragon Control </v>
      </c>
      <c r="G89" s="51" t="s">
        <v>571</v>
      </c>
      <c r="H89" s="12">
        <v>3.0</v>
      </c>
      <c r="I89" s="12" t="s">
        <v>572</v>
      </c>
      <c r="J89" s="12" t="s">
        <v>39</v>
      </c>
      <c r="L89" s="14" t="str">
        <f>IFERROR(__xludf.DUMMYFUNCTION("IF(REGEXMATCH($B89,L$1),$D89,"""")"),"Dragon Wizard")</f>
        <v>Dragon Wizard</v>
      </c>
      <c r="M89" s="14" t="str">
        <f>IFERROR(__xludf.DUMMYFUNCTION("IF(REGEXMATCH($B89,M$1),$D89,"""")"),"")</f>
        <v/>
      </c>
      <c r="N89" s="14" t="str">
        <f>IFERROR(__xludf.DUMMYFUNCTION("IF(REGEXMATCH($B89,N$1),$D89,"""")"),"")</f>
        <v/>
      </c>
      <c r="O89" s="14" t="str">
        <f>IFERROR(__xludf.DUMMYFUNCTION("IF(REGEXMATCH($B89,O$1),$D89,"""")"),"")</f>
        <v/>
      </c>
      <c r="P89" s="14" t="str">
        <f>IFERROR(__xludf.DUMMYFUNCTION("IF(REGEXMATCH($B89,P$1),$D89,"""")"),"")</f>
        <v/>
      </c>
      <c r="Q89" s="14">
        <f>IFERROR(__xludf.DUMMYFUNCTION("IF($A89="""","""",LEN(REGEXREPLACE($I89,"",\s?"","""")))"),4.0)</f>
        <v>4</v>
      </c>
      <c r="S89" s="14"/>
      <c r="T89" s="14"/>
      <c r="U89" s="14"/>
      <c r="V89" s="14"/>
      <c r="W89" s="14"/>
      <c r="X89" s="14"/>
      <c r="Y89" s="14"/>
      <c r="Z89" s="14"/>
      <c r="AA89" s="14"/>
      <c r="AB89" s="14"/>
    </row>
    <row r="90">
      <c r="A90" s="27" t="s">
        <v>573</v>
      </c>
      <c r="B90" s="10" t="s">
        <v>11</v>
      </c>
      <c r="C90" s="12">
        <v>1.0</v>
      </c>
      <c r="D90" s="24" t="s">
        <v>432</v>
      </c>
      <c r="E90" s="10" t="s">
        <v>574</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Crystal|.*crystal.*b"&amp;"ury""),""Empty-Crystal"","""")&amp;IF(REGEXMATCH($E90,""Move|move""),""Move"","""")"),"Unearth Aggro ")</f>
        <v>Unearth Aggro </v>
      </c>
      <c r="G90" s="13" t="s">
        <v>575</v>
      </c>
      <c r="H90" s="12">
        <v>2.0</v>
      </c>
      <c r="I90" s="12" t="s">
        <v>457</v>
      </c>
      <c r="J90" s="24" t="s">
        <v>33</v>
      </c>
      <c r="L90" s="14" t="str">
        <f>IFERROR(__xludf.DUMMYFUNCTION("IF(REGEXMATCH($B90,L$1),$D90,"""")"),"Dragon")</f>
        <v>Dragon</v>
      </c>
      <c r="M90" s="14" t="str">
        <f>IFERROR(__xludf.DUMMYFUNCTION("IF(REGEXMATCH($B90,M$1),$D90,"""")"),"")</f>
        <v/>
      </c>
      <c r="N90" s="14" t="str">
        <f>IFERROR(__xludf.DUMMYFUNCTION("IF(REGEXMATCH($B90,N$1),$D90,"""")"),"")</f>
        <v/>
      </c>
      <c r="O90" s="14" t="str">
        <f>IFERROR(__xludf.DUMMYFUNCTION("IF(REGEXMATCH($B90,O$1),$D90,"""")"),"")</f>
        <v/>
      </c>
      <c r="P90" s="14" t="str">
        <f>IFERROR(__xludf.DUMMYFUNCTION("IF(REGEXMATCH($B90,P$1),$D90,"""")"),"")</f>
        <v/>
      </c>
      <c r="Q90" s="14">
        <f>IFERROR(__xludf.DUMMYFUNCTION("IF($A90="""","""",LEN(REGEXREPLACE($I90,"",\s?"","""")))"),1.0)</f>
        <v>1</v>
      </c>
      <c r="R90" s="15" t="s">
        <v>576</v>
      </c>
      <c r="S90" s="17" t="s">
        <v>577</v>
      </c>
      <c r="T90" s="17" t="s">
        <v>578</v>
      </c>
      <c r="U90" s="17" t="s">
        <v>579</v>
      </c>
      <c r="V90" s="17" t="s">
        <v>580</v>
      </c>
      <c r="W90" s="14"/>
      <c r="X90" s="14"/>
      <c r="Y90" s="14"/>
      <c r="Z90" s="14"/>
      <c r="AA90" s="14"/>
      <c r="AB90" s="14"/>
    </row>
    <row r="91">
      <c r="A91" s="20" t="s">
        <v>581</v>
      </c>
      <c r="B91" s="10" t="s">
        <v>11</v>
      </c>
      <c r="C91" s="12">
        <v>1.0</v>
      </c>
      <c r="D91" s="12" t="s">
        <v>312</v>
      </c>
      <c r="E91" s="10" t="s">
        <v>582</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Crystal|.*crystal.*b"&amp;"ury""),""Empty-Crystal"","""")&amp;IF(REGEXMATCH($E91,""Move|move""),""Move"","""")"),"Dragon Ramp Control ")</f>
        <v>Dragon Ramp Control </v>
      </c>
      <c r="G91" s="13" t="s">
        <v>583</v>
      </c>
      <c r="H91" s="12">
        <v>2.0</v>
      </c>
      <c r="I91" s="12" t="s">
        <v>430</v>
      </c>
      <c r="J91" s="12" t="s">
        <v>69</v>
      </c>
      <c r="L91" s="14" t="str">
        <f>IFERROR(__xludf.DUMMYFUNCTION("IF(REGEXMATCH($B91,L$1),$D91,"""")"),"Human Wizard")</f>
        <v>Human Wizard</v>
      </c>
      <c r="M91" s="14" t="str">
        <f>IFERROR(__xludf.DUMMYFUNCTION("IF(REGEXMATCH($B91,M$1),$D91,"""")"),"")</f>
        <v/>
      </c>
      <c r="N91" s="14" t="str">
        <f>IFERROR(__xludf.DUMMYFUNCTION("IF(REGEXMATCH($B91,N$1),$D91,"""")"),"")</f>
        <v/>
      </c>
      <c r="O91" s="14" t="str">
        <f>IFERROR(__xludf.DUMMYFUNCTION("IF(REGEXMATCH($B91,O$1),$D91,"""")"),"")</f>
        <v/>
      </c>
      <c r="P91" s="14" t="str">
        <f>IFERROR(__xludf.DUMMYFUNCTION("IF(REGEXMATCH($B91,P$1),$D91,"""")"),"")</f>
        <v/>
      </c>
      <c r="Q91" s="14">
        <f>IFERROR(__xludf.DUMMYFUNCTION("IF($A91="""","""",LEN(REGEXREPLACE($I91,"",\s?"","""")))"),3.0)</f>
        <v>3</v>
      </c>
      <c r="R91" s="15" t="s">
        <v>584</v>
      </c>
      <c r="S91" s="17" t="s">
        <v>585</v>
      </c>
      <c r="T91" s="17" t="s">
        <v>586</v>
      </c>
      <c r="U91" s="17" t="s">
        <v>587</v>
      </c>
      <c r="V91" s="17" t="s">
        <v>588</v>
      </c>
      <c r="W91" s="17" t="s">
        <v>589</v>
      </c>
      <c r="X91" s="17" t="s">
        <v>590</v>
      </c>
      <c r="Y91" s="17" t="s">
        <v>591</v>
      </c>
      <c r="Z91" s="17" t="s">
        <v>592</v>
      </c>
      <c r="AA91" s="17" t="s">
        <v>593</v>
      </c>
      <c r="AB91" s="17" t="s">
        <v>594</v>
      </c>
    </row>
    <row r="92">
      <c r="A92" s="10" t="s">
        <v>595</v>
      </c>
      <c r="B92" s="10" t="s">
        <v>11</v>
      </c>
      <c r="C92" s="12">
        <v>1.0</v>
      </c>
      <c r="D92" s="12" t="s">
        <v>493</v>
      </c>
      <c r="E92" s="10" t="s">
        <v>596</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Crystal|.*crystal.*b"&amp;"ury""),""Empty-Crystal"","""")&amp;IF(REGEXMATCH($E92,""Move|move""),""Move"","""")"),"Dragon ")</f>
        <v>Dragon </v>
      </c>
      <c r="G92" s="13" t="s">
        <v>597</v>
      </c>
      <c r="H92" s="12">
        <v>3.0</v>
      </c>
      <c r="I92" s="12" t="s">
        <v>598</v>
      </c>
      <c r="J92" s="12" t="s">
        <v>69</v>
      </c>
      <c r="L92" s="14" t="str">
        <f>IFERROR(__xludf.DUMMYFUNCTION("IF(REGEXMATCH($B92,L$1),$D92,"""")"),"Spirit Wizard")</f>
        <v>Spirit Wizard</v>
      </c>
      <c r="M92" s="14" t="str">
        <f>IFERROR(__xludf.DUMMYFUNCTION("IF(REGEXMATCH($B92,M$1),$D92,"""")"),"")</f>
        <v/>
      </c>
      <c r="N92" s="14" t="str">
        <f>IFERROR(__xludf.DUMMYFUNCTION("IF(REGEXMATCH($B92,N$1),$D92,"""")"),"")</f>
        <v/>
      </c>
      <c r="O92" s="14" t="str">
        <f>IFERROR(__xludf.DUMMYFUNCTION("IF(REGEXMATCH($B92,O$1),$D92,"""")"),"")</f>
        <v/>
      </c>
      <c r="P92" s="14" t="str">
        <f>IFERROR(__xludf.DUMMYFUNCTION("IF(REGEXMATCH($B92,P$1),$D92,"""")"),"")</f>
        <v/>
      </c>
      <c r="Q92" s="14">
        <f>IFERROR(__xludf.DUMMYFUNCTION("IF($A92="""","""",LEN(REGEXREPLACE($I92,"",\s?"","""")))"),4.0)</f>
        <v>4</v>
      </c>
      <c r="R92" s="15" t="s">
        <v>599</v>
      </c>
      <c r="S92" s="17" t="s">
        <v>600</v>
      </c>
      <c r="T92" s="17" t="s">
        <v>601</v>
      </c>
      <c r="U92" s="17" t="s">
        <v>602</v>
      </c>
      <c r="V92" s="17" t="s">
        <v>603</v>
      </c>
      <c r="W92" s="17" t="s">
        <v>604</v>
      </c>
      <c r="X92" s="17" t="s">
        <v>605</v>
      </c>
      <c r="Y92" s="17" t="s">
        <v>606</v>
      </c>
      <c r="Z92" s="17" t="s">
        <v>607</v>
      </c>
      <c r="AA92" s="17" t="s">
        <v>608</v>
      </c>
      <c r="AB92" s="17" t="s">
        <v>609</v>
      </c>
    </row>
    <row r="93">
      <c r="A93" s="10" t="s">
        <v>610</v>
      </c>
      <c r="B93" s="10" t="s">
        <v>11</v>
      </c>
      <c r="C93" s="12">
        <v>1.0</v>
      </c>
      <c r="D93" s="12" t="s">
        <v>411</v>
      </c>
      <c r="E93" s="10" t="s">
        <v>611</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f>
        <v/>
      </c>
      <c r="G93" s="13" t="s">
        <v>612</v>
      </c>
      <c r="H93" s="12">
        <v>3.0</v>
      </c>
      <c r="I93" s="12" t="s">
        <v>572</v>
      </c>
      <c r="J93" s="19" t="s">
        <v>33</v>
      </c>
      <c r="L93" s="14" t="str">
        <f>IFERROR(__xludf.DUMMYFUNCTION("IF(REGEXMATCH($B93,L$1),$D93,"""")"),"Spirit")</f>
        <v>Spirit</v>
      </c>
      <c r="M93" s="14" t="str">
        <f>IFERROR(__xludf.DUMMYFUNCTION("IF(REGEXMATCH($B93,M$1),$D93,"""")"),"")</f>
        <v/>
      </c>
      <c r="N93" s="14" t="str">
        <f>IFERROR(__xludf.DUMMYFUNCTION("IF(REGEXMATCH($B93,N$1),$D93,"""")"),"")</f>
        <v/>
      </c>
      <c r="O93" s="14" t="str">
        <f>IFERROR(__xludf.DUMMYFUNCTION("IF(REGEXMATCH($B93,O$1),$D93,"""")"),"")</f>
        <v/>
      </c>
      <c r="P93" s="14" t="str">
        <f>IFERROR(__xludf.DUMMYFUNCTION("IF(REGEXMATCH($B93,P$1),$D93,"""")"),"")</f>
        <v/>
      </c>
      <c r="Q93" s="14">
        <f>IFERROR(__xludf.DUMMYFUNCTION("IF($A93="""","""",LEN(REGEXREPLACE($I93,"",\s?"","""")))"),4.0)</f>
        <v>4</v>
      </c>
      <c r="R93" s="15" t="s">
        <v>613</v>
      </c>
      <c r="S93" s="17" t="s">
        <v>614</v>
      </c>
      <c r="T93" s="17" t="s">
        <v>615</v>
      </c>
      <c r="U93" s="17" t="s">
        <v>616</v>
      </c>
      <c r="V93" s="17" t="s">
        <v>617</v>
      </c>
      <c r="W93" s="17" t="s">
        <v>618</v>
      </c>
      <c r="X93" s="17" t="s">
        <v>619</v>
      </c>
      <c r="Y93" s="17" t="s">
        <v>620</v>
      </c>
      <c r="Z93" s="17" t="s">
        <v>621</v>
      </c>
      <c r="AA93" s="17" t="s">
        <v>622</v>
      </c>
      <c r="AB93" s="17" t="s">
        <v>623</v>
      </c>
    </row>
    <row r="94" hidden="1">
      <c r="A94" s="20" t="s">
        <v>624</v>
      </c>
      <c r="B94" s="45" t="s">
        <v>11</v>
      </c>
      <c r="C94" s="19">
        <v>0.0</v>
      </c>
      <c r="D94" s="19" t="s">
        <v>246</v>
      </c>
      <c r="E94" s="20" t="s">
        <v>625</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f>
        <v/>
      </c>
      <c r="G94" s="21" t="s">
        <v>626</v>
      </c>
      <c r="H94" s="19">
        <v>2.0</v>
      </c>
      <c r="I94" s="19" t="s">
        <v>435</v>
      </c>
      <c r="J94" s="19" t="s">
        <v>69</v>
      </c>
      <c r="L94" s="14" t="str">
        <f>IFERROR(__xludf.DUMMYFUNCTION("IF(REGEXMATCH($B94,L$1),$D94,"""")"),"Construct Insect")</f>
        <v>Construct Insect</v>
      </c>
      <c r="M94" s="14" t="str">
        <f>IFERROR(__xludf.DUMMYFUNCTION("IF(REGEXMATCH($B94,M$1),$D94,"""")"),"")</f>
        <v/>
      </c>
      <c r="N94" s="14" t="str">
        <f>IFERROR(__xludf.DUMMYFUNCTION("IF(REGEXMATCH($B94,N$1),$D94,"""")"),"")</f>
        <v/>
      </c>
      <c r="O94" s="14" t="str">
        <f>IFERROR(__xludf.DUMMYFUNCTION("IF(REGEXMATCH($B94,O$1),$D94,"""")"),"")</f>
        <v/>
      </c>
      <c r="P94" s="14" t="str">
        <f>IFERROR(__xludf.DUMMYFUNCTION("IF(REGEXMATCH($B94,P$1),$D94,"""")"),"")</f>
        <v/>
      </c>
      <c r="Q94" s="14">
        <f>IFERROR(__xludf.DUMMYFUNCTION("IF($A94="""","""",LEN(REGEXREPLACE($I94,"",\s?"","""")))"),2.0)</f>
        <v>2</v>
      </c>
      <c r="S94" s="14"/>
      <c r="T94" s="14"/>
      <c r="U94" s="14"/>
      <c r="V94" s="14"/>
      <c r="W94" s="14"/>
      <c r="X94" s="14"/>
      <c r="Y94" s="14"/>
      <c r="Z94" s="14"/>
      <c r="AA94" s="14"/>
      <c r="AB94" s="14"/>
    </row>
    <row r="95" hidden="1">
      <c r="A95" s="20" t="s">
        <v>627</v>
      </c>
      <c r="B95" s="45" t="s">
        <v>11</v>
      </c>
      <c r="C95" s="19">
        <v>2.0</v>
      </c>
      <c r="D95" s="19" t="s">
        <v>628</v>
      </c>
      <c r="E95" s="20" t="s">
        <v>629</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Crystal|.*crystal.*b"&amp;"ury""),""Empty-Crystal"","""")&amp;IF(REGEXMATCH($E95,""Move|move""),""Move"","""")"),"Dragon Spirit Ramp Ascend ")</f>
        <v>Dragon Spirit Ramp Ascend </v>
      </c>
      <c r="G95" s="21" t="s">
        <v>630</v>
      </c>
      <c r="H95" s="19">
        <v>1.0</v>
      </c>
      <c r="I95" s="19" t="s">
        <v>430</v>
      </c>
      <c r="J95" s="19" t="s">
        <v>33</v>
      </c>
      <c r="L95" s="14" t="str">
        <f>IFERROR(__xludf.DUMMYFUNCTION("IF(REGEXMATCH($B95,L$1),$D95,"""")"),"Dragon Spirit")</f>
        <v>Dragon Spirit</v>
      </c>
      <c r="M95" s="14" t="str">
        <f>IFERROR(__xludf.DUMMYFUNCTION("IF(REGEXMATCH($B95,M$1),$D95,"""")"),"")</f>
        <v/>
      </c>
      <c r="N95" s="14" t="str">
        <f>IFERROR(__xludf.DUMMYFUNCTION("IF(REGEXMATCH($B95,N$1),$D95,"""")"),"")</f>
        <v/>
      </c>
      <c r="O95" s="14" t="str">
        <f>IFERROR(__xludf.DUMMYFUNCTION("IF(REGEXMATCH($B95,O$1),$D95,"""")"),"")</f>
        <v/>
      </c>
      <c r="P95" s="14" t="str">
        <f>IFERROR(__xludf.DUMMYFUNCTION("IF(REGEXMATCH($B95,P$1),$D95,"""")"),"")</f>
        <v/>
      </c>
      <c r="Q95" s="14">
        <f>IFERROR(__xludf.DUMMYFUNCTION("IF($A95="""","""",LEN(REGEXREPLACE($I95,"",\s?"","""")))"),3.0)</f>
        <v>3</v>
      </c>
      <c r="S95" s="14"/>
      <c r="T95" s="14"/>
      <c r="U95" s="14"/>
      <c r="V95" s="14"/>
      <c r="W95" s="14"/>
      <c r="X95" s="14"/>
      <c r="Y95" s="14"/>
      <c r="Z95" s="14"/>
      <c r="AA95" s="14"/>
      <c r="AB95" s="14"/>
    </row>
    <row r="96" hidden="1">
      <c r="A96" s="27" t="s">
        <v>631</v>
      </c>
      <c r="B96" s="50" t="s">
        <v>11</v>
      </c>
      <c r="C96" s="12">
        <v>2.0</v>
      </c>
      <c r="D96" s="24" t="s">
        <v>411</v>
      </c>
      <c r="E96" s="20" t="s">
        <v>632</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Crystal|.*crystal.*b"&amp;"ury""),""Empty-Crystal"","""")&amp;IF(REGEXMATCH($E96,""Move|move""),""Move"","""")"),"Control ")</f>
        <v>Control </v>
      </c>
      <c r="G96" s="13" t="s">
        <v>633</v>
      </c>
      <c r="H96" s="12">
        <v>2.0</v>
      </c>
      <c r="I96" s="12" t="s">
        <v>435</v>
      </c>
      <c r="J96" s="24" t="s">
        <v>33</v>
      </c>
      <c r="L96" s="14" t="str">
        <f>IFERROR(__xludf.DUMMYFUNCTION("IF(REGEXMATCH($B96,L$1),$D96,"""")"),"Spirit")</f>
        <v>Spirit</v>
      </c>
      <c r="M96" s="14" t="str">
        <f>IFERROR(__xludf.DUMMYFUNCTION("IF(REGEXMATCH($B96,M$1),$D96,"""")"),"")</f>
        <v/>
      </c>
      <c r="N96" s="14" t="str">
        <f>IFERROR(__xludf.DUMMYFUNCTION("IF(REGEXMATCH($B96,N$1),$D96,"""")"),"")</f>
        <v/>
      </c>
      <c r="O96" s="14" t="str">
        <f>IFERROR(__xludf.DUMMYFUNCTION("IF(REGEXMATCH($B96,O$1),$D96,"""")"),"")</f>
        <v/>
      </c>
      <c r="P96" s="14" t="str">
        <f>IFERROR(__xludf.DUMMYFUNCTION("IF(REGEXMATCH($B96,P$1),$D96,"""")"),"")</f>
        <v/>
      </c>
      <c r="Q96" s="14">
        <f>IFERROR(__xludf.DUMMYFUNCTION("IF($A96="""","""",LEN(REGEXREPLACE($I96,"",\s?"","""")))"),2.0)</f>
        <v>2</v>
      </c>
      <c r="S96" s="14"/>
      <c r="T96" s="14"/>
      <c r="U96" s="14"/>
      <c r="V96" s="14"/>
      <c r="W96" s="14"/>
      <c r="X96" s="14"/>
      <c r="Y96" s="14"/>
      <c r="Z96" s="14"/>
      <c r="AA96" s="14"/>
      <c r="AB96" s="14"/>
    </row>
    <row r="97">
      <c r="A97" s="10" t="s">
        <v>634</v>
      </c>
      <c r="B97" s="10" t="s">
        <v>11</v>
      </c>
      <c r="C97" s="12">
        <v>1.0</v>
      </c>
      <c r="D97" s="12" t="s">
        <v>411</v>
      </c>
      <c r="E97" s="10" t="s">
        <v>635</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f>
        <v/>
      </c>
      <c r="G97" s="13" t="s">
        <v>636</v>
      </c>
      <c r="H97" s="12">
        <v>5.0</v>
      </c>
      <c r="I97" s="12" t="s">
        <v>538</v>
      </c>
      <c r="J97" s="12" t="s">
        <v>39</v>
      </c>
      <c r="L97" s="14" t="str">
        <f>IFERROR(__xludf.DUMMYFUNCTION("IF(REGEXMATCH($B97,L$1),$D97,"""")"),"Spirit")</f>
        <v>Spirit</v>
      </c>
      <c r="M97" s="14" t="str">
        <f>IFERROR(__xludf.DUMMYFUNCTION("IF(REGEXMATCH($B97,M$1),$D97,"""")"),"")</f>
        <v/>
      </c>
      <c r="N97" s="14" t="str">
        <f>IFERROR(__xludf.DUMMYFUNCTION("IF(REGEXMATCH($B97,N$1),$D97,"""")"),"")</f>
        <v/>
      </c>
      <c r="O97" s="14" t="str">
        <f>IFERROR(__xludf.DUMMYFUNCTION("IF(REGEXMATCH($B97,O$1),$D97,"""")"),"")</f>
        <v/>
      </c>
      <c r="P97" s="14" t="str">
        <f>IFERROR(__xludf.DUMMYFUNCTION("IF(REGEXMATCH($B97,P$1),$D97,"""")"),"")</f>
        <v/>
      </c>
      <c r="Q97" s="14">
        <f>IFERROR(__xludf.DUMMYFUNCTION("IF($A97="""","""",LEN(REGEXREPLACE($I97,"",\s?"","""")))"),6.0)</f>
        <v>6</v>
      </c>
      <c r="R97" s="15" t="s">
        <v>637</v>
      </c>
      <c r="S97" s="17" t="s">
        <v>638</v>
      </c>
      <c r="T97" s="17" t="s">
        <v>639</v>
      </c>
      <c r="U97" s="17" t="s">
        <v>640</v>
      </c>
      <c r="V97" s="17" t="s">
        <v>641</v>
      </c>
      <c r="W97" s="17" t="s">
        <v>642</v>
      </c>
      <c r="X97" s="17" t="s">
        <v>643</v>
      </c>
      <c r="Y97" s="17" t="s">
        <v>644</v>
      </c>
      <c r="Z97" s="17" t="s">
        <v>645</v>
      </c>
      <c r="AA97" s="17" t="s">
        <v>646</v>
      </c>
      <c r="AB97" s="17" t="s">
        <v>647</v>
      </c>
    </row>
    <row r="98">
      <c r="A98" s="28" t="s">
        <v>648</v>
      </c>
      <c r="B98" s="20" t="s">
        <v>11</v>
      </c>
      <c r="C98" s="19">
        <v>1.0</v>
      </c>
      <c r="D98" s="19" t="s">
        <v>336</v>
      </c>
      <c r="E98" s="20" t="s">
        <v>649</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f>
        <v>Elemental </v>
      </c>
      <c r="G98" s="21" t="s">
        <v>650</v>
      </c>
      <c r="H98" s="19">
        <v>4.0</v>
      </c>
      <c r="I98" s="19" t="s">
        <v>538</v>
      </c>
      <c r="J98" s="19" t="s">
        <v>69</v>
      </c>
      <c r="L98" s="14" t="str">
        <f>IFERROR(__xludf.DUMMYFUNCTION("IF(REGEXMATCH($B98,L$1),$D98,"""")"),"Insect Wizard")</f>
        <v>Insect Wizard</v>
      </c>
      <c r="M98" s="14" t="str">
        <f>IFERROR(__xludf.DUMMYFUNCTION("IF(REGEXMATCH($B98,M$1),$D98,"""")"),"")</f>
        <v/>
      </c>
      <c r="N98" s="14" t="str">
        <f>IFERROR(__xludf.DUMMYFUNCTION("IF(REGEXMATCH($B98,N$1),$D98,"""")"),"")</f>
        <v/>
      </c>
      <c r="O98" s="14" t="str">
        <f>IFERROR(__xludf.DUMMYFUNCTION("IF(REGEXMATCH($B98,O$1),$D98,"""")"),"")</f>
        <v/>
      </c>
      <c r="P98" s="14" t="str">
        <f>IFERROR(__xludf.DUMMYFUNCTION("IF(REGEXMATCH($B98,P$1),$D98,"""")"),"")</f>
        <v/>
      </c>
      <c r="Q98" s="14">
        <f>IFERROR(__xludf.DUMMYFUNCTION("IF($A98="""","""",LEN(REGEXREPLACE($I98,"",\s?"","""")))"),6.0)</f>
        <v>6</v>
      </c>
      <c r="S98" s="17" t="s">
        <v>651</v>
      </c>
      <c r="T98" s="17" t="s">
        <v>652</v>
      </c>
      <c r="U98" s="17" t="s">
        <v>653</v>
      </c>
      <c r="V98" s="17" t="s">
        <v>654</v>
      </c>
      <c r="W98" s="17" t="s">
        <v>655</v>
      </c>
      <c r="X98" s="17" t="s">
        <v>656</v>
      </c>
      <c r="Y98" s="14"/>
      <c r="Z98" s="14"/>
      <c r="AA98" s="14"/>
      <c r="AB98" s="14"/>
    </row>
    <row r="99">
      <c r="A99" s="10" t="s">
        <v>657</v>
      </c>
      <c r="B99" s="10" t="s">
        <v>11</v>
      </c>
      <c r="C99" s="12">
        <v>1.0</v>
      </c>
      <c r="D99" s="12" t="s">
        <v>432</v>
      </c>
      <c r="E99" s="52" t="s">
        <v>658</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Crystal|.*crystal.*b"&amp;"ury""),""Empty-Crystal"","""")&amp;IF(REGEXMATCH($E99,""Move|move""),""Move"","""")"),"Control Aggro ")</f>
        <v>Control Aggro </v>
      </c>
      <c r="G99" s="46" t="s">
        <v>659</v>
      </c>
      <c r="H99" s="12">
        <v>5.0</v>
      </c>
      <c r="I99" s="12" t="s">
        <v>480</v>
      </c>
      <c r="J99" s="12" t="s">
        <v>69</v>
      </c>
      <c r="L99" s="14" t="str">
        <f>IFERROR(__xludf.DUMMYFUNCTION("IF(REGEXMATCH($B99,L$1),$D99,"""")"),"Dragon")</f>
        <v>Dragon</v>
      </c>
      <c r="M99" s="14" t="str">
        <f>IFERROR(__xludf.DUMMYFUNCTION("IF(REGEXMATCH($B99,M$1),$D99,"""")"),"")</f>
        <v/>
      </c>
      <c r="N99" s="14" t="str">
        <f>IFERROR(__xludf.DUMMYFUNCTION("IF(REGEXMATCH($B99,N$1),$D99,"""")"),"")</f>
        <v/>
      </c>
      <c r="O99" s="14" t="str">
        <f>IFERROR(__xludf.DUMMYFUNCTION("IF(REGEXMATCH($B99,O$1),$D99,"""")"),"")</f>
        <v/>
      </c>
      <c r="P99" s="14" t="str">
        <f>IFERROR(__xludf.DUMMYFUNCTION("IF(REGEXMATCH($B99,P$1),$D99,"""")"),"")</f>
        <v/>
      </c>
      <c r="Q99" s="14">
        <f>IFERROR(__xludf.DUMMYFUNCTION("IF($A99="""","""",LEN(REGEXREPLACE($I99,"",\s?"","""")))"),5.0)</f>
        <v>5</v>
      </c>
      <c r="R99" s="15" t="s">
        <v>660</v>
      </c>
      <c r="S99" s="17" t="s">
        <v>661</v>
      </c>
      <c r="T99" s="17" t="s">
        <v>662</v>
      </c>
      <c r="U99" s="17" t="s">
        <v>663</v>
      </c>
      <c r="V99" s="17" t="s">
        <v>664</v>
      </c>
      <c r="W99" s="17" t="s">
        <v>665</v>
      </c>
      <c r="X99" s="17" t="s">
        <v>666</v>
      </c>
      <c r="Y99" s="17" t="s">
        <v>667</v>
      </c>
      <c r="Z99" s="17" t="s">
        <v>668</v>
      </c>
      <c r="AA99" s="17" t="s">
        <v>669</v>
      </c>
      <c r="AB99" s="17" t="s">
        <v>670</v>
      </c>
    </row>
    <row r="100" hidden="1">
      <c r="A100" s="10" t="s">
        <v>671</v>
      </c>
      <c r="B100" s="41" t="s">
        <v>11</v>
      </c>
      <c r="C100" s="12">
        <v>2.0</v>
      </c>
      <c r="D100" s="12" t="s">
        <v>672</v>
      </c>
      <c r="E100" s="10" t="s">
        <v>673</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Crystal|.*crystal.*bury""),""Empty-Crystal"","""")&amp;IF(REGEXMATCH($E100,""Move|move""),""Move"","""")"),"Wizard Ramp ")</f>
        <v>Wizard Ramp </v>
      </c>
      <c r="G100" s="13" t="s">
        <v>674</v>
      </c>
      <c r="H100" s="12">
        <v>5.0</v>
      </c>
      <c r="I100" s="12" t="s">
        <v>675</v>
      </c>
      <c r="J100" s="19" t="s">
        <v>69</v>
      </c>
      <c r="L100" s="14" t="str">
        <f>IFERROR(__xludf.DUMMYFUNCTION("IF(REGEXMATCH($B100,L$1),$D100,"""")"),"Wizard")</f>
        <v>Wizard</v>
      </c>
      <c r="M100" s="14" t="str">
        <f>IFERROR(__xludf.DUMMYFUNCTION("IF(REGEXMATCH($B100,M$1),$D100,"""")"),"")</f>
        <v/>
      </c>
      <c r="N100" s="14" t="str">
        <f>IFERROR(__xludf.DUMMYFUNCTION("IF(REGEXMATCH($B100,N$1),$D100,"""")"),"")</f>
        <v/>
      </c>
      <c r="O100" s="14" t="str">
        <f>IFERROR(__xludf.DUMMYFUNCTION("IF(REGEXMATCH($B100,O$1),$D100,"""")"),"")</f>
        <v/>
      </c>
      <c r="P100" s="14" t="str">
        <f>IFERROR(__xludf.DUMMYFUNCTION("IF(REGEXMATCH($B100,P$1),$D100,"""")"),"")</f>
        <v/>
      </c>
      <c r="Q100" s="14">
        <f>IFERROR(__xludf.DUMMYFUNCTION("IF($A100="""","""",LEN(REGEXREPLACE($I100,"",\s?"","""")))"),6.0)</f>
        <v>6</v>
      </c>
      <c r="S100" s="14"/>
      <c r="T100" s="14"/>
      <c r="U100" s="14"/>
      <c r="V100" s="14"/>
      <c r="W100" s="14"/>
      <c r="X100" s="14"/>
      <c r="Y100" s="14"/>
      <c r="Z100" s="14"/>
      <c r="AA100" s="14"/>
      <c r="AB100" s="14"/>
    </row>
    <row r="101">
      <c r="A101" s="10" t="s">
        <v>676</v>
      </c>
      <c r="B101" s="10" t="s">
        <v>11</v>
      </c>
      <c r="C101" s="12">
        <v>1.0</v>
      </c>
      <c r="D101" s="12" t="s">
        <v>677</v>
      </c>
      <c r="E101" s="20" t="s">
        <v>678</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f>
        <v>Dragon </v>
      </c>
      <c r="G101" s="13" t="s">
        <v>679</v>
      </c>
      <c r="H101" s="12">
        <v>4.0</v>
      </c>
      <c r="I101" s="12" t="s">
        <v>480</v>
      </c>
      <c r="J101" s="12" t="s">
        <v>39</v>
      </c>
      <c r="L101" s="14" t="str">
        <f>IFERROR(__xludf.DUMMYFUNCTION("IF(REGEXMATCH($B101,L$1),$D101,"""")"),"Dragon Hunter")</f>
        <v>Dragon Hunter</v>
      </c>
      <c r="M101" s="14" t="str">
        <f>IFERROR(__xludf.DUMMYFUNCTION("IF(REGEXMATCH($B101,M$1),$D101,"""")"),"")</f>
        <v/>
      </c>
      <c r="N101" s="14" t="str">
        <f>IFERROR(__xludf.DUMMYFUNCTION("IF(REGEXMATCH($B101,N$1),$D101,"""")"),"")</f>
        <v/>
      </c>
      <c r="O101" s="14" t="str">
        <f>IFERROR(__xludf.DUMMYFUNCTION("IF(REGEXMATCH($B101,O$1),$D101,"""")"),"")</f>
        <v/>
      </c>
      <c r="P101" s="14" t="str">
        <f>IFERROR(__xludf.DUMMYFUNCTION("IF(REGEXMATCH($B101,P$1),$D101,"""")"),"")</f>
        <v/>
      </c>
      <c r="Q101" s="14">
        <f>IFERROR(__xludf.DUMMYFUNCTION("IF($A101="""","""",LEN(REGEXREPLACE($I101,"",\s?"","""")))"),5.0)</f>
        <v>5</v>
      </c>
      <c r="R101" s="15" t="s">
        <v>680</v>
      </c>
      <c r="S101" s="17" t="s">
        <v>681</v>
      </c>
      <c r="T101" s="17" t="s">
        <v>682</v>
      </c>
      <c r="U101" s="17" t="s">
        <v>683</v>
      </c>
      <c r="V101" s="17" t="s">
        <v>684</v>
      </c>
      <c r="W101" s="17" t="s">
        <v>685</v>
      </c>
      <c r="X101" s="17" t="s">
        <v>686</v>
      </c>
      <c r="Y101" s="17" t="s">
        <v>687</v>
      </c>
      <c r="Z101" s="17" t="s">
        <v>688</v>
      </c>
      <c r="AA101" s="17" t="s">
        <v>689</v>
      </c>
      <c r="AB101" s="17" t="s">
        <v>690</v>
      </c>
    </row>
    <row r="102" hidden="1">
      <c r="A102" s="20" t="s">
        <v>691</v>
      </c>
      <c r="B102" s="45" t="s">
        <v>11</v>
      </c>
      <c r="C102" s="19">
        <v>2.0</v>
      </c>
      <c r="D102" s="19" t="s">
        <v>692</v>
      </c>
      <c r="E102" s="20" t="s">
        <v>693</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f>
        <v>Ramp </v>
      </c>
      <c r="G102" s="21" t="s">
        <v>366</v>
      </c>
      <c r="H102" s="19">
        <v>3.0</v>
      </c>
      <c r="I102" s="19" t="s">
        <v>430</v>
      </c>
      <c r="J102" s="12" t="s">
        <v>69</v>
      </c>
      <c r="L102" s="14" t="str">
        <f>IFERROR(__xludf.DUMMYFUNCTION("IF(REGEXMATCH($B102,L$1),$D102,"""")"),"Demon Spirit")</f>
        <v>Demon Spirit</v>
      </c>
      <c r="M102" s="14" t="str">
        <f>IFERROR(__xludf.DUMMYFUNCTION("IF(REGEXMATCH($B102,M$1),$D102,"""")"),"")</f>
        <v/>
      </c>
      <c r="N102" s="14" t="str">
        <f>IFERROR(__xludf.DUMMYFUNCTION("IF(REGEXMATCH($B102,N$1),$D102,"""")"),"")</f>
        <v/>
      </c>
      <c r="O102" s="14" t="str">
        <f>IFERROR(__xludf.DUMMYFUNCTION("IF(REGEXMATCH($B102,O$1),$D102,"""")"),"")</f>
        <v/>
      </c>
      <c r="P102" s="14" t="str">
        <f>IFERROR(__xludf.DUMMYFUNCTION("IF(REGEXMATCH($B102,P$1),$D102,"""")"),"")</f>
        <v/>
      </c>
      <c r="Q102" s="14">
        <f>IFERROR(__xludf.DUMMYFUNCTION("IF($A102="""","""",LEN(REGEXREPLACE($I102,"",\s?"","""")))"),3.0)</f>
        <v>3</v>
      </c>
      <c r="S102" s="14"/>
      <c r="T102" s="14"/>
      <c r="U102" s="14"/>
      <c r="V102" s="14"/>
      <c r="W102" s="14"/>
      <c r="X102" s="14"/>
      <c r="Y102" s="14"/>
      <c r="Z102" s="14"/>
      <c r="AA102" s="14"/>
      <c r="AB102" s="14"/>
    </row>
    <row r="103" hidden="1">
      <c r="A103" s="25" t="s">
        <v>694</v>
      </c>
      <c r="B103" s="41" t="s">
        <v>11</v>
      </c>
      <c r="C103" s="12">
        <v>2.0</v>
      </c>
      <c r="D103" s="12" t="s">
        <v>695</v>
      </c>
      <c r="E103" s="10" t="s">
        <v>696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Crystal|.*crystal.*bury""),""Empty-Crystal"","""")&amp;IF(REGEXMATCH($E103,""Move|move""),""Move"","""")"),"Wizard ")</f>
        <v>Wizard </v>
      </c>
      <c r="G103" s="13" t="s">
        <v>697</v>
      </c>
      <c r="H103" s="12">
        <v>2.0</v>
      </c>
      <c r="I103" s="12" t="s">
        <v>430</v>
      </c>
      <c r="J103" s="12" t="s">
        <v>69</v>
      </c>
      <c r="L103" s="14" t="str">
        <f>IFERROR(__xludf.DUMMYFUNCTION("IF(REGEXMATCH($B103,L$1),$D103,"""")"),"Plant Wizard")</f>
        <v>Plant Wizard</v>
      </c>
      <c r="M103" s="14" t="str">
        <f>IFERROR(__xludf.DUMMYFUNCTION("IF(REGEXMATCH($B103,M$1),$D103,"""")"),"")</f>
        <v/>
      </c>
      <c r="N103" s="14" t="str">
        <f>IFERROR(__xludf.DUMMYFUNCTION("IF(REGEXMATCH($B103,N$1),$D103,"""")"),"")</f>
        <v/>
      </c>
      <c r="O103" s="14" t="str">
        <f>IFERROR(__xludf.DUMMYFUNCTION("IF(REGEXMATCH($B103,O$1),$D103,"""")"),"")</f>
        <v/>
      </c>
      <c r="P103" s="14" t="str">
        <f>IFERROR(__xludf.DUMMYFUNCTION("IF(REGEXMATCH($B103,P$1),$D103,"""")"),"")</f>
        <v/>
      </c>
      <c r="Q103" s="14">
        <f>IFERROR(__xludf.DUMMYFUNCTION("IF($A103="""","""",LEN(REGEXREPLACE($I103,"",\s?"","""")))"),3.0)</f>
        <v>3</v>
      </c>
      <c r="S103" s="14"/>
      <c r="T103" s="14"/>
      <c r="U103" s="14"/>
      <c r="V103" s="14"/>
      <c r="W103" s="14"/>
      <c r="X103" s="14"/>
      <c r="Y103" s="14"/>
      <c r="Z103" s="14"/>
      <c r="AA103" s="14"/>
      <c r="AB103" s="14"/>
    </row>
    <row r="104" hidden="1">
      <c r="A104" s="43" t="s">
        <v>698</v>
      </c>
      <c r="B104" s="53" t="s">
        <v>11</v>
      </c>
      <c r="C104" s="54">
        <v>0.0</v>
      </c>
      <c r="D104" s="54" t="s">
        <v>276</v>
      </c>
      <c r="E104" s="55" t="s">
        <v>699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Crystal|.*crystal.*bury""),""Empty-Crystal"","""")&amp;IF(REGEXMATCH($E104,""Move|move""),""Move"","""")"),"Aggro ")</f>
        <v>Aggro </v>
      </c>
      <c r="G104" s="56" t="s">
        <v>700</v>
      </c>
      <c r="H104" s="57">
        <v>2.0</v>
      </c>
      <c r="I104" s="54" t="s">
        <v>435</v>
      </c>
      <c r="J104" s="57" t="s">
        <v>33</v>
      </c>
      <c r="L104" s="14" t="str">
        <f>IFERROR(__xludf.DUMMYFUNCTION("IF(REGEXMATCH($B104,L$1),$D104,"""")"),"Animal Hunter")</f>
        <v>Animal Hunter</v>
      </c>
      <c r="M104" s="14" t="str">
        <f>IFERROR(__xludf.DUMMYFUNCTION("IF(REGEXMATCH($B104,M$1),$D104,"""")"),"")</f>
        <v/>
      </c>
      <c r="N104" s="14" t="str">
        <f>IFERROR(__xludf.DUMMYFUNCTION("IF(REGEXMATCH($B104,N$1),$D104,"""")"),"")</f>
        <v/>
      </c>
      <c r="O104" s="14" t="str">
        <f>IFERROR(__xludf.DUMMYFUNCTION("IF(REGEXMATCH($B104,O$1),$D104,"""")"),"")</f>
        <v/>
      </c>
      <c r="P104" s="14" t="str">
        <f>IFERROR(__xludf.DUMMYFUNCTION("IF(REGEXMATCH($B104,P$1),$D104,"""")"),"")</f>
        <v/>
      </c>
      <c r="Q104" s="14">
        <f>IFERROR(__xludf.DUMMYFUNCTION("IF($A104="""","""",LEN(REGEXREPLACE($I104,"",\s?"","""")))"),2.0)</f>
        <v>2</v>
      </c>
      <c r="S104" s="14"/>
      <c r="T104" s="14"/>
      <c r="U104" s="14"/>
      <c r="V104" s="14"/>
      <c r="W104" s="14"/>
      <c r="X104" s="14"/>
      <c r="Y104" s="14"/>
      <c r="Z104" s="14"/>
      <c r="AA104" s="14"/>
      <c r="AB104" s="14"/>
    </row>
    <row r="105" hidden="1">
      <c r="A105" s="10" t="s">
        <v>701</v>
      </c>
      <c r="B105" s="50" t="s">
        <v>11</v>
      </c>
      <c r="C105" s="12">
        <v>2.0</v>
      </c>
      <c r="D105" s="12" t="s">
        <v>459</v>
      </c>
      <c r="E105" s="10" t="s">
        <v>702</v>
      </c>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Crystal|.*crystal.*bury""),""Empty-Crystal"","""")&amp;IF(REGEXMATCH($E105,""Move|move""),""Move"","""")"),"Control ")</f>
        <v>Control </v>
      </c>
      <c r="G105" s="13" t="s">
        <v>703</v>
      </c>
      <c r="H105" s="12">
        <v>1.0</v>
      </c>
      <c r="I105" s="12" t="s">
        <v>457</v>
      </c>
      <c r="J105" s="12" t="s">
        <v>33</v>
      </c>
      <c r="L105" s="14" t="str">
        <f>IFERROR(__xludf.DUMMYFUNCTION("IF(REGEXMATCH($B105,L$1),$D105,"""")"),"Insect")</f>
        <v>Insect</v>
      </c>
      <c r="M105" s="14" t="str">
        <f>IFERROR(__xludf.DUMMYFUNCTION("IF(REGEXMATCH($B105,M$1),$D105,"""")"),"")</f>
        <v/>
      </c>
      <c r="N105" s="14" t="str">
        <f>IFERROR(__xludf.DUMMYFUNCTION("IF(REGEXMATCH($B105,N$1),$D105,"""")"),"")</f>
        <v/>
      </c>
      <c r="O105" s="14" t="str">
        <f>IFERROR(__xludf.DUMMYFUNCTION("IF(REGEXMATCH($B105,O$1),$D105,"""")"),"")</f>
        <v/>
      </c>
      <c r="P105" s="14" t="str">
        <f>IFERROR(__xludf.DUMMYFUNCTION("IF(REGEXMATCH($B105,P$1),$D105,"""")"),"")</f>
        <v/>
      </c>
      <c r="Q105" s="14">
        <f>IFERROR(__xludf.DUMMYFUNCTION("IF($A105="""","""",LEN(REGEXREPLACE($I105,"",\s?"","""")))"),1.0)</f>
        <v>1</v>
      </c>
      <c r="S105" s="14"/>
      <c r="T105" s="14"/>
      <c r="U105" s="14"/>
      <c r="V105" s="14"/>
      <c r="W105" s="14"/>
      <c r="X105" s="14"/>
      <c r="Y105" s="14"/>
      <c r="Z105" s="14"/>
      <c r="AA105" s="14"/>
      <c r="AB105" s="14"/>
    </row>
    <row r="106" hidden="1">
      <c r="A106" s="20" t="s">
        <v>704</v>
      </c>
      <c r="B106" s="45" t="s">
        <v>11</v>
      </c>
      <c r="C106" s="19">
        <v>2.0</v>
      </c>
      <c r="D106" s="19" t="s">
        <v>312</v>
      </c>
      <c r="E106" s="20" t="s">
        <v>705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Crystal|.*crystal.*bury""),""Empty-Crystal"","""")&amp;IF(REGEXMATCH($E106,""Move|move""),""Move"","""")"),"Ramp Move")</f>
        <v>Ramp Move</v>
      </c>
      <c r="G106" s="21" t="s">
        <v>366</v>
      </c>
      <c r="H106" s="19">
        <v>4.0</v>
      </c>
      <c r="I106" s="19" t="s">
        <v>598</v>
      </c>
      <c r="J106" s="19" t="s">
        <v>33</v>
      </c>
      <c r="L106" s="14" t="str">
        <f>IFERROR(__xludf.DUMMYFUNCTION("IF(REGEXMATCH($B106,L$1),$D106,"""")"),"Human Wizard")</f>
        <v>Human Wizard</v>
      </c>
      <c r="M106" s="14" t="str">
        <f>IFERROR(__xludf.DUMMYFUNCTION("IF(REGEXMATCH($B106,M$1),$D106,"""")"),"")</f>
        <v/>
      </c>
      <c r="N106" s="14" t="str">
        <f>IFERROR(__xludf.DUMMYFUNCTION("IF(REGEXMATCH($B106,N$1),$D106,"""")"),"")</f>
        <v/>
      </c>
      <c r="O106" s="14" t="str">
        <f>IFERROR(__xludf.DUMMYFUNCTION("IF(REGEXMATCH($B106,O$1),$D106,"""")"),"")</f>
        <v/>
      </c>
      <c r="P106" s="14" t="str">
        <f>IFERROR(__xludf.DUMMYFUNCTION("IF(REGEXMATCH($B106,P$1),$D106,"""")"),"")</f>
        <v/>
      </c>
      <c r="Q106" s="14">
        <f>IFERROR(__xludf.DUMMYFUNCTION("IF($A106="""","""",LEN(REGEXREPLACE($I106,"",\s?"","""")))"),4.0)</f>
        <v>4</v>
      </c>
      <c r="S106" s="14"/>
      <c r="T106" s="14"/>
      <c r="U106" s="14"/>
      <c r="V106" s="14"/>
      <c r="W106" s="14"/>
      <c r="X106" s="14"/>
      <c r="Y106" s="14"/>
      <c r="Z106" s="14"/>
      <c r="AA106" s="14"/>
      <c r="AB106" s="14"/>
    </row>
    <row r="107" hidden="1">
      <c r="A107" s="20" t="s">
        <v>706</v>
      </c>
      <c r="B107" s="20" t="s">
        <v>11</v>
      </c>
      <c r="C107" s="19">
        <v>2.0</v>
      </c>
      <c r="D107" s="19" t="s">
        <v>569</v>
      </c>
      <c r="E107" s="20" t="s">
        <v>707</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Crystal|.*crystal.*bury""),""Empty-Crystal"","""")&amp;IF(REGEXMATCH($E107,""Move|move""),""Move"","""")"),"Wizard Copy ")</f>
        <v>Wizard Copy </v>
      </c>
      <c r="G107" s="21" t="s">
        <v>708</v>
      </c>
      <c r="H107" s="19">
        <v>3.0</v>
      </c>
      <c r="I107" s="19" t="s">
        <v>461</v>
      </c>
      <c r="J107" s="19" t="s">
        <v>39</v>
      </c>
      <c r="L107" s="14" t="str">
        <f>IFERROR(__xludf.DUMMYFUNCTION("IF(REGEXMATCH($B107,L$1),$D107,"""")"),"Dragon Wizard")</f>
        <v>Dragon Wizard</v>
      </c>
      <c r="M107" s="14" t="str">
        <f>IFERROR(__xludf.DUMMYFUNCTION("IF(REGEXMATCH($B107,M$1),$D107,"""")"),"")</f>
        <v/>
      </c>
      <c r="N107" s="14" t="str">
        <f>IFERROR(__xludf.DUMMYFUNCTION("IF(REGEXMATCH($B107,N$1),$D107,"""")"),"")</f>
        <v/>
      </c>
      <c r="O107" s="14" t="str">
        <f>IFERROR(__xludf.DUMMYFUNCTION("IF(REGEXMATCH($B107,O$1),$D107,"""")"),"")</f>
        <v/>
      </c>
      <c r="P107" s="14" t="str">
        <f>IFERROR(__xludf.DUMMYFUNCTION("IF(REGEXMATCH($B107,P$1),$D107,"""")"),"")</f>
        <v/>
      </c>
      <c r="Q107" s="14">
        <f>IFERROR(__xludf.DUMMYFUNCTION("IF($A107="""","""",LEN(REGEXREPLACE($I107,"",\s?"","""")))"),3.0)</f>
        <v>3</v>
      </c>
      <c r="S107" s="14"/>
      <c r="T107" s="14"/>
      <c r="U107" s="14"/>
      <c r="V107" s="14"/>
      <c r="W107" s="14"/>
      <c r="X107" s="14"/>
      <c r="Y107" s="14"/>
      <c r="Z107" s="14"/>
      <c r="AA107" s="14"/>
      <c r="AB107" s="14"/>
    </row>
    <row r="108">
      <c r="A108" s="27" t="s">
        <v>709</v>
      </c>
      <c r="B108" s="10" t="s">
        <v>11</v>
      </c>
      <c r="C108" s="19">
        <v>1.0</v>
      </c>
      <c r="D108" s="12" t="s">
        <v>710</v>
      </c>
      <c r="E108" s="10" t="s">
        <v>711</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Crystal|.*crystal.*bury""),""Empty-Crystal"","""")&amp;IF(REGEXMATCH($E108,""Move|move""),""Move"","""")"),"Ramp Copy ")</f>
        <v>Ramp Copy </v>
      </c>
      <c r="G108" s="58" t="s">
        <v>712</v>
      </c>
      <c r="H108" s="24">
        <v>7.0</v>
      </c>
      <c r="I108" s="12" t="s">
        <v>713</v>
      </c>
      <c r="J108" s="24" t="s">
        <v>39</v>
      </c>
      <c r="L108" s="14" t="str">
        <f>IFERROR(__xludf.DUMMYFUNCTION("IF(REGEXMATCH($B108,L$1),$D108,"""")"),"Spirit Dragon")</f>
        <v>Spirit Dragon</v>
      </c>
      <c r="M108" s="14" t="str">
        <f>IFERROR(__xludf.DUMMYFUNCTION("IF(REGEXMATCH($B108,M$1),$D108,"""")"),"")</f>
        <v/>
      </c>
      <c r="N108" s="14" t="str">
        <f>IFERROR(__xludf.DUMMYFUNCTION("IF(REGEXMATCH($B108,N$1),$D108,"""")"),"")</f>
        <v/>
      </c>
      <c r="O108" s="14" t="str">
        <f>IFERROR(__xludf.DUMMYFUNCTION("IF(REGEXMATCH($B108,O$1),$D108,"""")"),"")</f>
        <v/>
      </c>
      <c r="P108" s="14" t="str">
        <f>IFERROR(__xludf.DUMMYFUNCTION("IF(REGEXMATCH($B108,P$1),$D108,"""")"),"")</f>
        <v/>
      </c>
      <c r="Q108" s="14">
        <f>IFERROR(__xludf.DUMMYFUNCTION("IF($A108="""","""",LEN(REGEXREPLACE($I108,"",\s?"","""")))"),6.0)</f>
        <v>6</v>
      </c>
      <c r="S108" s="14"/>
      <c r="T108" s="14"/>
      <c r="U108" s="14"/>
      <c r="V108" s="14"/>
      <c r="W108" s="14"/>
      <c r="X108" s="14"/>
      <c r="Y108" s="14"/>
      <c r="Z108" s="14"/>
      <c r="AA108" s="14"/>
      <c r="AB108" s="14"/>
    </row>
    <row r="109">
      <c r="A109" s="20" t="s">
        <v>714</v>
      </c>
      <c r="B109" s="20" t="s">
        <v>11</v>
      </c>
      <c r="C109" s="19">
        <v>1.0</v>
      </c>
      <c r="D109" s="19" t="s">
        <v>411</v>
      </c>
      <c r="E109" s="20" t="s">
        <v>715</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Crystal|.*crystal.*bury""),""Empty-Crystal"","""")&amp;IF(REGEXMATCH($E109,""Move|move""),""Move"","""")"),"Ramp Move")</f>
        <v>Ramp Move</v>
      </c>
      <c r="G109" s="21" t="s">
        <v>366</v>
      </c>
      <c r="H109" s="19">
        <v>3.0</v>
      </c>
      <c r="I109" s="19" t="s">
        <v>598</v>
      </c>
      <c r="J109" s="19" t="s">
        <v>69</v>
      </c>
      <c r="L109" s="14" t="str">
        <f>IFERROR(__xludf.DUMMYFUNCTION("IF(REGEXMATCH($B109,L$1),$D109,"""")"),"Spirit")</f>
        <v>Spirit</v>
      </c>
      <c r="M109" s="14" t="str">
        <f>IFERROR(__xludf.DUMMYFUNCTION("IF(REGEXMATCH($B109,M$1),$D109,"""")"),"")</f>
        <v/>
      </c>
      <c r="N109" s="14" t="str">
        <f>IFERROR(__xludf.DUMMYFUNCTION("IF(REGEXMATCH($B109,N$1),$D109,"""")"),"")</f>
        <v/>
      </c>
      <c r="O109" s="14" t="str">
        <f>IFERROR(__xludf.DUMMYFUNCTION("IF(REGEXMATCH($B109,O$1),$D109,"""")"),"")</f>
        <v/>
      </c>
      <c r="P109" s="14" t="str">
        <f>IFERROR(__xludf.DUMMYFUNCTION("IF(REGEXMATCH($B109,P$1),$D109,"""")"),"")</f>
        <v/>
      </c>
      <c r="Q109" s="14">
        <f>IFERROR(__xludf.DUMMYFUNCTION("IF($A109="""","""",LEN(REGEXREPLACE($I109,"",\s?"","""")))"),4.0)</f>
        <v>4</v>
      </c>
      <c r="S109" s="14"/>
      <c r="T109" s="14"/>
      <c r="U109" s="14"/>
      <c r="V109" s="14"/>
      <c r="W109" s="14"/>
      <c r="X109" s="14"/>
      <c r="Y109" s="14"/>
      <c r="Z109" s="14"/>
      <c r="AA109" s="14"/>
      <c r="AB109" s="14"/>
    </row>
    <row r="110" hidden="1">
      <c r="A110" s="20" t="s">
        <v>716</v>
      </c>
      <c r="B110" s="45" t="s">
        <v>11</v>
      </c>
      <c r="C110" s="19">
        <v>2.0</v>
      </c>
      <c r="D110" s="19" t="s">
        <v>717</v>
      </c>
      <c r="E110" s="20" t="s">
        <v>256</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f>
        <v/>
      </c>
      <c r="G110" s="21" t="s">
        <v>718</v>
      </c>
      <c r="H110" s="19">
        <v>2.0</v>
      </c>
      <c r="I110" s="19" t="s">
        <v>435</v>
      </c>
      <c r="J110" s="19" t="s">
        <v>33</v>
      </c>
      <c r="L110" s="14" t="str">
        <f>IFERROR(__xludf.DUMMYFUNCTION("IF(REGEXMATCH($B110,L$1),$D110,"""")"),"Warrior")</f>
        <v>Warrior</v>
      </c>
      <c r="M110" s="14" t="str">
        <f>IFERROR(__xludf.DUMMYFUNCTION("IF(REGEXMATCH($B110,M$1),$D110,"""")"),"")</f>
        <v/>
      </c>
      <c r="N110" s="14" t="str">
        <f>IFERROR(__xludf.DUMMYFUNCTION("IF(REGEXMATCH($B110,N$1),$D110,"""")"),"")</f>
        <v/>
      </c>
      <c r="O110" s="14" t="str">
        <f>IFERROR(__xludf.DUMMYFUNCTION("IF(REGEXMATCH($B110,O$1),$D110,"""")"),"")</f>
        <v/>
      </c>
      <c r="P110" s="14" t="str">
        <f>IFERROR(__xludf.DUMMYFUNCTION("IF(REGEXMATCH($B110,P$1),$D110,"""")"),"")</f>
        <v/>
      </c>
      <c r="Q110" s="14">
        <f>IFERROR(__xludf.DUMMYFUNCTION("IF($A110="""","""",LEN(REGEXREPLACE($I110,"",\s?"","""")))"),2.0)</f>
        <v>2</v>
      </c>
      <c r="S110" s="14"/>
      <c r="T110" s="14"/>
      <c r="U110" s="14"/>
      <c r="V110" s="14"/>
      <c r="W110" s="14"/>
      <c r="X110" s="14"/>
      <c r="Y110" s="14"/>
      <c r="Z110" s="14"/>
      <c r="AA110" s="14"/>
      <c r="AB110" s="14"/>
    </row>
    <row r="111">
      <c r="A111" s="20" t="s">
        <v>719</v>
      </c>
      <c r="B111" s="10" t="s">
        <v>11</v>
      </c>
      <c r="C111" s="12">
        <v>1.0</v>
      </c>
      <c r="D111" s="12" t="s">
        <v>628</v>
      </c>
      <c r="E111" s="10" t="s">
        <v>720</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f>
        <v/>
      </c>
      <c r="G111" s="21" t="s">
        <v>721</v>
      </c>
      <c r="H111" s="12">
        <v>4.0</v>
      </c>
      <c r="I111" s="12" t="s">
        <v>598</v>
      </c>
      <c r="J111" s="12" t="s">
        <v>33</v>
      </c>
      <c r="L111" s="14" t="str">
        <f>IFERROR(__xludf.DUMMYFUNCTION("IF(REGEXMATCH($B111,L$1),$D111,"""")"),"Dragon Spirit")</f>
        <v>Dragon Spirit</v>
      </c>
      <c r="M111" s="14" t="str">
        <f>IFERROR(__xludf.DUMMYFUNCTION("IF(REGEXMATCH($B111,M$1),$D111,"""")"),"")</f>
        <v/>
      </c>
      <c r="N111" s="14" t="str">
        <f>IFERROR(__xludf.DUMMYFUNCTION("IF(REGEXMATCH($B111,N$1),$D111,"""")"),"")</f>
        <v/>
      </c>
      <c r="O111" s="14" t="str">
        <f>IFERROR(__xludf.DUMMYFUNCTION("IF(REGEXMATCH($B111,O$1),$D111,"""")"),"")</f>
        <v/>
      </c>
      <c r="P111" s="14" t="str">
        <f>IFERROR(__xludf.DUMMYFUNCTION("IF(REGEXMATCH($B111,P$1),$D111,"""")"),"")</f>
        <v/>
      </c>
      <c r="Q111" s="14">
        <f>IFERROR(__xludf.DUMMYFUNCTION("IF($A111="""","""",LEN(REGEXREPLACE($I111,"",\s?"","""")))"),4.0)</f>
        <v>4</v>
      </c>
      <c r="S111" s="14"/>
      <c r="T111" s="14"/>
      <c r="U111" s="14"/>
      <c r="V111" s="14"/>
      <c r="W111" s="14"/>
      <c r="X111" s="14"/>
      <c r="Y111" s="14"/>
      <c r="Z111" s="14"/>
      <c r="AA111" s="14"/>
      <c r="AB111" s="14"/>
    </row>
    <row r="112">
      <c r="A112" s="10" t="s">
        <v>722</v>
      </c>
      <c r="B112" s="10" t="s">
        <v>11</v>
      </c>
      <c r="C112" s="12">
        <v>1.0</v>
      </c>
      <c r="D112" s="19" t="s">
        <v>723</v>
      </c>
      <c r="E112" s="20" t="s">
        <v>724</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Crystal|.*crystal.*bury""),""Empty-Crystal"","""")&amp;IF(REGEXMATCH($E112,""Move|move""),""Move"","""")"),"Control Empty-Crystal")</f>
        <v>Control Empty-Crystal</v>
      </c>
      <c r="G112" s="21" t="s">
        <v>725</v>
      </c>
      <c r="H112" s="19">
        <v>6.0</v>
      </c>
      <c r="I112" s="19" t="s">
        <v>572</v>
      </c>
      <c r="J112" s="12" t="s">
        <v>69</v>
      </c>
      <c r="L112" s="14" t="str">
        <f>IFERROR(__xludf.DUMMYFUNCTION("IF(REGEXMATCH($B112,L$1),$D112,"""")"),"Crystalblight? Dragon Wizard")</f>
        <v>Crystalblight? Dragon Wizard</v>
      </c>
      <c r="M112" s="14" t="str">
        <f>IFERROR(__xludf.DUMMYFUNCTION("IF(REGEXMATCH($B112,M$1),$D112,"""")"),"")</f>
        <v/>
      </c>
      <c r="N112" s="14" t="str">
        <f>IFERROR(__xludf.DUMMYFUNCTION("IF(REGEXMATCH($B112,N$1),$D112,"""")"),"")</f>
        <v/>
      </c>
      <c r="O112" s="14" t="str">
        <f>IFERROR(__xludf.DUMMYFUNCTION("IF(REGEXMATCH($B112,O$1),$D112,"""")"),"")</f>
        <v/>
      </c>
      <c r="P112" s="14" t="str">
        <f>IFERROR(__xludf.DUMMYFUNCTION("IF(REGEXMATCH($B112,P$1),$D112,"""")"),"")</f>
        <v/>
      </c>
      <c r="Q112" s="14">
        <f>IFERROR(__xludf.DUMMYFUNCTION("IF($A112="""","""",LEN(REGEXREPLACE($I112,"",\s?"","""")))"),4.0)</f>
        <v>4</v>
      </c>
      <c r="R112" s="15" t="s">
        <v>726</v>
      </c>
      <c r="S112" s="17" t="s">
        <v>727</v>
      </c>
      <c r="T112" s="17" t="s">
        <v>728</v>
      </c>
      <c r="U112" s="17" t="s">
        <v>729</v>
      </c>
      <c r="V112" s="17" t="s">
        <v>730</v>
      </c>
      <c r="W112" s="17" t="s">
        <v>731</v>
      </c>
      <c r="X112" s="17" t="s">
        <v>732</v>
      </c>
      <c r="Y112" s="14"/>
      <c r="Z112" s="14"/>
      <c r="AA112" s="14"/>
      <c r="AB112" s="14"/>
    </row>
    <row r="113" hidden="1">
      <c r="A113" s="10" t="s">
        <v>733</v>
      </c>
      <c r="B113" s="50" t="s">
        <v>11</v>
      </c>
      <c r="C113" s="12">
        <v>2.0</v>
      </c>
      <c r="D113" s="12" t="s">
        <v>312</v>
      </c>
      <c r="E113" s="10" t="s">
        <v>734</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Crystal|.*crystal.*bury""),""Empty-Crystal"","""")&amp;IF(REGEXMATCH($E113,""Move|move""),""Move"","""")"),"Elemental Ascend ")</f>
        <v>Elemental Ascend </v>
      </c>
      <c r="G113" s="13" t="s">
        <v>31</v>
      </c>
      <c r="H113" s="12">
        <v>1.0</v>
      </c>
      <c r="I113" s="12" t="s">
        <v>457</v>
      </c>
      <c r="J113" s="12" t="s">
        <v>33</v>
      </c>
      <c r="L113" s="14" t="str">
        <f>IFERROR(__xludf.DUMMYFUNCTION("IF(REGEXMATCH($B113,L$1),$D113,"""")"),"Human Wizard")</f>
        <v>Human Wizard</v>
      </c>
      <c r="M113" s="14" t="str">
        <f>IFERROR(__xludf.DUMMYFUNCTION("IF(REGEXMATCH($B113,M$1),$D113,"""")"),"")</f>
        <v/>
      </c>
      <c r="N113" s="14" t="str">
        <f>IFERROR(__xludf.DUMMYFUNCTION("IF(REGEXMATCH($B113,N$1),$D113,"""")"),"")</f>
        <v/>
      </c>
      <c r="O113" s="14" t="str">
        <f>IFERROR(__xludf.DUMMYFUNCTION("IF(REGEXMATCH($B113,O$1),$D113,"""")"),"")</f>
        <v/>
      </c>
      <c r="P113" s="14" t="str">
        <f>IFERROR(__xludf.DUMMYFUNCTION("IF(REGEXMATCH($B113,P$1),$D113,"""")"),"")</f>
        <v/>
      </c>
      <c r="Q113" s="14">
        <f>IFERROR(__xludf.DUMMYFUNCTION("IF($A113="""","""",LEN(REGEXREPLACE($I113,"",\s?"","""")))"),1.0)</f>
        <v>1</v>
      </c>
      <c r="S113" s="14"/>
      <c r="T113" s="14"/>
      <c r="U113" s="14"/>
      <c r="V113" s="14"/>
      <c r="W113" s="14"/>
      <c r="X113" s="14"/>
      <c r="Y113" s="14"/>
      <c r="Z113" s="14"/>
      <c r="AA113" s="14"/>
      <c r="AB113" s="14"/>
    </row>
    <row r="114" hidden="1">
      <c r="A114" s="10" t="s">
        <v>735</v>
      </c>
      <c r="B114" s="59" t="s">
        <v>11</v>
      </c>
      <c r="C114" s="12">
        <v>0.0</v>
      </c>
      <c r="D114" s="12" t="s">
        <v>432</v>
      </c>
      <c r="E114" s="10" t="s">
        <v>736</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Crystal|.*crystal.*bury""),""Empty-Crystal"","""")&amp;IF(REGEXMATCH($E114,""Move|move""),""Move"","""")"),"Dragon Ramp ")</f>
        <v>Dragon Ramp </v>
      </c>
      <c r="G114" s="13" t="s">
        <v>737</v>
      </c>
      <c r="H114" s="12">
        <v>3.0</v>
      </c>
      <c r="I114" s="12" t="s">
        <v>430</v>
      </c>
      <c r="J114" s="12" t="s">
        <v>33</v>
      </c>
      <c r="L114" s="14" t="str">
        <f>IFERROR(__xludf.DUMMYFUNCTION("IF(REGEXMATCH($B114,L$1),$D114,"""")"),"Dragon")</f>
        <v>Dragon</v>
      </c>
      <c r="M114" s="14" t="str">
        <f>IFERROR(__xludf.DUMMYFUNCTION("IF(REGEXMATCH($B114,M$1),$D114,"""")"),"")</f>
        <v/>
      </c>
      <c r="N114" s="14" t="str">
        <f>IFERROR(__xludf.DUMMYFUNCTION("IF(REGEXMATCH($B114,N$1),$D114,"""")"),"")</f>
        <v/>
      </c>
      <c r="O114" s="14" t="str">
        <f>IFERROR(__xludf.DUMMYFUNCTION("IF(REGEXMATCH($B114,O$1),$D114,"""")"),"")</f>
        <v/>
      </c>
      <c r="P114" s="14" t="str">
        <f>IFERROR(__xludf.DUMMYFUNCTION("IF(REGEXMATCH($B114,P$1),$D114,"""")"),"")</f>
        <v/>
      </c>
      <c r="Q114" s="14">
        <f>IFERROR(__xludf.DUMMYFUNCTION("IF($A114="""","""",LEN(REGEXREPLACE($I114,"",\s?"","""")))"),3.0)</f>
        <v>3</v>
      </c>
      <c r="S114" s="14"/>
      <c r="T114" s="14"/>
      <c r="U114" s="14"/>
      <c r="V114" s="14"/>
      <c r="W114" s="14"/>
      <c r="X114" s="14"/>
      <c r="Y114" s="14"/>
      <c r="Z114" s="14"/>
      <c r="AA114" s="14"/>
      <c r="AB114" s="14"/>
    </row>
    <row r="115">
      <c r="A115" s="20" t="s">
        <v>738</v>
      </c>
      <c r="B115" s="39" t="s">
        <v>11</v>
      </c>
      <c r="C115" s="19">
        <v>1.0</v>
      </c>
      <c r="D115" s="19" t="s">
        <v>432</v>
      </c>
      <c r="E115" s="20"/>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21" t="s">
        <v>739</v>
      </c>
      <c r="H115" s="19">
        <v>9.0</v>
      </c>
      <c r="I115" s="19" t="s">
        <v>740</v>
      </c>
      <c r="J115" s="12" t="s">
        <v>33</v>
      </c>
      <c r="L115" s="14" t="str">
        <f>IFERROR(__xludf.DUMMYFUNCTION("IF(REGEXMATCH($B115,L$1),$D115,"""")"),"Dragon")</f>
        <v>Dragon</v>
      </c>
      <c r="M115" s="14" t="str">
        <f>IFERROR(__xludf.DUMMYFUNCTION("IF(REGEXMATCH($B115,M$1),$D115,"""")"),"")</f>
        <v/>
      </c>
      <c r="N115" s="14" t="str">
        <f>IFERROR(__xludf.DUMMYFUNCTION("IF(REGEXMATCH($B115,N$1),$D115,"""")"),"")</f>
        <v/>
      </c>
      <c r="O115" s="14" t="str">
        <f>IFERROR(__xludf.DUMMYFUNCTION("IF(REGEXMATCH($B115,O$1),$D115,"""")"),"")</f>
        <v/>
      </c>
      <c r="P115" s="14" t="str">
        <f>IFERROR(__xludf.DUMMYFUNCTION("IF(REGEXMATCH($B115,P$1),$D115,"""")"),"")</f>
        <v/>
      </c>
      <c r="Q115" s="14">
        <f>IFERROR(__xludf.DUMMYFUNCTION("IF($A115="""","""",LEN(REGEXREPLACE($I115,"",\s?"","""")))"),7.0)</f>
        <v>7</v>
      </c>
      <c r="R115" s="15" t="s">
        <v>741</v>
      </c>
      <c r="S115" s="17" t="s">
        <v>742</v>
      </c>
      <c r="T115" s="17" t="s">
        <v>743</v>
      </c>
      <c r="U115" s="17" t="s">
        <v>744</v>
      </c>
      <c r="V115" s="17" t="s">
        <v>745</v>
      </c>
      <c r="W115" s="17" t="s">
        <v>746</v>
      </c>
      <c r="X115" s="17" t="s">
        <v>747</v>
      </c>
      <c r="Y115" s="17" t="s">
        <v>748</v>
      </c>
      <c r="Z115" s="17" t="s">
        <v>749</v>
      </c>
      <c r="AA115" s="17" t="s">
        <v>750</v>
      </c>
      <c r="AB115" s="17" t="s">
        <v>751</v>
      </c>
    </row>
    <row r="116">
      <c r="A116" s="20" t="s">
        <v>752</v>
      </c>
      <c r="B116" s="39" t="s">
        <v>11</v>
      </c>
      <c r="C116" s="19">
        <v>1.0</v>
      </c>
      <c r="D116" s="19" t="s">
        <v>411</v>
      </c>
      <c r="E116" s="20" t="s">
        <v>753</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Crystal|.*crystal.*bury""),""Empty-Crystal"","""")&amp;IF(REGEXMATCH($E116,""Move|move""),""Move"","""")"),"Unearth Move")</f>
        <v>Unearth Move</v>
      </c>
      <c r="G116" s="60"/>
      <c r="H116" s="19">
        <v>3.0</v>
      </c>
      <c r="I116" s="19" t="s">
        <v>598</v>
      </c>
      <c r="J116" s="19" t="s">
        <v>33</v>
      </c>
      <c r="L116" s="14" t="str">
        <f>IFERROR(__xludf.DUMMYFUNCTION("IF(REGEXMATCH($B116,L$1),$D116,"""")"),"Spirit")</f>
        <v>Spirit</v>
      </c>
      <c r="M116" s="14" t="str">
        <f>IFERROR(__xludf.DUMMYFUNCTION("IF(REGEXMATCH($B116,M$1),$D116,"""")"),"")</f>
        <v/>
      </c>
      <c r="N116" s="14" t="str">
        <f>IFERROR(__xludf.DUMMYFUNCTION("IF(REGEXMATCH($B116,N$1),$D116,"""")"),"")</f>
        <v/>
      </c>
      <c r="O116" s="14" t="str">
        <f>IFERROR(__xludf.DUMMYFUNCTION("IF(REGEXMATCH($B116,O$1),$D116,"""")"),"")</f>
        <v/>
      </c>
      <c r="P116" s="14" t="str">
        <f>IFERROR(__xludf.DUMMYFUNCTION("IF(REGEXMATCH($B116,P$1),$D116,"""")"),"")</f>
        <v/>
      </c>
      <c r="Q116" s="14">
        <f>IFERROR(__xludf.DUMMYFUNCTION("IF($A116="""","""",LEN(REGEXREPLACE($I116,"",\s?"","""")))"),4.0)</f>
        <v>4</v>
      </c>
      <c r="S116" s="14"/>
      <c r="T116" s="14"/>
      <c r="U116" s="14"/>
      <c r="V116" s="14"/>
      <c r="W116" s="14"/>
      <c r="X116" s="14"/>
      <c r="Y116" s="14"/>
      <c r="Z116" s="14"/>
      <c r="AA116" s="14"/>
      <c r="AB116" s="14"/>
    </row>
    <row r="117">
      <c r="A117" s="32" t="s">
        <v>754</v>
      </c>
      <c r="B117" s="61" t="s">
        <v>11</v>
      </c>
      <c r="C117" s="54">
        <v>1.0</v>
      </c>
      <c r="D117" s="62" t="s">
        <v>141</v>
      </c>
      <c r="E117" s="34" t="s">
        <v>755</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Crystal|.*crystal.*bury""),""Empty-Crystal"","""")&amp;IF(REGEXMATCH($E117,""Move|move""),""Move"","""")"),"Control Empty-Crystal")</f>
        <v>Control Empty-Crystal</v>
      </c>
      <c r="G117" s="63" t="s">
        <v>725</v>
      </c>
      <c r="H117" s="62">
        <v>4.0</v>
      </c>
      <c r="I117" s="62" t="s">
        <v>480</v>
      </c>
      <c r="J117" s="64" t="s">
        <v>69</v>
      </c>
      <c r="L117" s="14" t="str">
        <f>IFERROR(__xludf.DUMMYFUNCTION("IF(REGEXMATCH($B117,L$1),$D117,"""")"),"Human Hunter")</f>
        <v>Human Hunter</v>
      </c>
      <c r="M117" s="14" t="str">
        <f>IFERROR(__xludf.DUMMYFUNCTION("IF(REGEXMATCH($B117,M$1),$D117,"""")"),"")</f>
        <v/>
      </c>
      <c r="N117" s="14" t="str">
        <f>IFERROR(__xludf.DUMMYFUNCTION("IF(REGEXMATCH($B117,N$1),$D117,"""")"),"")</f>
        <v/>
      </c>
      <c r="O117" s="14" t="str">
        <f>IFERROR(__xludf.DUMMYFUNCTION("IF(REGEXMATCH($B117,O$1),$D117,"""")"),"")</f>
        <v/>
      </c>
      <c r="P117" s="14" t="str">
        <f>IFERROR(__xludf.DUMMYFUNCTION("IF(REGEXMATCH($B117,P$1),$D117,"""")"),"")</f>
        <v/>
      </c>
      <c r="Q117" s="14">
        <f>IFERROR(__xludf.DUMMYFUNCTION("IF($A117="""","""",LEN(REGEXREPLACE($I117,"",\s?"","""")))"),5.0)</f>
        <v>5</v>
      </c>
      <c r="S117" s="14"/>
      <c r="T117" s="14"/>
      <c r="U117" s="14"/>
      <c r="V117" s="14"/>
      <c r="W117" s="14"/>
      <c r="X117" s="14"/>
      <c r="Y117" s="14"/>
      <c r="Z117" s="14"/>
      <c r="AA117" s="14"/>
      <c r="AB117" s="14"/>
    </row>
    <row r="118" hidden="1">
      <c r="A118" s="20" t="s">
        <v>756</v>
      </c>
      <c r="B118" s="42" t="s">
        <v>11</v>
      </c>
      <c r="C118" s="19">
        <v>2.0</v>
      </c>
      <c r="D118" s="19" t="s">
        <v>569</v>
      </c>
      <c r="E118" s="20" t="s">
        <v>757</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Crystal|.*crystal.*bury""),""Empty-Crystal"","""")&amp;IF(REGEXMATCH($E118,""Move|move""),""Move"","""")"),"Ramp Copy ")</f>
        <v>Ramp Copy </v>
      </c>
      <c r="G118" s="21" t="s">
        <v>366</v>
      </c>
      <c r="H118" s="19">
        <v>4.0</v>
      </c>
      <c r="I118" s="19" t="s">
        <v>480</v>
      </c>
      <c r="J118" s="19" t="s">
        <v>39</v>
      </c>
      <c r="L118" s="14" t="str">
        <f>IFERROR(__xludf.DUMMYFUNCTION("IF(REGEXMATCH($B118,L$1),$D118,"""")"),"Dragon Wizard")</f>
        <v>Dragon Wizard</v>
      </c>
      <c r="M118" s="14" t="str">
        <f>IFERROR(__xludf.DUMMYFUNCTION("IF(REGEXMATCH($B118,M$1),$D118,"""")"),"")</f>
        <v/>
      </c>
      <c r="N118" s="14" t="str">
        <f>IFERROR(__xludf.DUMMYFUNCTION("IF(REGEXMATCH($B118,N$1),$D118,"""")"),"")</f>
        <v/>
      </c>
      <c r="O118" s="14" t="str">
        <f>IFERROR(__xludf.DUMMYFUNCTION("IF(REGEXMATCH($B118,O$1),$D118,"""")"),"")</f>
        <v/>
      </c>
      <c r="P118" s="14" t="str">
        <f>IFERROR(__xludf.DUMMYFUNCTION("IF(REGEXMATCH($B118,P$1),$D118,"""")"),"")</f>
        <v/>
      </c>
      <c r="Q118" s="14">
        <f>IFERROR(__xludf.DUMMYFUNCTION("IF($A118="""","""",LEN(REGEXREPLACE($I118,"",\s?"","""")))"),5.0)</f>
        <v>5</v>
      </c>
      <c r="S118" s="14"/>
      <c r="T118" s="14"/>
      <c r="U118" s="14"/>
      <c r="V118" s="14"/>
      <c r="W118" s="14"/>
      <c r="X118" s="14"/>
      <c r="Y118" s="14"/>
      <c r="Z118" s="14"/>
      <c r="AA118" s="14"/>
      <c r="AB118" s="14"/>
    </row>
    <row r="119">
      <c r="A119" s="27" t="s">
        <v>758</v>
      </c>
      <c r="B119" s="29" t="s">
        <v>11</v>
      </c>
      <c r="C119" s="12">
        <v>1.0</v>
      </c>
      <c r="D119" s="12" t="s">
        <v>341</v>
      </c>
      <c r="E119" s="20" t="s">
        <v>759</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Crystal|.*crystal.*bury""),""Empty-Crystal"","""")&amp;IF(REGEXMATCH($E119,""Move|move""),""Move"","""")"),"Wizard ")</f>
        <v>Wizard </v>
      </c>
      <c r="G119" s="21" t="s">
        <v>760</v>
      </c>
      <c r="H119" s="24">
        <v>2.0</v>
      </c>
      <c r="I119" s="12" t="s">
        <v>435</v>
      </c>
      <c r="J119" s="24" t="s">
        <v>69</v>
      </c>
      <c r="L119" s="14" t="str">
        <f>IFERROR(__xludf.DUMMYFUNCTION("IF(REGEXMATCH($B119,L$1),$D119,"""")"),"Animal Wizard")</f>
        <v>Animal Wizard</v>
      </c>
      <c r="M119" s="14" t="str">
        <f>IFERROR(__xludf.DUMMYFUNCTION("IF(REGEXMATCH($B119,M$1),$D119,"""")"),"")</f>
        <v/>
      </c>
      <c r="N119" s="14" t="str">
        <f>IFERROR(__xludf.DUMMYFUNCTION("IF(REGEXMATCH($B119,N$1),$D119,"""")"),"")</f>
        <v/>
      </c>
      <c r="O119" s="14" t="str">
        <f>IFERROR(__xludf.DUMMYFUNCTION("IF(REGEXMATCH($B119,O$1),$D119,"""")"),"")</f>
        <v/>
      </c>
      <c r="P119" s="14" t="str">
        <f>IFERROR(__xludf.DUMMYFUNCTION("IF(REGEXMATCH($B119,P$1),$D119,"""")"),"")</f>
        <v/>
      </c>
      <c r="Q119" s="14">
        <f>IFERROR(__xludf.DUMMYFUNCTION("IF($A119="""","""",LEN(REGEXREPLACE($I119,"",\s?"","""")))"),2.0)</f>
        <v>2</v>
      </c>
      <c r="R119" s="15" t="s">
        <v>761</v>
      </c>
      <c r="S119" s="17" t="s">
        <v>762</v>
      </c>
      <c r="T119" s="17" t="s">
        <v>763</v>
      </c>
      <c r="U119" s="17" t="s">
        <v>764</v>
      </c>
      <c r="V119" s="17" t="s">
        <v>765</v>
      </c>
      <c r="W119" s="17" t="s">
        <v>766</v>
      </c>
      <c r="X119" s="17" t="s">
        <v>767</v>
      </c>
      <c r="Y119" s="14"/>
      <c r="Z119" s="14"/>
      <c r="AA119" s="14"/>
      <c r="AB119" s="14"/>
    </row>
    <row r="120" hidden="1">
      <c r="A120" s="10" t="s">
        <v>768</v>
      </c>
      <c r="B120" s="65" t="s">
        <v>11</v>
      </c>
      <c r="C120" s="12">
        <v>2.0</v>
      </c>
      <c r="D120" s="12" t="s">
        <v>411</v>
      </c>
      <c r="E120" s="22" t="s">
        <v>769</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Crystal|.*crystal.*bury""),""Empty-Crystal"","""")&amp;IF(REGEXMATCH($E120,""Move|move""),""Move"","""")"),"Move")</f>
        <v>Move</v>
      </c>
      <c r="G120" s="49" t="s">
        <v>770</v>
      </c>
      <c r="H120" s="12">
        <v>5.0</v>
      </c>
      <c r="I120" s="12" t="s">
        <v>538</v>
      </c>
      <c r="J120" s="12" t="s">
        <v>39</v>
      </c>
      <c r="L120" s="14" t="str">
        <f>IFERROR(__xludf.DUMMYFUNCTION("IF(REGEXMATCH($B120,L$1),$D120,"""")"),"Spirit")</f>
        <v>Spirit</v>
      </c>
      <c r="M120" s="14" t="str">
        <f>IFERROR(__xludf.DUMMYFUNCTION("IF(REGEXMATCH($B120,M$1),$D120,"""")"),"")</f>
        <v/>
      </c>
      <c r="N120" s="14" t="str">
        <f>IFERROR(__xludf.DUMMYFUNCTION("IF(REGEXMATCH($B120,N$1),$D120,"""")"),"")</f>
        <v/>
      </c>
      <c r="O120" s="14" t="str">
        <f>IFERROR(__xludf.DUMMYFUNCTION("IF(REGEXMATCH($B120,O$1),$D120,"""")"),"")</f>
        <v/>
      </c>
      <c r="P120" s="14" t="str">
        <f>IFERROR(__xludf.DUMMYFUNCTION("IF(REGEXMATCH($B120,P$1),$D120,"""")"),"")</f>
        <v/>
      </c>
      <c r="Q120" s="14">
        <f>IFERROR(__xludf.DUMMYFUNCTION("IF($A120="""","""",LEN(REGEXREPLACE($I120,"",\s?"","""")))"),6.0)</f>
        <v>6</v>
      </c>
      <c r="S120" s="14"/>
      <c r="T120" s="14"/>
      <c r="U120" s="14"/>
      <c r="V120" s="14"/>
      <c r="W120" s="14"/>
      <c r="X120" s="14"/>
      <c r="Y120" s="14"/>
      <c r="Z120" s="14"/>
      <c r="AA120" s="14"/>
      <c r="AB120" s="14"/>
    </row>
    <row r="121" hidden="1">
      <c r="A121" s="10" t="s">
        <v>771</v>
      </c>
      <c r="B121" s="66" t="s">
        <v>11</v>
      </c>
      <c r="C121" s="12">
        <v>2.0</v>
      </c>
      <c r="D121" s="12" t="s">
        <v>677</v>
      </c>
      <c r="E121" s="10" t="s">
        <v>772</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Crystal|.*crystal.*bury""),""Empty-Crystal"","""")&amp;IF(REGEXMATCH($E121,""Move|move""),""Move"","""")"),"Ramp Move")</f>
        <v>Ramp Move</v>
      </c>
      <c r="G121" s="13" t="s">
        <v>773</v>
      </c>
      <c r="H121" s="12">
        <v>4.0</v>
      </c>
      <c r="I121" s="12" t="s">
        <v>598</v>
      </c>
      <c r="J121" s="12" t="s">
        <v>69</v>
      </c>
      <c r="L121" s="14" t="str">
        <f>IFERROR(__xludf.DUMMYFUNCTION("IF(REGEXMATCH($B121,L$1),$D121,"""")"),"Dragon Hunter")</f>
        <v>Dragon Hunter</v>
      </c>
      <c r="M121" s="14" t="str">
        <f>IFERROR(__xludf.DUMMYFUNCTION("IF(REGEXMATCH($B121,M$1),$D121,"""")"),"")</f>
        <v/>
      </c>
      <c r="N121" s="14" t="str">
        <f>IFERROR(__xludf.DUMMYFUNCTION("IF(REGEXMATCH($B121,N$1),$D121,"""")"),"")</f>
        <v/>
      </c>
      <c r="O121" s="14" t="str">
        <f>IFERROR(__xludf.DUMMYFUNCTION("IF(REGEXMATCH($B121,O$1),$D121,"""")"),"")</f>
        <v/>
      </c>
      <c r="P121" s="14" t="str">
        <f>IFERROR(__xludf.DUMMYFUNCTION("IF(REGEXMATCH($B121,P$1),$D121,"""")"),"")</f>
        <v/>
      </c>
      <c r="Q121" s="14">
        <f>IFERROR(__xludf.DUMMYFUNCTION("IF($A121="""","""",LEN(REGEXREPLACE($I121,"",\s?"","""")))"),4.0)</f>
        <v>4</v>
      </c>
      <c r="S121" s="14"/>
      <c r="T121" s="14"/>
      <c r="U121" s="14"/>
      <c r="V121" s="14"/>
      <c r="W121" s="14"/>
      <c r="X121" s="14"/>
      <c r="Y121" s="14"/>
      <c r="Z121" s="14"/>
      <c r="AA121" s="14"/>
      <c r="AB121" s="14"/>
    </row>
    <row r="122" hidden="1">
      <c r="A122" s="20" t="s">
        <v>774</v>
      </c>
      <c r="B122" s="39" t="s">
        <v>11</v>
      </c>
      <c r="C122" s="19">
        <v>2.0</v>
      </c>
      <c r="D122" s="19" t="s">
        <v>364</v>
      </c>
      <c r="E122" s="20" t="s">
        <v>775</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Crystal|.*crystal.*bury""),""Empty-Crystal"","""")&amp;IF(REGEXMATCH($E122,""Move|move""),""Move"","""")"),"Elemental ")</f>
        <v>Elemental </v>
      </c>
      <c r="G122" s="21" t="s">
        <v>776</v>
      </c>
      <c r="H122" s="19">
        <v>3.0</v>
      </c>
      <c r="I122" s="19" t="s">
        <v>598</v>
      </c>
      <c r="J122" s="19" t="s">
        <v>69</v>
      </c>
      <c r="L122" s="14" t="str">
        <f>IFERROR(__xludf.DUMMYFUNCTION("IF(REGEXMATCH($B122,L$1),$D122,"""")"),"Dinosaur")</f>
        <v>Dinosaur</v>
      </c>
      <c r="M122" s="14" t="str">
        <f>IFERROR(__xludf.DUMMYFUNCTION("IF(REGEXMATCH($B122,M$1),$D122,"""")"),"")</f>
        <v/>
      </c>
      <c r="N122" s="14" t="str">
        <f>IFERROR(__xludf.DUMMYFUNCTION("IF(REGEXMATCH($B122,N$1),$D122,"""")"),"")</f>
        <v/>
      </c>
      <c r="O122" s="14" t="str">
        <f>IFERROR(__xludf.DUMMYFUNCTION("IF(REGEXMATCH($B122,O$1),$D122,"""")"),"")</f>
        <v/>
      </c>
      <c r="P122" s="14" t="str">
        <f>IFERROR(__xludf.DUMMYFUNCTION("IF(REGEXMATCH($B122,P$1),$D122,"""")"),"")</f>
        <v/>
      </c>
      <c r="Q122" s="14">
        <f>IFERROR(__xludf.DUMMYFUNCTION("IF($A122="""","""",LEN(REGEXREPLACE($I122,"",\s?"","""")))"),4.0)</f>
        <v>4</v>
      </c>
      <c r="S122" s="14"/>
      <c r="T122" s="14"/>
      <c r="U122" s="14"/>
      <c r="V122" s="14"/>
      <c r="W122" s="14"/>
      <c r="X122" s="14"/>
      <c r="Y122" s="14"/>
      <c r="Z122" s="14"/>
      <c r="AA122" s="14"/>
      <c r="AB122" s="14"/>
    </row>
    <row r="123">
      <c r="A123" s="20" t="s">
        <v>777</v>
      </c>
      <c r="B123" s="39" t="s">
        <v>11</v>
      </c>
      <c r="C123" s="19">
        <v>1.0</v>
      </c>
      <c r="D123" s="19" t="s">
        <v>778</v>
      </c>
      <c r="E123" s="20" t="s">
        <v>779</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Crystal|.*crystal.*bury""),""Empty-Crystal"","""")&amp;IF(REGEXMATCH($E123,""Move|move""),""Move"","""")"),"Copy ")</f>
        <v>Copy </v>
      </c>
      <c r="G123" s="21" t="s">
        <v>117</v>
      </c>
      <c r="H123" s="19">
        <v>3.0</v>
      </c>
      <c r="I123" s="19" t="s">
        <v>480</v>
      </c>
      <c r="J123" s="19" t="s">
        <v>39</v>
      </c>
      <c r="L123" s="14" t="str">
        <f>IFERROR(__xludf.DUMMYFUNCTION("IF(REGEXMATCH($B123,L$1),$D123,"""")"),"Demon Dinosaur")</f>
        <v>Demon Dinosaur</v>
      </c>
      <c r="M123" s="14" t="str">
        <f>IFERROR(__xludf.DUMMYFUNCTION("IF(REGEXMATCH($B123,M$1),$D123,"""")"),"")</f>
        <v/>
      </c>
      <c r="N123" s="14" t="str">
        <f>IFERROR(__xludf.DUMMYFUNCTION("IF(REGEXMATCH($B123,N$1),$D123,"""")"),"")</f>
        <v/>
      </c>
      <c r="O123" s="14" t="str">
        <f>IFERROR(__xludf.DUMMYFUNCTION("IF(REGEXMATCH($B123,O$1),$D123,"""")"),"")</f>
        <v/>
      </c>
      <c r="P123" s="14" t="str">
        <f>IFERROR(__xludf.DUMMYFUNCTION("IF(REGEXMATCH($B123,P$1),$D123,"""")"),"")</f>
        <v/>
      </c>
      <c r="Q123" s="14">
        <f>IFERROR(__xludf.DUMMYFUNCTION("IF($A123="""","""",LEN(REGEXREPLACE($I123,"",\s?"","""")))"),5.0)</f>
        <v>5</v>
      </c>
      <c r="R123" s="15" t="s">
        <v>780</v>
      </c>
      <c r="S123" s="17" t="s">
        <v>781</v>
      </c>
      <c r="T123" s="17" t="s">
        <v>782</v>
      </c>
      <c r="U123" s="17" t="s">
        <v>783</v>
      </c>
      <c r="V123" s="17" t="s">
        <v>784</v>
      </c>
      <c r="W123" s="17" t="s">
        <v>785</v>
      </c>
      <c r="X123" s="14"/>
      <c r="Y123" s="14"/>
      <c r="Z123" s="14"/>
      <c r="AA123" s="14"/>
      <c r="AB123" s="14"/>
    </row>
    <row r="124" hidden="1">
      <c r="A124" s="20" t="s">
        <v>786</v>
      </c>
      <c r="B124" s="42" t="s">
        <v>11</v>
      </c>
      <c r="C124" s="19">
        <v>2.0</v>
      </c>
      <c r="D124" s="19" t="s">
        <v>787</v>
      </c>
      <c r="E124" s="20" t="s">
        <v>788</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Control ")</f>
        <v>Ramp Control </v>
      </c>
      <c r="G124" s="60"/>
      <c r="H124" s="19">
        <v>3.0</v>
      </c>
      <c r="I124" s="19" t="s">
        <v>572</v>
      </c>
      <c r="J124" s="19" t="s">
        <v>39</v>
      </c>
      <c r="L124" s="14" t="str">
        <f>IFERROR(__xludf.DUMMYFUNCTION("IF(REGEXMATCH($B124,L$1),$D124,"""")"),"Demon Dragon")</f>
        <v>Demon Dragon</v>
      </c>
      <c r="M124" s="14" t="str">
        <f>IFERROR(__xludf.DUMMYFUNCTION("IF(REGEXMATCH($B124,M$1),$D124,"""")"),"")</f>
        <v/>
      </c>
      <c r="N124" s="14" t="str">
        <f>IFERROR(__xludf.DUMMYFUNCTION("IF(REGEXMATCH($B124,N$1),$D124,"""")"),"")</f>
        <v/>
      </c>
      <c r="O124" s="14" t="str">
        <f>IFERROR(__xludf.DUMMYFUNCTION("IF(REGEXMATCH($B124,O$1),$D124,"""")"),"")</f>
        <v/>
      </c>
      <c r="P124" s="14" t="str">
        <f>IFERROR(__xludf.DUMMYFUNCTION("IF(REGEXMATCH($B124,P$1),$D124,"""")"),"")</f>
        <v/>
      </c>
      <c r="Q124" s="14">
        <f>IFERROR(__xludf.DUMMYFUNCTION("IF($A124="""","""",LEN(REGEXREPLACE($I124,"",\s?"","""")))"),4.0)</f>
        <v>4</v>
      </c>
      <c r="S124" s="14"/>
      <c r="T124" s="14"/>
      <c r="U124" s="14"/>
      <c r="V124" s="14"/>
      <c r="W124" s="14"/>
      <c r="X124" s="14"/>
      <c r="Y124" s="14"/>
      <c r="Z124" s="14"/>
      <c r="AA124" s="14"/>
      <c r="AB124" s="14"/>
    </row>
    <row r="125" hidden="1">
      <c r="A125" s="20" t="s">
        <v>789</v>
      </c>
      <c r="B125" s="40" t="s">
        <v>11</v>
      </c>
      <c r="C125" s="19">
        <v>2.0</v>
      </c>
      <c r="D125" s="19" t="s">
        <v>221</v>
      </c>
      <c r="E125" s="20" t="s">
        <v>790</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Crystal|.*crystal.*bury""),""Empty-Crystal"","""")&amp;IF(REGEXMATCH($E125,""Move|move""),""Move"","""")"),"Control ")</f>
        <v>Control </v>
      </c>
      <c r="G125" s="21" t="s">
        <v>791</v>
      </c>
      <c r="H125" s="19">
        <v>3.0</v>
      </c>
      <c r="I125" s="12" t="s">
        <v>430</v>
      </c>
      <c r="J125" s="12" t="s">
        <v>33</v>
      </c>
      <c r="L125" s="14" t="str">
        <f>IFERROR(__xludf.DUMMYFUNCTION("IF(REGEXMATCH($B125,L$1),$D125,"""")"),"Animal Spirit")</f>
        <v>Animal Spirit</v>
      </c>
      <c r="M125" s="14" t="str">
        <f>IFERROR(__xludf.DUMMYFUNCTION("IF(REGEXMATCH($B125,M$1),$D125,"""")"),"")</f>
        <v/>
      </c>
      <c r="N125" s="14" t="str">
        <f>IFERROR(__xludf.DUMMYFUNCTION("IF(REGEXMATCH($B125,N$1),$D125,"""")"),"")</f>
        <v/>
      </c>
      <c r="O125" s="14" t="str">
        <f>IFERROR(__xludf.DUMMYFUNCTION("IF(REGEXMATCH($B125,O$1),$D125,"""")"),"")</f>
        <v/>
      </c>
      <c r="P125" s="14" t="str">
        <f>IFERROR(__xludf.DUMMYFUNCTION("IF(REGEXMATCH($B125,P$1),$D125,"""")"),"")</f>
        <v/>
      </c>
      <c r="Q125" s="14">
        <f>IFERROR(__xludf.DUMMYFUNCTION("IF($A125="""","""",LEN(REGEXREPLACE($I125,"",\s?"","""")))"),3.0)</f>
        <v>3</v>
      </c>
      <c r="S125" s="14"/>
      <c r="T125" s="14"/>
      <c r="U125" s="14"/>
      <c r="V125" s="14"/>
      <c r="W125" s="14"/>
      <c r="X125" s="14"/>
      <c r="Y125" s="14"/>
      <c r="Z125" s="14"/>
      <c r="AA125" s="14"/>
      <c r="AB125" s="14"/>
    </row>
    <row r="126">
      <c r="A126" s="20" t="s">
        <v>792</v>
      </c>
      <c r="B126" s="39" t="s">
        <v>11</v>
      </c>
      <c r="C126" s="19">
        <v>1.0</v>
      </c>
      <c r="D126" s="67" t="s">
        <v>250</v>
      </c>
      <c r="E126" s="68" t="s">
        <v>793</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Crystal|.*crystal.*bury""),""Empty-Crystal"","""")&amp;IF(REGEXMATCH($E126,""Move|move""),""Move"","""")"),"Ramp ")</f>
        <v>Ramp </v>
      </c>
      <c r="G126" s="21" t="s">
        <v>366</v>
      </c>
      <c r="H126" s="19">
        <v>3.0</v>
      </c>
      <c r="I126" s="19" t="s">
        <v>430</v>
      </c>
      <c r="J126" s="19" t="s">
        <v>33</v>
      </c>
      <c r="L126" s="14" t="str">
        <f>IFERROR(__xludf.DUMMYFUNCTION("IF(REGEXMATCH($B126,L$1),$D126,"""")"),"Construct Spirit")</f>
        <v>Construct Spirit</v>
      </c>
      <c r="M126" s="14" t="str">
        <f>IFERROR(__xludf.DUMMYFUNCTION("IF(REGEXMATCH($B126,M$1),$D126,"""")"),"")</f>
        <v/>
      </c>
      <c r="N126" s="14" t="str">
        <f>IFERROR(__xludf.DUMMYFUNCTION("IF(REGEXMATCH($B126,N$1),$D126,"""")"),"")</f>
        <v/>
      </c>
      <c r="O126" s="14" t="str">
        <f>IFERROR(__xludf.DUMMYFUNCTION("IF(REGEXMATCH($B126,O$1),$D126,"""")"),"")</f>
        <v/>
      </c>
      <c r="P126" s="14" t="str">
        <f>IFERROR(__xludf.DUMMYFUNCTION("IF(REGEXMATCH($B126,P$1),$D126,"""")"),"")</f>
        <v/>
      </c>
      <c r="Q126" s="14">
        <f>IFERROR(__xludf.DUMMYFUNCTION("IF($A126="""","""",LEN(REGEXREPLACE($I126,"",\s?"","""")))"),3.0)</f>
        <v>3</v>
      </c>
      <c r="R126" s="15" t="s">
        <v>794</v>
      </c>
      <c r="S126" s="17" t="s">
        <v>795</v>
      </c>
      <c r="T126" s="17" t="s">
        <v>796</v>
      </c>
      <c r="U126" s="17" t="s">
        <v>797</v>
      </c>
      <c r="V126" s="17" t="s">
        <v>798</v>
      </c>
      <c r="W126" s="17" t="s">
        <v>799</v>
      </c>
      <c r="X126" s="17" t="s">
        <v>800</v>
      </c>
      <c r="Y126" s="17" t="s">
        <v>801</v>
      </c>
      <c r="Z126" s="17" t="s">
        <v>802</v>
      </c>
      <c r="AA126" s="17" t="s">
        <v>803</v>
      </c>
      <c r="AB126" s="17" t="s">
        <v>804</v>
      </c>
    </row>
    <row r="127" hidden="1">
      <c r="A127" s="20" t="s">
        <v>805</v>
      </c>
      <c r="B127" s="42" t="s">
        <v>11</v>
      </c>
      <c r="C127" s="19">
        <v>2.0</v>
      </c>
      <c r="D127" s="19" t="s">
        <v>628</v>
      </c>
      <c r="E127" s="20" t="s">
        <v>806</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Crystal|.*crystal.*bury""),""Empty-Crystal"","""")&amp;IF(REGEXMATCH($E127,""Move|move""),""Move"","""")"),"Unearth Ramp Copy ")</f>
        <v>Unearth Ramp Copy </v>
      </c>
      <c r="G127" s="21" t="s">
        <v>366</v>
      </c>
      <c r="H127" s="19">
        <v>4.0</v>
      </c>
      <c r="I127" s="19" t="s">
        <v>450</v>
      </c>
      <c r="J127" s="19" t="s">
        <v>69</v>
      </c>
      <c r="L127" s="14" t="str">
        <f>IFERROR(__xludf.DUMMYFUNCTION("IF(REGEXMATCH($B127,L$1),$D127,"""")"),"Dragon Spirit")</f>
        <v>Dragon Spirit</v>
      </c>
      <c r="M127" s="14" t="str">
        <f>IFERROR(__xludf.DUMMYFUNCTION("IF(REGEXMATCH($B127,M$1),$D127,"""")"),"")</f>
        <v/>
      </c>
      <c r="N127" s="14" t="str">
        <f>IFERROR(__xludf.DUMMYFUNCTION("IF(REGEXMATCH($B127,N$1),$D127,"""")"),"")</f>
        <v/>
      </c>
      <c r="O127" s="14" t="str">
        <f>IFERROR(__xludf.DUMMYFUNCTION("IF(REGEXMATCH($B127,O$1),$D127,"""")"),"")</f>
        <v/>
      </c>
      <c r="P127" s="14" t="str">
        <f>IFERROR(__xludf.DUMMYFUNCTION("IF(REGEXMATCH($B127,P$1),$D127,"""")"),"")</f>
        <v/>
      </c>
      <c r="Q127" s="14">
        <f>IFERROR(__xludf.DUMMYFUNCTION("IF($A127="""","""",LEN(REGEXREPLACE($I127,"",\s?"","""")))"),5.0)</f>
        <v>5</v>
      </c>
      <c r="S127" s="14"/>
      <c r="T127" s="14"/>
      <c r="U127" s="14"/>
      <c r="V127" s="14"/>
      <c r="W127" s="14"/>
      <c r="X127" s="14"/>
      <c r="Y127" s="14"/>
      <c r="Z127" s="14"/>
      <c r="AA127" s="14"/>
      <c r="AB127" s="14"/>
    </row>
    <row r="128" hidden="1">
      <c r="A128" s="20" t="s">
        <v>807</v>
      </c>
      <c r="B128" s="42" t="s">
        <v>11</v>
      </c>
      <c r="C128" s="19">
        <v>2.0</v>
      </c>
      <c r="D128" s="19" t="s">
        <v>411</v>
      </c>
      <c r="E128" s="20" t="s">
        <v>808</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Crystal|.*crystal.*bury""),""Empty-Crystal"","""")&amp;IF(REGEXMATCH($E128,""Move|move""),""Move"","""")"),"Control ")</f>
        <v>Control </v>
      </c>
      <c r="G128" s="60"/>
      <c r="H128" s="19">
        <v>5.0</v>
      </c>
      <c r="I128" s="19" t="s">
        <v>435</v>
      </c>
      <c r="J128" s="19" t="s">
        <v>33</v>
      </c>
      <c r="L128" s="14" t="str">
        <f>IFERROR(__xludf.DUMMYFUNCTION("IF(REGEXMATCH($B128,L$1),$D128,"""")"),"Spirit")</f>
        <v>Spirit</v>
      </c>
      <c r="M128" s="14" t="str">
        <f>IFERROR(__xludf.DUMMYFUNCTION("IF(REGEXMATCH($B128,M$1),$D128,"""")"),"")</f>
        <v/>
      </c>
      <c r="N128" s="14" t="str">
        <f>IFERROR(__xludf.DUMMYFUNCTION("IF(REGEXMATCH($B128,N$1),$D128,"""")"),"")</f>
        <v/>
      </c>
      <c r="O128" s="14" t="str">
        <f>IFERROR(__xludf.DUMMYFUNCTION("IF(REGEXMATCH($B128,O$1),$D128,"""")"),"")</f>
        <v/>
      </c>
      <c r="P128" s="14" t="str">
        <f>IFERROR(__xludf.DUMMYFUNCTION("IF(REGEXMATCH($B128,P$1),$D128,"""")"),"")</f>
        <v/>
      </c>
      <c r="Q128" s="14">
        <f>IFERROR(__xludf.DUMMYFUNCTION("IF($A128="""","""",LEN(REGEXREPLACE($I128,"",\s?"","""")))"),2.0)</f>
        <v>2</v>
      </c>
      <c r="S128" s="14"/>
      <c r="T128" s="14"/>
      <c r="U128" s="14"/>
      <c r="V128" s="14"/>
      <c r="W128" s="14"/>
      <c r="X128" s="14"/>
      <c r="Y128" s="14"/>
      <c r="Z128" s="14"/>
      <c r="AA128" s="14"/>
      <c r="AB128" s="14"/>
    </row>
    <row r="129">
      <c r="A129" s="69" t="s">
        <v>809</v>
      </c>
      <c r="B129" s="29" t="s">
        <v>11</v>
      </c>
      <c r="C129" s="12">
        <v>1.0</v>
      </c>
      <c r="D129" s="12" t="s">
        <v>110</v>
      </c>
      <c r="E129" s="70" t="s">
        <v>810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Crystal|.*crystal.*bury""),""Empty-Crystal"","""")&amp;IF(REGEXMATCH($E129,""Move|move""),""Move"","""")"),"Unearth Control ")</f>
        <v>Unearth Control </v>
      </c>
      <c r="G129" s="13" t="s">
        <v>811</v>
      </c>
      <c r="H129" s="24">
        <v>6.0</v>
      </c>
      <c r="I129" s="12" t="s">
        <v>812</v>
      </c>
      <c r="J129" s="12" t="s">
        <v>69</v>
      </c>
      <c r="L129" s="14" t="str">
        <f>IFERROR(__xludf.DUMMYFUNCTION("IF(REGEXMATCH($B129,L$1),$D129,"""")"),"Animal")</f>
        <v>Animal</v>
      </c>
      <c r="M129" s="14" t="str">
        <f>IFERROR(__xludf.DUMMYFUNCTION("IF(REGEXMATCH($B129,M$1),$D129,"""")"),"")</f>
        <v/>
      </c>
      <c r="N129" s="14" t="str">
        <f>IFERROR(__xludf.DUMMYFUNCTION("IF(REGEXMATCH($B129,N$1),$D129,"""")"),"")</f>
        <v/>
      </c>
      <c r="O129" s="14" t="str">
        <f>IFERROR(__xludf.DUMMYFUNCTION("IF(REGEXMATCH($B129,O$1),$D129,"""")"),"")</f>
        <v/>
      </c>
      <c r="P129" s="14" t="str">
        <f>IFERROR(__xludf.DUMMYFUNCTION("IF(REGEXMATCH($B129,P$1),$D129,"""")"),"")</f>
        <v/>
      </c>
      <c r="Q129" s="14">
        <f>IFERROR(__xludf.DUMMYFUNCTION("IF($A129="""","""",LEN(REGEXREPLACE($I129,"",\s?"","""")))"),5.0)</f>
        <v>5</v>
      </c>
      <c r="R129" s="15" t="s">
        <v>813</v>
      </c>
      <c r="S129" s="17" t="s">
        <v>814</v>
      </c>
      <c r="T129" s="17" t="s">
        <v>815</v>
      </c>
      <c r="U129" s="17" t="s">
        <v>816</v>
      </c>
      <c r="V129" s="17" t="s">
        <v>817</v>
      </c>
      <c r="W129" s="17" t="s">
        <v>818</v>
      </c>
      <c r="X129" s="17" t="s">
        <v>819</v>
      </c>
      <c r="Y129" s="17" t="s">
        <v>820</v>
      </c>
      <c r="Z129" s="14"/>
      <c r="AA129" s="14"/>
      <c r="AB129" s="14"/>
    </row>
    <row r="130">
      <c r="A130" s="14" t="s">
        <v>821</v>
      </c>
      <c r="B130" s="29" t="s">
        <v>11</v>
      </c>
      <c r="C130" s="12">
        <v>1.0</v>
      </c>
      <c r="D130" s="24" t="s">
        <v>411</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13" t="s">
        <v>822</v>
      </c>
      <c r="H130" s="24">
        <v>5.0</v>
      </c>
      <c r="I130" s="12" t="s">
        <v>572</v>
      </c>
      <c r="J130" s="24" t="s">
        <v>33</v>
      </c>
      <c r="L130" s="14" t="str">
        <f>IFERROR(__xludf.DUMMYFUNCTION("IF(REGEXMATCH($B130,L$1),$D130,"""")"),"Spirit")</f>
        <v>Spirit</v>
      </c>
      <c r="M130" s="14" t="str">
        <f>IFERROR(__xludf.DUMMYFUNCTION("IF(REGEXMATCH($B130,M$1),$D130,"""")"),"")</f>
        <v/>
      </c>
      <c r="N130" s="14" t="str">
        <f>IFERROR(__xludf.DUMMYFUNCTION("IF(REGEXMATCH($B130,N$1),$D130,"""")"),"")</f>
        <v/>
      </c>
      <c r="O130" s="14" t="str">
        <f>IFERROR(__xludf.DUMMYFUNCTION("IF(REGEXMATCH($B130,O$1),$D130,"""")"),"")</f>
        <v/>
      </c>
      <c r="P130" s="14" t="str">
        <f>IFERROR(__xludf.DUMMYFUNCTION("IF(REGEXMATCH($B130,P$1),$D130,"""")"),"")</f>
        <v/>
      </c>
      <c r="Q130" s="14">
        <f>IFERROR(__xludf.DUMMYFUNCTION("IF($A130="""","""",LEN(REGEXREPLACE($I130,"",\s?"","""")))"),4.0)</f>
        <v>4</v>
      </c>
      <c r="S130" s="14"/>
      <c r="T130" s="14"/>
      <c r="U130" s="14"/>
      <c r="V130" s="14"/>
      <c r="W130" s="14"/>
      <c r="X130" s="14"/>
      <c r="Y130" s="14"/>
      <c r="Z130" s="14"/>
      <c r="AA130" s="14"/>
      <c r="AB130" s="14"/>
    </row>
    <row r="131">
      <c r="A131" s="27" t="s">
        <v>823</v>
      </c>
      <c r="B131" s="29" t="s">
        <v>11</v>
      </c>
      <c r="C131" s="12">
        <v>1.0</v>
      </c>
      <c r="D131" s="12" t="s">
        <v>312</v>
      </c>
      <c r="E131" s="10" t="s">
        <v>824</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f>
        <v/>
      </c>
      <c r="G131" s="13" t="s">
        <v>825</v>
      </c>
      <c r="H131" s="12">
        <v>2.0</v>
      </c>
      <c r="I131" s="12" t="s">
        <v>598</v>
      </c>
      <c r="J131" s="24" t="s">
        <v>33</v>
      </c>
      <c r="L131" s="14" t="str">
        <f>IFERROR(__xludf.DUMMYFUNCTION("IF(REGEXMATCH($B131,L$1),$D131,"""")"),"Human Wizard")</f>
        <v>Human Wizard</v>
      </c>
      <c r="M131" s="14" t="str">
        <f>IFERROR(__xludf.DUMMYFUNCTION("IF(REGEXMATCH($B131,M$1),$D131,"""")"),"")</f>
        <v/>
      </c>
      <c r="N131" s="14" t="str">
        <f>IFERROR(__xludf.DUMMYFUNCTION("IF(REGEXMATCH($B131,N$1),$D131,"""")"),"")</f>
        <v/>
      </c>
      <c r="O131" s="14" t="str">
        <f>IFERROR(__xludf.DUMMYFUNCTION("IF(REGEXMATCH($B131,O$1),$D131,"""")"),"")</f>
        <v/>
      </c>
      <c r="P131" s="14" t="str">
        <f>IFERROR(__xludf.DUMMYFUNCTION("IF(REGEXMATCH($B131,P$1),$D131,"""")"),"")</f>
        <v/>
      </c>
      <c r="Q131" s="14">
        <f>IFERROR(__xludf.DUMMYFUNCTION("IF($A131="""","""",LEN(REGEXREPLACE($I131,"",\s?"","""")))"),4.0)</f>
        <v>4</v>
      </c>
      <c r="S131" s="14"/>
      <c r="T131" s="14"/>
      <c r="U131" s="14"/>
      <c r="V131" s="14"/>
      <c r="W131" s="14"/>
      <c r="X131" s="14"/>
      <c r="Y131" s="14"/>
      <c r="Z131" s="14"/>
      <c r="AA131" s="14"/>
      <c r="AB131" s="14"/>
    </row>
    <row r="132">
      <c r="A132" s="22" t="s">
        <v>826</v>
      </c>
      <c r="B132" s="29" t="s">
        <v>827</v>
      </c>
      <c r="C132" s="12">
        <v>1.0</v>
      </c>
      <c r="D132" s="12" t="s">
        <v>828</v>
      </c>
      <c r="E132" s="10"/>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3" t="s">
        <v>829</v>
      </c>
      <c r="H132" s="12">
        <v>2.0</v>
      </c>
      <c r="I132" s="12" t="s">
        <v>830</v>
      </c>
      <c r="J132" s="12" t="s">
        <v>33</v>
      </c>
      <c r="L132" s="14" t="str">
        <f>IFERROR(__xludf.DUMMYFUNCTION("IF(REGEXMATCH($B132,L$1),$D132,"""")"),"Bannerbearer Human Warrior")</f>
        <v>Bannerbearer Human Warrior</v>
      </c>
      <c r="M132" s="14" t="str">
        <f>IFERROR(__xludf.DUMMYFUNCTION("IF(REGEXMATCH($B132,M$1),$D132,"""")"),"")</f>
        <v/>
      </c>
      <c r="N132" s="14" t="str">
        <f>IFERROR(__xludf.DUMMYFUNCTION("IF(REGEXMATCH($B132,N$1),$D132,"""")"),"")</f>
        <v/>
      </c>
      <c r="O132" s="14" t="str">
        <f>IFERROR(__xludf.DUMMYFUNCTION("IF(REGEXMATCH($B132,O$1),$D132,"""")"),"Bannerbearer Human Warrior")</f>
        <v>Bannerbearer Human Warrior</v>
      </c>
      <c r="P132" s="14" t="str">
        <f>IFERROR(__xludf.DUMMYFUNCTION("IF(REGEXMATCH($B132,P$1),$D132,"""")"),"")</f>
        <v/>
      </c>
      <c r="Q132" s="14">
        <f>IFERROR(__xludf.DUMMYFUNCTION("IF($A132="""","""",LEN(REGEXREPLACE($I132,"",\s?"","""")))"),2.0)</f>
        <v>2</v>
      </c>
      <c r="S132" s="14"/>
      <c r="T132" s="14"/>
      <c r="U132" s="14"/>
      <c r="V132" s="14"/>
      <c r="W132" s="14"/>
      <c r="X132" s="14"/>
      <c r="Y132" s="14"/>
      <c r="Z132" s="14"/>
      <c r="AA132" s="14"/>
      <c r="AB132" s="14"/>
    </row>
    <row r="133">
      <c r="A133" s="10" t="s">
        <v>831</v>
      </c>
      <c r="B133" s="29" t="s">
        <v>827</v>
      </c>
      <c r="C133" s="12">
        <v>1.0</v>
      </c>
      <c r="D133" s="12" t="s">
        <v>832</v>
      </c>
      <c r="E133" s="10" t="s">
        <v>833</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Crystal|.*crystal.*bury""),""Empty-Crystal"","""")&amp;IF(REGEXMATCH($E133,""Move|move""),""Move"","""")"),"Dragon Human Copy ")</f>
        <v>Dragon Human Copy </v>
      </c>
      <c r="G133" s="13" t="s">
        <v>834</v>
      </c>
      <c r="H133" s="12">
        <v>2.0</v>
      </c>
      <c r="I133" s="12" t="s">
        <v>835</v>
      </c>
      <c r="J133" s="12" t="s">
        <v>69</v>
      </c>
      <c r="L133" s="14" t="str">
        <f>IFERROR(__xludf.DUMMYFUNCTION("IF(REGEXMATCH($B133,L$1),$D133,"""")"),"Human Dragon")</f>
        <v>Human Dragon</v>
      </c>
      <c r="M133" s="14" t="str">
        <f>IFERROR(__xludf.DUMMYFUNCTION("IF(REGEXMATCH($B133,M$1),$D133,"""")"),"")</f>
        <v/>
      </c>
      <c r="N133" s="14" t="str">
        <f>IFERROR(__xludf.DUMMYFUNCTION("IF(REGEXMATCH($B133,N$1),$D133,"""")"),"")</f>
        <v/>
      </c>
      <c r="O133" s="14" t="str">
        <f>IFERROR(__xludf.DUMMYFUNCTION("IF(REGEXMATCH($B133,O$1),$D133,"""")"),"Human Dragon")</f>
        <v>Human Dragon</v>
      </c>
      <c r="P133" s="14" t="str">
        <f>IFERROR(__xludf.DUMMYFUNCTION("IF(REGEXMATCH($B133,P$1),$D133,"""")"),"")</f>
        <v/>
      </c>
      <c r="Q133" s="14">
        <f>IFERROR(__xludf.DUMMYFUNCTION("IF($A133="""","""",LEN(REGEXREPLACE($I133,"",\s?"","""")))"),4.0)</f>
        <v>4</v>
      </c>
      <c r="S133" s="14"/>
      <c r="T133" s="14"/>
      <c r="U133" s="14"/>
      <c r="V133" s="14"/>
      <c r="W133" s="14"/>
      <c r="X133" s="14"/>
      <c r="Y133" s="14"/>
      <c r="Z133" s="14"/>
      <c r="AA133" s="14"/>
      <c r="AB133" s="14"/>
    </row>
    <row r="134" hidden="1">
      <c r="A134" s="25" t="s">
        <v>836</v>
      </c>
      <c r="B134" s="29" t="s">
        <v>827</v>
      </c>
      <c r="C134" s="12">
        <v>2.0</v>
      </c>
      <c r="D134" s="12" t="s">
        <v>312</v>
      </c>
      <c r="E134" s="10" t="s">
        <v>837</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Crystal|.*crystal.*bury""),""Empty-Crystal"","""")&amp;IF(REGEXMATCH($E134,""Move|move""),""Move"","""")"),"Wizard ")</f>
        <v>Wizard </v>
      </c>
      <c r="G134" s="13" t="s">
        <v>838</v>
      </c>
      <c r="H134" s="12">
        <v>3.0</v>
      </c>
      <c r="I134" s="12" t="s">
        <v>835</v>
      </c>
      <c r="J134" s="12" t="s">
        <v>69</v>
      </c>
      <c r="L134" s="14" t="str">
        <f>IFERROR(__xludf.DUMMYFUNCTION("IF(REGEXMATCH($B134,L$1),$D134,"""")"),"Human Wizard")</f>
        <v>Human Wizard</v>
      </c>
      <c r="M134" s="14" t="str">
        <f>IFERROR(__xludf.DUMMYFUNCTION("IF(REGEXMATCH($B134,M$1),$D134,"""")"),"")</f>
        <v/>
      </c>
      <c r="N134" s="14" t="str">
        <f>IFERROR(__xludf.DUMMYFUNCTION("IF(REGEXMATCH($B134,N$1),$D134,"""")"),"")</f>
        <v/>
      </c>
      <c r="O134" s="14" t="str">
        <f>IFERROR(__xludf.DUMMYFUNCTION("IF(REGEXMATCH($B134,O$1),$D134,"""")"),"Human Wizard")</f>
        <v>Human Wizard</v>
      </c>
      <c r="P134" s="14" t="str">
        <f>IFERROR(__xludf.DUMMYFUNCTION("IF(REGEXMATCH($B134,P$1),$D134,"""")"),"")</f>
        <v/>
      </c>
      <c r="Q134" s="14">
        <f>IFERROR(__xludf.DUMMYFUNCTION("IF($A134="""","""",LEN(REGEXREPLACE($I134,"",\s?"","""")))"),4.0)</f>
        <v>4</v>
      </c>
      <c r="S134" s="14"/>
      <c r="T134" s="14"/>
      <c r="U134" s="14"/>
      <c r="V134" s="14"/>
      <c r="W134" s="14"/>
      <c r="X134" s="14"/>
      <c r="Y134" s="14"/>
      <c r="Z134" s="14"/>
      <c r="AA134" s="14"/>
      <c r="AB134" s="14"/>
    </row>
    <row r="135">
      <c r="A135" s="10" t="s">
        <v>839</v>
      </c>
      <c r="B135" s="29" t="s">
        <v>827</v>
      </c>
      <c r="C135" s="12">
        <v>1.0</v>
      </c>
      <c r="D135" s="12" t="s">
        <v>312</v>
      </c>
      <c r="E135" s="10" t="s">
        <v>840</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Crystal|.*crystal.*bury""),""Empty-Crystal"","""")&amp;IF(REGEXMATCH($E135,""Move|move""),""Move"","""")"),"Unearth ")</f>
        <v>Unearth </v>
      </c>
      <c r="G135" s="58" t="s">
        <v>841</v>
      </c>
      <c r="H135" s="12">
        <v>5.0</v>
      </c>
      <c r="I135" s="12" t="s">
        <v>842</v>
      </c>
      <c r="J135" s="12" t="s">
        <v>39</v>
      </c>
      <c r="L135" s="14" t="str">
        <f>IFERROR(__xludf.DUMMYFUNCTION("IF(REGEXMATCH($B135,L$1),$D135,"""")"),"Human Wizard")</f>
        <v>Human Wizard</v>
      </c>
      <c r="M135" s="14" t="str">
        <f>IFERROR(__xludf.DUMMYFUNCTION("IF(REGEXMATCH($B135,M$1),$D135,"""")"),"")</f>
        <v/>
      </c>
      <c r="N135" s="14" t="str">
        <f>IFERROR(__xludf.DUMMYFUNCTION("IF(REGEXMATCH($B135,N$1),$D135,"""")"),"")</f>
        <v/>
      </c>
      <c r="O135" s="14" t="str">
        <f>IFERROR(__xludf.DUMMYFUNCTION("IF(REGEXMATCH($B135,O$1),$D135,"""")"),"Human Wizard")</f>
        <v>Human Wizard</v>
      </c>
      <c r="P135" s="14" t="str">
        <f>IFERROR(__xludf.DUMMYFUNCTION("IF(REGEXMATCH($B135,P$1),$D135,"""")"),"")</f>
        <v/>
      </c>
      <c r="Q135" s="14">
        <f>IFERROR(__xludf.DUMMYFUNCTION("IF($A135="""","""",LEN(REGEXREPLACE($I135,"",\s?"","""")))"),5.0)</f>
        <v>5</v>
      </c>
      <c r="S135" s="14"/>
      <c r="T135" s="14"/>
      <c r="U135" s="14"/>
      <c r="V135" s="14"/>
      <c r="W135" s="14"/>
      <c r="X135" s="14"/>
      <c r="Y135" s="14"/>
      <c r="Z135" s="14"/>
      <c r="AA135" s="14"/>
      <c r="AB135" s="14"/>
    </row>
    <row r="136" hidden="1">
      <c r="A136" s="22" t="s">
        <v>843</v>
      </c>
      <c r="B136" s="29" t="s">
        <v>827</v>
      </c>
      <c r="C136" s="12">
        <v>2.0</v>
      </c>
      <c r="D136" s="12" t="s">
        <v>844</v>
      </c>
      <c r="E136" s="10" t="s">
        <v>845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Crystal|.*crystal.*bury""),""Empty-Crystal"","""")&amp;IF(REGEXMATCH($E136,""Move|move""),""Move"","""")"),"Control Aggro ")</f>
        <v>Control Aggro </v>
      </c>
      <c r="G136" s="13" t="s">
        <v>846</v>
      </c>
      <c r="H136" s="12">
        <v>6.0</v>
      </c>
      <c r="I136" s="12" t="s">
        <v>847</v>
      </c>
      <c r="J136" s="12" t="s">
        <v>39</v>
      </c>
      <c r="L136" s="14" t="str">
        <f>IFERROR(__xludf.DUMMYFUNCTION("IF(REGEXMATCH($B136,L$1),$D136,"""")"),"Dragon Warrior")</f>
        <v>Dragon Warrior</v>
      </c>
      <c r="M136" s="14" t="str">
        <f>IFERROR(__xludf.DUMMYFUNCTION("IF(REGEXMATCH($B136,M$1),$D136,"""")"),"")</f>
        <v/>
      </c>
      <c r="N136" s="14" t="str">
        <f>IFERROR(__xludf.DUMMYFUNCTION("IF(REGEXMATCH($B136,N$1),$D136,"""")"),"")</f>
        <v/>
      </c>
      <c r="O136" s="14" t="str">
        <f>IFERROR(__xludf.DUMMYFUNCTION("IF(REGEXMATCH($B136,O$1),$D136,"""")"),"Dragon Warrior")</f>
        <v>Dragon Warrior</v>
      </c>
      <c r="P136" s="14" t="str">
        <f>IFERROR(__xludf.DUMMYFUNCTION("IF(REGEXMATCH($B136,P$1),$D136,"""")"),"")</f>
        <v/>
      </c>
      <c r="Q136" s="14">
        <f>IFERROR(__xludf.DUMMYFUNCTION("IF($A136="""","""",LEN(REGEXREPLACE($I136,"",\s?"","""")))"),6.0)</f>
        <v>6</v>
      </c>
      <c r="S136" s="14"/>
      <c r="T136" s="14"/>
      <c r="U136" s="14"/>
      <c r="V136" s="14"/>
      <c r="W136" s="14"/>
      <c r="X136" s="14"/>
      <c r="Y136" s="14"/>
      <c r="Z136" s="14"/>
      <c r="AA136" s="14"/>
      <c r="AB136" s="14"/>
    </row>
    <row r="137" hidden="1">
      <c r="A137" s="10" t="s">
        <v>848</v>
      </c>
      <c r="B137" s="29" t="s">
        <v>849</v>
      </c>
      <c r="C137" s="12">
        <v>2.0</v>
      </c>
      <c r="D137" s="12" t="s">
        <v>850</v>
      </c>
      <c r="E137" s="71" t="s">
        <v>851</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Crystal|.*crystal.*bury""),""Empty-Crystal"","""")&amp;IF(REGEXMATCH($E137,""Move|move""),""Move"","""")"),"Ramp Copy ")</f>
        <v>Ramp Copy </v>
      </c>
      <c r="G137" s="46" t="s">
        <v>852</v>
      </c>
      <c r="H137" s="12">
        <v>5.0</v>
      </c>
      <c r="I137" s="12" t="s">
        <v>853</v>
      </c>
      <c r="J137" s="12" t="s">
        <v>69</v>
      </c>
      <c r="L137" s="14" t="str">
        <f>IFERROR(__xludf.DUMMYFUNCTION("IF(REGEXMATCH($B137,L$1),$D137,"""")"),"Human Plant")</f>
        <v>Human Plant</v>
      </c>
      <c r="M137" s="14" t="str">
        <f>IFERROR(__xludf.DUMMYFUNCTION("IF(REGEXMATCH($B137,M$1),$D137,"""")"),"Human Plant")</f>
        <v>Human Plant</v>
      </c>
      <c r="N137" s="14" t="str">
        <f>IFERROR(__xludf.DUMMYFUNCTION("IF(REGEXMATCH($B137,N$1),$D137,"""")"),"")</f>
        <v/>
      </c>
      <c r="O137" s="14" t="str">
        <f>IFERROR(__xludf.DUMMYFUNCTION("IF(REGEXMATCH($B137,O$1),$D137,"""")"),"")</f>
        <v/>
      </c>
      <c r="P137" s="14" t="str">
        <f>IFERROR(__xludf.DUMMYFUNCTION("IF(REGEXMATCH($B137,P$1),$D137,"""")"),"")</f>
        <v/>
      </c>
      <c r="Q137" s="14">
        <f>IFERROR(__xludf.DUMMYFUNCTION("IF($A137="""","""",LEN(REGEXREPLACE($I137,"",\s?"","""")))"),4.0)</f>
        <v>4</v>
      </c>
      <c r="S137" s="14"/>
      <c r="T137" s="14"/>
      <c r="U137" s="14"/>
      <c r="V137" s="14"/>
      <c r="W137" s="14"/>
      <c r="X137" s="14"/>
      <c r="Y137" s="14"/>
      <c r="Z137" s="14"/>
      <c r="AA137" s="14"/>
      <c r="AB137" s="14"/>
    </row>
    <row r="138">
      <c r="A138" s="10" t="s">
        <v>854</v>
      </c>
      <c r="B138" s="29" t="s">
        <v>849</v>
      </c>
      <c r="C138" s="12">
        <v>1.0</v>
      </c>
      <c r="D138" s="33" t="s">
        <v>855</v>
      </c>
      <c r="E138" s="10" t="s">
        <v>856</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Crystal|.*crystal.*bury""),""Empty-Crystal"","""")&amp;IF(REGEXMATCH($E138,""Move|move""),""Move"","""")"),"Elemental Nature ")</f>
        <v>Elemental Nature </v>
      </c>
      <c r="G138" s="13" t="s">
        <v>857</v>
      </c>
      <c r="H138" s="12">
        <v>6.0</v>
      </c>
      <c r="I138" s="12" t="s">
        <v>858</v>
      </c>
      <c r="J138" s="12" t="s">
        <v>39</v>
      </c>
      <c r="L138" s="14" t="str">
        <f>IFERROR(__xludf.DUMMYFUNCTION("IF(REGEXMATCH($B138,L$1),$D138,"""")"),"Dragon Plant")</f>
        <v>Dragon Plant</v>
      </c>
      <c r="M138" s="14" t="str">
        <f>IFERROR(__xludf.DUMMYFUNCTION("IF(REGEXMATCH($B138,M$1),$D138,"""")"),"Dragon Plant")</f>
        <v>Dragon Plant</v>
      </c>
      <c r="N138" s="14" t="str">
        <f>IFERROR(__xludf.DUMMYFUNCTION("IF(REGEXMATCH($B138,N$1),$D138,"""")"),"")</f>
        <v/>
      </c>
      <c r="O138" s="14" t="str">
        <f>IFERROR(__xludf.DUMMYFUNCTION("IF(REGEXMATCH($B138,O$1),$D138,"""")"),"")</f>
        <v/>
      </c>
      <c r="P138" s="14" t="str">
        <f>IFERROR(__xludf.DUMMYFUNCTION("IF(REGEXMATCH($B138,P$1),$D138,"""")"),"")</f>
        <v/>
      </c>
      <c r="Q138" s="14">
        <f>IFERROR(__xludf.DUMMYFUNCTION("IF($A138="""","""",LEN(REGEXREPLACE($I138,"",\s?"","""")))"),6.0)</f>
        <v>6</v>
      </c>
      <c r="S138" s="14"/>
      <c r="T138" s="14"/>
      <c r="U138" s="14"/>
      <c r="V138" s="14"/>
      <c r="W138" s="14"/>
      <c r="X138" s="14"/>
      <c r="Y138" s="14"/>
      <c r="Z138" s="14"/>
      <c r="AA138" s="14"/>
      <c r="AB138" s="14"/>
    </row>
    <row r="139" hidden="1">
      <c r="A139" s="20" t="s">
        <v>859</v>
      </c>
      <c r="B139" s="39" t="s">
        <v>849</v>
      </c>
      <c r="C139" s="19">
        <v>0.0</v>
      </c>
      <c r="D139" s="19" t="s">
        <v>860</v>
      </c>
      <c r="E139" s="20" t="s">
        <v>861</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Crystal|.*crystal.*bury""),""Empty-Crystal"","""")&amp;IF(REGEXMATCH($E139,""Move|move""),""Move"","""")"),"Control ")</f>
        <v>Control </v>
      </c>
      <c r="G139" s="60"/>
      <c r="H139" s="19">
        <v>8.0</v>
      </c>
      <c r="I139" s="19" t="s">
        <v>862</v>
      </c>
      <c r="J139" s="19" t="s">
        <v>69</v>
      </c>
      <c r="L139" s="14" t="str">
        <f>IFERROR(__xludf.DUMMYFUNCTION("IF(REGEXMATCH($B139,L$1),$D139,"""")"),"Dinosaur Warrior")</f>
        <v>Dinosaur Warrior</v>
      </c>
      <c r="M139" s="14" t="str">
        <f>IFERROR(__xludf.DUMMYFUNCTION("IF(REGEXMATCH($B139,M$1),$D139,"""")"),"Dinosaur Warrior")</f>
        <v>Dinosaur Warrior</v>
      </c>
      <c r="N139" s="14" t="str">
        <f>IFERROR(__xludf.DUMMYFUNCTION("IF(REGEXMATCH($B139,N$1),$D139,"""")"),"")</f>
        <v/>
      </c>
      <c r="O139" s="14" t="str">
        <f>IFERROR(__xludf.DUMMYFUNCTION("IF(REGEXMATCH($B139,O$1),$D139,"""")"),"")</f>
        <v/>
      </c>
      <c r="P139" s="14" t="str">
        <f>IFERROR(__xludf.DUMMYFUNCTION("IF(REGEXMATCH($B139,P$1),$D139,"""")"),"")</f>
        <v/>
      </c>
      <c r="Q139" s="14">
        <f>IFERROR(__xludf.DUMMYFUNCTION("IF($A139="""","""",LEN(REGEXREPLACE($I139,"",\s?"","""")))"),5.0)</f>
        <v>5</v>
      </c>
      <c r="S139" s="14"/>
      <c r="T139" s="14"/>
      <c r="U139" s="14"/>
      <c r="V139" s="14"/>
      <c r="W139" s="14"/>
      <c r="X139" s="14"/>
      <c r="Y139" s="14"/>
      <c r="Z139" s="14"/>
      <c r="AA139" s="14"/>
      <c r="AB139" s="14"/>
    </row>
    <row r="140" hidden="1">
      <c r="A140" s="20" t="s">
        <v>863</v>
      </c>
      <c r="B140" s="39" t="s">
        <v>849</v>
      </c>
      <c r="C140" s="19">
        <v>2.0</v>
      </c>
      <c r="D140" s="19" t="s">
        <v>141</v>
      </c>
      <c r="E140" s="20" t="s">
        <v>864</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Crystal|.*crystal.*bury""),""Empty-Crystal"","""")&amp;IF(REGEXMATCH($E140,""Move|move""),""Move"","""")"),"Dragon Animal Dinosaur Copy ")</f>
        <v>Dragon Animal Dinosaur Copy </v>
      </c>
      <c r="G140" s="21" t="s">
        <v>865</v>
      </c>
      <c r="H140" s="19">
        <v>4.0</v>
      </c>
      <c r="I140" s="19" t="s">
        <v>866</v>
      </c>
      <c r="J140" s="19" t="s">
        <v>69</v>
      </c>
      <c r="L140" s="14" t="str">
        <f>IFERROR(__xludf.DUMMYFUNCTION("IF(REGEXMATCH($B140,L$1),$D140,"""")"),"Human Hunter")</f>
        <v>Human Hunter</v>
      </c>
      <c r="M140" s="14" t="str">
        <f>IFERROR(__xludf.DUMMYFUNCTION("IF(REGEXMATCH($B140,M$1),$D140,"""")"),"Human Hunter")</f>
        <v>Human Hunter</v>
      </c>
      <c r="N140" s="14" t="str">
        <f>IFERROR(__xludf.DUMMYFUNCTION("IF(REGEXMATCH($B140,N$1),$D140,"""")"),"")</f>
        <v/>
      </c>
      <c r="O140" s="14" t="str">
        <f>IFERROR(__xludf.DUMMYFUNCTION("IF(REGEXMATCH($B140,O$1),$D140,"""")"),"")</f>
        <v/>
      </c>
      <c r="P140" s="14" t="str">
        <f>IFERROR(__xludf.DUMMYFUNCTION("IF(REGEXMATCH($B140,P$1),$D140,"""")"),"")</f>
        <v/>
      </c>
      <c r="Q140" s="14">
        <f>IFERROR(__xludf.DUMMYFUNCTION("IF($A140="""","""",LEN(REGEXREPLACE($I140,"",\s?"","""")))"),5.0)</f>
        <v>5</v>
      </c>
      <c r="S140" s="14"/>
      <c r="T140" s="14"/>
      <c r="U140" s="14"/>
      <c r="V140" s="14"/>
      <c r="W140" s="14"/>
      <c r="X140" s="14"/>
      <c r="Y140" s="14"/>
      <c r="Z140" s="14"/>
      <c r="AA140" s="14"/>
      <c r="AB140" s="14"/>
    </row>
    <row r="141">
      <c r="A141" s="20" t="s">
        <v>867</v>
      </c>
      <c r="B141" s="29" t="s">
        <v>849</v>
      </c>
      <c r="C141" s="12">
        <v>1.0</v>
      </c>
      <c r="D141" s="12" t="s">
        <v>868</v>
      </c>
      <c r="E141" s="10"/>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f>
        <v/>
      </c>
      <c r="G141" s="13" t="s">
        <v>869</v>
      </c>
      <c r="H141" s="12">
        <v>2.0</v>
      </c>
      <c r="I141" s="12" t="s">
        <v>870</v>
      </c>
      <c r="J141" s="12" t="s">
        <v>33</v>
      </c>
      <c r="L141" s="14" t="str">
        <f>IFERROR(__xludf.DUMMYFUNCTION("IF(REGEXMATCH($B141,L$1),$D141,"""")"),"Animal Bannerbearer Hunter")</f>
        <v>Animal Bannerbearer Hunter</v>
      </c>
      <c r="M141" s="14" t="str">
        <f>IFERROR(__xludf.DUMMYFUNCTION("IF(REGEXMATCH($B141,M$1),$D141,"""")"),"Animal Bannerbearer Hunter")</f>
        <v>Animal Bannerbearer Hunter</v>
      </c>
      <c r="N141" s="14" t="str">
        <f>IFERROR(__xludf.DUMMYFUNCTION("IF(REGEXMATCH($B141,N$1),$D141,"""")"),"")</f>
        <v/>
      </c>
      <c r="O141" s="14" t="str">
        <f>IFERROR(__xludf.DUMMYFUNCTION("IF(REGEXMATCH($B141,O$1),$D141,"""")"),"")</f>
        <v/>
      </c>
      <c r="P141" s="14" t="str">
        <f>IFERROR(__xludf.DUMMYFUNCTION("IF(REGEXMATCH($B141,P$1),$D141,"""")"),"")</f>
        <v/>
      </c>
      <c r="Q141" s="14">
        <f>IFERROR(__xludf.DUMMYFUNCTION("IF($A141="""","""",LEN(REGEXREPLACE($I141,"",\s?"","""")))"),2.0)</f>
        <v>2</v>
      </c>
      <c r="S141" s="14"/>
      <c r="T141" s="14"/>
      <c r="U141" s="14"/>
      <c r="V141" s="14"/>
      <c r="W141" s="14"/>
      <c r="X141" s="14"/>
      <c r="Y141" s="14"/>
      <c r="Z141" s="14"/>
      <c r="AA141" s="14"/>
      <c r="AB141" s="14"/>
    </row>
    <row r="142" hidden="1">
      <c r="A142" s="25" t="s">
        <v>871</v>
      </c>
      <c r="B142" s="29" t="s">
        <v>849</v>
      </c>
      <c r="C142" s="12">
        <v>2.0</v>
      </c>
      <c r="D142" s="33" t="s">
        <v>860</v>
      </c>
      <c r="E142" s="10" t="s">
        <v>872</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Crystal|.*crystal.*bury""),""Empty-Crystal"","""")&amp;IF(REGEXMATCH($E142,""Move|move""),""Move"","""")"),"Move")</f>
        <v>Move</v>
      </c>
      <c r="G142" s="13" t="s">
        <v>873</v>
      </c>
      <c r="H142" s="12">
        <v>5.0</v>
      </c>
      <c r="I142" s="12" t="s">
        <v>866</v>
      </c>
      <c r="J142" s="12" t="s">
        <v>69</v>
      </c>
      <c r="L142" s="14" t="str">
        <f>IFERROR(__xludf.DUMMYFUNCTION("IF(REGEXMATCH($B142,L$1),$D142,"""")"),"Dinosaur Warrior")</f>
        <v>Dinosaur Warrior</v>
      </c>
      <c r="M142" s="14" t="str">
        <f>IFERROR(__xludf.DUMMYFUNCTION("IF(REGEXMATCH($B142,M$1),$D142,"""")"),"Dinosaur Warrior")</f>
        <v>Dinosaur Warrior</v>
      </c>
      <c r="N142" s="14" t="str">
        <f>IFERROR(__xludf.DUMMYFUNCTION("IF(REGEXMATCH($B142,N$1),$D142,"""")"),"")</f>
        <v/>
      </c>
      <c r="O142" s="14" t="str">
        <f>IFERROR(__xludf.DUMMYFUNCTION("IF(REGEXMATCH($B142,O$1),$D142,"""")"),"")</f>
        <v/>
      </c>
      <c r="P142" s="14" t="str">
        <f>IFERROR(__xludf.DUMMYFUNCTION("IF(REGEXMATCH($B142,P$1),$D142,"""")"),"")</f>
        <v/>
      </c>
      <c r="Q142" s="14">
        <f>IFERROR(__xludf.DUMMYFUNCTION("IF($A142="""","""",LEN(REGEXREPLACE($I142,"",\s?"","""")))"),5.0)</f>
        <v>5</v>
      </c>
      <c r="S142" s="14"/>
      <c r="T142" s="14"/>
      <c r="U142" s="14"/>
      <c r="V142" s="14"/>
      <c r="W142" s="14"/>
      <c r="X142" s="14"/>
      <c r="Y142" s="14"/>
      <c r="Z142" s="14"/>
      <c r="AA142" s="14"/>
      <c r="AB142" s="14"/>
    </row>
    <row r="143">
      <c r="A143" s="72" t="s">
        <v>874</v>
      </c>
      <c r="B143" s="29" t="s">
        <v>849</v>
      </c>
      <c r="C143" s="12">
        <v>1.0</v>
      </c>
      <c r="D143" s="12" t="s">
        <v>628</v>
      </c>
      <c r="E143" s="10" t="s">
        <v>875</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f>
        <v/>
      </c>
      <c r="G143" s="13" t="s">
        <v>876</v>
      </c>
      <c r="H143" s="12">
        <v>5.0</v>
      </c>
      <c r="I143" s="12" t="s">
        <v>866</v>
      </c>
      <c r="J143" s="12" t="s">
        <v>69</v>
      </c>
      <c r="L143" s="14" t="str">
        <f>IFERROR(__xludf.DUMMYFUNCTION("IF(REGEXMATCH($B143,L$1),$D143,"""")"),"Dragon Spirit")</f>
        <v>Dragon Spirit</v>
      </c>
      <c r="M143" s="14" t="str">
        <f>IFERROR(__xludf.DUMMYFUNCTION("IF(REGEXMATCH($B143,M$1),$D143,"""")"),"Dragon Spirit")</f>
        <v>Dragon Spirit</v>
      </c>
      <c r="N143" s="14" t="str">
        <f>IFERROR(__xludf.DUMMYFUNCTION("IF(REGEXMATCH($B143,N$1),$D143,"""")"),"")</f>
        <v/>
      </c>
      <c r="O143" s="14" t="str">
        <f>IFERROR(__xludf.DUMMYFUNCTION("IF(REGEXMATCH($B143,O$1),$D143,"""")"),"")</f>
        <v/>
      </c>
      <c r="P143" s="14" t="str">
        <f>IFERROR(__xludf.DUMMYFUNCTION("IF(REGEXMATCH($B143,P$1),$D143,"""")"),"")</f>
        <v/>
      </c>
      <c r="Q143" s="14">
        <f>IFERROR(__xludf.DUMMYFUNCTION("IF($A143="""","""",LEN(REGEXREPLACE($I143,"",\s?"","""")))"),5.0)</f>
        <v>5</v>
      </c>
      <c r="S143" s="14"/>
      <c r="T143" s="14"/>
      <c r="U143" s="14"/>
      <c r="V143" s="14"/>
      <c r="W143" s="14"/>
      <c r="X143" s="14"/>
      <c r="Y143" s="14"/>
      <c r="Z143" s="14"/>
      <c r="AA143" s="14"/>
      <c r="AB143" s="14"/>
    </row>
    <row r="144" hidden="1">
      <c r="A144" s="20" t="s">
        <v>877</v>
      </c>
      <c r="B144" s="39" t="s">
        <v>878</v>
      </c>
      <c r="C144" s="19">
        <v>2.0</v>
      </c>
      <c r="D144" s="19" t="s">
        <v>493</v>
      </c>
      <c r="E144" s="20" t="s">
        <v>879</v>
      </c>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21" t="s">
        <v>703</v>
      </c>
      <c r="H144" s="19">
        <v>0.0</v>
      </c>
      <c r="I144" s="19" t="s">
        <v>880</v>
      </c>
      <c r="J144" s="19" t="s">
        <v>69</v>
      </c>
      <c r="L144" s="14" t="str">
        <f>IFERROR(__xludf.DUMMYFUNCTION("IF(REGEXMATCH($B144,L$1),$D144,"""")"),"Spirit Wizard")</f>
        <v>Spirit Wizard</v>
      </c>
      <c r="M144" s="14" t="str">
        <f>IFERROR(__xludf.DUMMYFUNCTION("IF(REGEXMATCH($B144,M$1),$D144,"""")"),"")</f>
        <v/>
      </c>
      <c r="N144" s="14" t="str">
        <f>IFERROR(__xludf.DUMMYFUNCTION("IF(REGEXMATCH($B144,N$1),$D144,"""")"),"Spirit Wizard")</f>
        <v>Spirit Wizard</v>
      </c>
      <c r="O144" s="14" t="str">
        <f>IFERROR(__xludf.DUMMYFUNCTION("IF(REGEXMATCH($B144,O$1),$D144,"""")"),"")</f>
        <v/>
      </c>
      <c r="P144" s="14" t="str">
        <f>IFERROR(__xludf.DUMMYFUNCTION("IF(REGEXMATCH($B144,P$1),$D144,"""")"),"")</f>
        <v/>
      </c>
      <c r="Q144" s="14">
        <f>IFERROR(__xludf.DUMMYFUNCTION("IF($A144="""","""",LEN(REGEXREPLACE($I144,"",\s?"","""")))"),2.0)</f>
        <v>2</v>
      </c>
      <c r="S144" s="14"/>
      <c r="T144" s="14"/>
      <c r="U144" s="14"/>
      <c r="V144" s="14"/>
      <c r="W144" s="14"/>
      <c r="X144" s="14"/>
      <c r="Y144" s="14"/>
      <c r="Z144" s="14"/>
      <c r="AA144" s="14"/>
      <c r="AB144" s="14"/>
    </row>
    <row r="145" hidden="1">
      <c r="A145" s="20" t="s">
        <v>881</v>
      </c>
      <c r="B145" s="39" t="s">
        <v>878</v>
      </c>
      <c r="C145" s="19">
        <v>2.0</v>
      </c>
      <c r="D145" s="19" t="s">
        <v>882</v>
      </c>
      <c r="E145" s="20" t="s">
        <v>883</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Crystal|.*crystal.*bury""),""Empty-Crystal"","""")&amp;IF(REGEXMATCH($E145,""Move|move""),""Move"","""")"),"Spirit Unearth ")</f>
        <v>Spirit Unearth </v>
      </c>
      <c r="G145" s="21" t="s">
        <v>884</v>
      </c>
      <c r="H145" s="19">
        <v>3.0</v>
      </c>
      <c r="I145" s="19" t="s">
        <v>885</v>
      </c>
      <c r="J145" s="19" t="s">
        <v>69</v>
      </c>
      <c r="L145" s="14" t="str">
        <f>IFERROR(__xludf.DUMMYFUNCTION("IF(REGEXMATCH($B145,L$1),$D145,"""")"),"Undead Spirit")</f>
        <v>Undead Spirit</v>
      </c>
      <c r="M145" s="14" t="str">
        <f>IFERROR(__xludf.DUMMYFUNCTION("IF(REGEXMATCH($B145,M$1),$D145,"""")"),"")</f>
        <v/>
      </c>
      <c r="N145" s="14" t="str">
        <f>IFERROR(__xludf.DUMMYFUNCTION("IF(REGEXMATCH($B145,N$1),$D145,"""")"),"Undead Spirit")</f>
        <v>Undead Spirit</v>
      </c>
      <c r="O145" s="14" t="str">
        <f>IFERROR(__xludf.DUMMYFUNCTION("IF(REGEXMATCH($B145,O$1),$D145,"""")"),"")</f>
        <v/>
      </c>
      <c r="P145" s="14" t="str">
        <f>IFERROR(__xludf.DUMMYFUNCTION("IF(REGEXMATCH($B145,P$1),$D145,"""")"),"")</f>
        <v/>
      </c>
      <c r="Q145" s="14">
        <f>IFERROR(__xludf.DUMMYFUNCTION("IF($A145="""","""",LEN(REGEXREPLACE($I145,"",\s?"","""")))"),5.0)</f>
        <v>5</v>
      </c>
      <c r="S145" s="14"/>
      <c r="T145" s="14"/>
      <c r="U145" s="14"/>
      <c r="V145" s="14"/>
      <c r="W145" s="14"/>
      <c r="X145" s="14"/>
      <c r="Y145" s="14"/>
      <c r="Z145" s="14"/>
      <c r="AA145" s="14"/>
      <c r="AB145" s="14"/>
    </row>
    <row r="146" hidden="1">
      <c r="A146" s="10" t="s">
        <v>886</v>
      </c>
      <c r="B146" s="29" t="s">
        <v>878</v>
      </c>
      <c r="C146" s="12">
        <v>0.0</v>
      </c>
      <c r="D146" s="12" t="s">
        <v>692</v>
      </c>
      <c r="E146" s="10" t="s">
        <v>887</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Crystal|.*crystal.*bury""),""Empty-Crystal"","""")&amp;IF(REGEXMATCH($E146,""Move|move""),""Move"","""")"),"Unearth Control Empty-Crystal")</f>
        <v>Unearth Control Empty-Crystal</v>
      </c>
      <c r="G146" s="49" t="s">
        <v>888</v>
      </c>
      <c r="H146" s="12">
        <v>7.0</v>
      </c>
      <c r="I146" s="12" t="s">
        <v>889</v>
      </c>
      <c r="J146" s="12" t="s">
        <v>69</v>
      </c>
      <c r="L146" s="14" t="str">
        <f>IFERROR(__xludf.DUMMYFUNCTION("IF(REGEXMATCH($B146,L$1),$D146,"""")"),"Demon Spirit")</f>
        <v>Demon Spirit</v>
      </c>
      <c r="M146" s="14" t="str">
        <f>IFERROR(__xludf.DUMMYFUNCTION("IF(REGEXMATCH($B146,M$1),$D146,"""")"),"")</f>
        <v/>
      </c>
      <c r="N146" s="14" t="str">
        <f>IFERROR(__xludf.DUMMYFUNCTION("IF(REGEXMATCH($B146,N$1),$D146,"""")"),"Demon Spirit")</f>
        <v>Demon Spirit</v>
      </c>
      <c r="O146" s="14" t="str">
        <f>IFERROR(__xludf.DUMMYFUNCTION("IF(REGEXMATCH($B146,O$1),$D146,"""")"),"")</f>
        <v/>
      </c>
      <c r="P146" s="14" t="str">
        <f>IFERROR(__xludf.DUMMYFUNCTION("IF(REGEXMATCH($B146,P$1),$D146,"""")"),"")</f>
        <v/>
      </c>
      <c r="Q146" s="14">
        <f>IFERROR(__xludf.DUMMYFUNCTION("IF($A146="""","""",LEN(REGEXREPLACE($I146,"",\s?"","""")))"),6.0)</f>
        <v>6</v>
      </c>
      <c r="S146" s="14"/>
      <c r="T146" s="14"/>
      <c r="U146" s="14"/>
      <c r="V146" s="14"/>
      <c r="W146" s="14"/>
      <c r="X146" s="14"/>
      <c r="Y146" s="14"/>
      <c r="Z146" s="14"/>
      <c r="AA146" s="14"/>
      <c r="AB146" s="14"/>
    </row>
    <row r="147">
      <c r="A147" s="10" t="s">
        <v>890</v>
      </c>
      <c r="B147" s="29" t="s">
        <v>878</v>
      </c>
      <c r="C147" s="19">
        <v>1.0</v>
      </c>
      <c r="D147" s="12" t="s">
        <v>891</v>
      </c>
      <c r="E147" s="10" t="s">
        <v>892</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Crystal|.*crystal.*bury""),""Empty-Crystal"","""")&amp;IF(REGEXMATCH($E147,""Move|move""),""Move"","""")"),"Unearth Aggro ")</f>
        <v>Unearth Aggro </v>
      </c>
      <c r="G147" s="13" t="s">
        <v>893</v>
      </c>
      <c r="H147" s="12">
        <v>5.0</v>
      </c>
      <c r="I147" s="12" t="s">
        <v>885</v>
      </c>
      <c r="J147" s="12" t="s">
        <v>69</v>
      </c>
      <c r="L147" s="14" t="str">
        <f>IFERROR(__xludf.DUMMYFUNCTION("IF(REGEXMATCH($B147,L$1),$D147,"""")"),"Undead")</f>
        <v>Undead</v>
      </c>
      <c r="M147" s="14" t="str">
        <f>IFERROR(__xludf.DUMMYFUNCTION("IF(REGEXMATCH($B147,M$1),$D147,"""")"),"")</f>
        <v/>
      </c>
      <c r="N147" s="14" t="str">
        <f>IFERROR(__xludf.DUMMYFUNCTION("IF(REGEXMATCH($B147,N$1),$D147,"""")"),"Undead")</f>
        <v>Undead</v>
      </c>
      <c r="O147" s="14" t="str">
        <f>IFERROR(__xludf.DUMMYFUNCTION("IF(REGEXMATCH($B147,O$1),$D147,"""")"),"")</f>
        <v/>
      </c>
      <c r="P147" s="14" t="str">
        <f>IFERROR(__xludf.DUMMYFUNCTION("IF(REGEXMATCH($B147,P$1),$D147,"""")"),"")</f>
        <v/>
      </c>
      <c r="Q147" s="14">
        <f>IFERROR(__xludf.DUMMYFUNCTION("IF($A147="""","""",LEN(REGEXREPLACE($I147,"",\s?"","""")))"),5.0)</f>
        <v>5</v>
      </c>
      <c r="S147" s="14"/>
      <c r="T147" s="14"/>
      <c r="U147" s="14"/>
      <c r="V147" s="14"/>
      <c r="W147" s="14"/>
      <c r="X147" s="14"/>
      <c r="Y147" s="14"/>
      <c r="Z147" s="14"/>
      <c r="AA147" s="14"/>
      <c r="AB147" s="14"/>
    </row>
    <row r="148" hidden="1">
      <c r="A148" s="10" t="s">
        <v>894</v>
      </c>
      <c r="B148" s="29" t="s">
        <v>878</v>
      </c>
      <c r="C148" s="19">
        <v>2.0</v>
      </c>
      <c r="D148" s="12" t="s">
        <v>895</v>
      </c>
      <c r="E148" s="10" t="s">
        <v>896</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f>
        <v/>
      </c>
      <c r="G148" s="13" t="s">
        <v>897</v>
      </c>
      <c r="H148" s="12">
        <v>4.0</v>
      </c>
      <c r="I148" s="12" t="s">
        <v>885</v>
      </c>
      <c r="J148" s="12" t="s">
        <v>69</v>
      </c>
      <c r="L148" s="14" t="str">
        <f>IFERROR(__xludf.DUMMYFUNCTION("IF(REGEXMATCH($B148,L$1),$D148,"""")"),"Animal Demon")</f>
        <v>Animal Demon</v>
      </c>
      <c r="M148" s="14" t="str">
        <f>IFERROR(__xludf.DUMMYFUNCTION("IF(REGEXMATCH($B148,M$1),$D148,"""")"),"")</f>
        <v/>
      </c>
      <c r="N148" s="14" t="str">
        <f>IFERROR(__xludf.DUMMYFUNCTION("IF(REGEXMATCH($B148,N$1),$D148,"""")"),"Animal Demon")</f>
        <v>Animal Demon</v>
      </c>
      <c r="O148" s="14" t="str">
        <f>IFERROR(__xludf.DUMMYFUNCTION("IF(REGEXMATCH($B148,O$1),$D148,"""")"),"")</f>
        <v/>
      </c>
      <c r="P148" s="14" t="str">
        <f>IFERROR(__xludf.DUMMYFUNCTION("IF(REGEXMATCH($B148,P$1),$D148,"""")"),"")</f>
        <v/>
      </c>
      <c r="Q148" s="14">
        <f>IFERROR(__xludf.DUMMYFUNCTION("IF($A148="""","""",LEN(REGEXREPLACE($I148,"",\s?"","""")))"),5.0)</f>
        <v>5</v>
      </c>
      <c r="S148" s="14"/>
      <c r="T148" s="14"/>
      <c r="U148" s="14"/>
      <c r="V148" s="14"/>
      <c r="W148" s="14"/>
      <c r="X148" s="14"/>
      <c r="Y148" s="14"/>
      <c r="Z148" s="14"/>
      <c r="AA148" s="14"/>
      <c r="AB148" s="14"/>
    </row>
    <row r="149">
      <c r="A149" s="10" t="s">
        <v>898</v>
      </c>
      <c r="B149" s="29" t="s">
        <v>878</v>
      </c>
      <c r="C149" s="12">
        <v>1.0</v>
      </c>
      <c r="D149" s="12" t="s">
        <v>899</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3" t="s">
        <v>900</v>
      </c>
      <c r="H149" s="12">
        <v>2.0</v>
      </c>
      <c r="I149" s="12" t="s">
        <v>880</v>
      </c>
      <c r="J149" s="12" t="s">
        <v>33</v>
      </c>
      <c r="L149" s="14" t="str">
        <f>IFERROR(__xludf.DUMMYFUNCTION("IF(REGEXMATCH($B149,L$1),$D149,"""")"),"Bannerbearer Undead Warrior")</f>
        <v>Bannerbearer Undead Warrior</v>
      </c>
      <c r="M149" s="14" t="str">
        <f>IFERROR(__xludf.DUMMYFUNCTION("IF(REGEXMATCH($B149,M$1),$D149,"""")"),"")</f>
        <v/>
      </c>
      <c r="N149" s="14" t="str">
        <f>IFERROR(__xludf.DUMMYFUNCTION("IF(REGEXMATCH($B149,N$1),$D149,"""")"),"Bannerbearer Undead Warrior")</f>
        <v>Bannerbearer Undead Warrior</v>
      </c>
      <c r="O149" s="14" t="str">
        <f>IFERROR(__xludf.DUMMYFUNCTION("IF(REGEXMATCH($B149,O$1),$D149,"""")"),"")</f>
        <v/>
      </c>
      <c r="P149" s="14" t="str">
        <f>IFERROR(__xludf.DUMMYFUNCTION("IF(REGEXMATCH($B149,P$1),$D149,"""")"),"")</f>
        <v/>
      </c>
      <c r="Q149" s="14">
        <f>IFERROR(__xludf.DUMMYFUNCTION("IF($A149="""","""",LEN(REGEXREPLACE($I149,"",\s?"","""")))"),2.0)</f>
        <v>2</v>
      </c>
      <c r="S149" s="14"/>
      <c r="T149" s="14"/>
      <c r="U149" s="14"/>
      <c r="V149" s="14"/>
      <c r="W149" s="14"/>
      <c r="X149" s="14"/>
      <c r="Y149" s="14"/>
      <c r="Z149" s="14"/>
      <c r="AA149" s="14"/>
      <c r="AB149" s="14"/>
    </row>
    <row r="150" hidden="1">
      <c r="A150" s="25" t="s">
        <v>901</v>
      </c>
      <c r="B150" s="29" t="s">
        <v>878</v>
      </c>
      <c r="C150" s="12">
        <v>2.0</v>
      </c>
      <c r="D150" s="12" t="s">
        <v>902</v>
      </c>
      <c r="E150" s="10" t="s">
        <v>903</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Crystal|.*crystal.*bury""),""Empty-Crystal"","""")&amp;IF(REGEXMATCH($E150,""Move|move""),""Move"","""")"),"Aggro ")</f>
        <v>Aggro </v>
      </c>
      <c r="G150" s="13" t="s">
        <v>904</v>
      </c>
      <c r="H150" s="12">
        <v>5.0</v>
      </c>
      <c r="I150" s="12" t="s">
        <v>885</v>
      </c>
      <c r="J150" s="12" t="s">
        <v>69</v>
      </c>
      <c r="L150" s="14" t="str">
        <f>IFERROR(__xludf.DUMMYFUNCTION("IF(REGEXMATCH($B150,L$1),$D150,"""")"),"Animal Warrior")</f>
        <v>Animal Warrior</v>
      </c>
      <c r="M150" s="14" t="str">
        <f>IFERROR(__xludf.DUMMYFUNCTION("IF(REGEXMATCH($B150,M$1),$D150,"""")"),"")</f>
        <v/>
      </c>
      <c r="N150" s="14" t="str">
        <f>IFERROR(__xludf.DUMMYFUNCTION("IF(REGEXMATCH($B150,N$1),$D150,"""")"),"Animal Warrior")</f>
        <v>Animal Warrior</v>
      </c>
      <c r="O150" s="14" t="str">
        <f>IFERROR(__xludf.DUMMYFUNCTION("IF(REGEXMATCH($B150,O$1),$D150,"""")"),"")</f>
        <v/>
      </c>
      <c r="P150" s="14" t="str">
        <f>IFERROR(__xludf.DUMMYFUNCTION("IF(REGEXMATCH($B150,P$1),$D150,"""")"),"")</f>
        <v/>
      </c>
      <c r="Q150" s="14">
        <f>IFERROR(__xludf.DUMMYFUNCTION("IF($A150="""","""",LEN(REGEXREPLACE($I150,"",\s?"","""")))"),5.0)</f>
        <v>5</v>
      </c>
      <c r="S150" s="14"/>
      <c r="T150" s="14"/>
      <c r="U150" s="14"/>
      <c r="V150" s="14"/>
      <c r="W150" s="14"/>
      <c r="X150" s="14"/>
      <c r="Y150" s="14"/>
      <c r="Z150" s="14"/>
      <c r="AA150" s="14"/>
      <c r="AB150" s="14"/>
    </row>
    <row r="151" ht="15.75" customHeight="1">
      <c r="A151" s="10" t="s">
        <v>905</v>
      </c>
      <c r="B151" s="29" t="s">
        <v>878</v>
      </c>
      <c r="C151" s="12">
        <v>1.0</v>
      </c>
      <c r="D151" s="12" t="s">
        <v>787</v>
      </c>
      <c r="E151" s="10" t="s">
        <v>906</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f>
        <v/>
      </c>
      <c r="G151" s="13" t="s">
        <v>907</v>
      </c>
      <c r="H151" s="12">
        <v>5.0</v>
      </c>
      <c r="I151" s="12" t="s">
        <v>908</v>
      </c>
      <c r="J151" s="12" t="s">
        <v>39</v>
      </c>
      <c r="L151" s="14" t="str">
        <f>IFERROR(__xludf.DUMMYFUNCTION("IF(REGEXMATCH($B151,L$1),$D151,"""")"),"Demon Dragon")</f>
        <v>Demon Dragon</v>
      </c>
      <c r="M151" s="14" t="str">
        <f>IFERROR(__xludf.DUMMYFUNCTION("IF(REGEXMATCH($B151,M$1),$D151,"""")"),"")</f>
        <v/>
      </c>
      <c r="N151" s="14" t="str">
        <f>IFERROR(__xludf.DUMMYFUNCTION("IF(REGEXMATCH($B151,N$1),$D151,"""")"),"Demon Dragon")</f>
        <v>Demon Dragon</v>
      </c>
      <c r="O151" s="14" t="str">
        <f>IFERROR(__xludf.DUMMYFUNCTION("IF(REGEXMATCH($B151,O$1),$D151,"""")"),"")</f>
        <v/>
      </c>
      <c r="P151" s="14" t="str">
        <f>IFERROR(__xludf.DUMMYFUNCTION("IF(REGEXMATCH($B151,P$1),$D151,"""")"),"")</f>
        <v/>
      </c>
      <c r="Q151" s="14">
        <f>IFERROR(__xludf.DUMMYFUNCTION("IF($A151="""","""",LEN(REGEXREPLACE($I151,"",\s?"","""")))"),4.0)</f>
        <v>4</v>
      </c>
      <c r="S151" s="14"/>
      <c r="T151" s="14"/>
      <c r="U151" s="14"/>
      <c r="V151" s="14"/>
      <c r="W151" s="14"/>
      <c r="X151" s="14"/>
      <c r="Y151" s="14"/>
      <c r="Z151" s="14"/>
      <c r="AA151" s="14"/>
      <c r="AB151" s="14"/>
    </row>
    <row r="152">
      <c r="A152" s="70" t="s">
        <v>909</v>
      </c>
      <c r="B152" s="29" t="s">
        <v>14</v>
      </c>
      <c r="C152" s="12">
        <v>1.0</v>
      </c>
      <c r="D152" s="67" t="s">
        <v>695</v>
      </c>
      <c r="E152" s="20" t="s">
        <v>910</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Crystal|.*crystal.*bury""),""Empty-Crystal"","""")&amp;IF(REGEXMATCH($E152,""Move|move""),""Move"","""")"),"Wizard ")</f>
        <v>Wizard </v>
      </c>
      <c r="G152" s="73" t="s">
        <v>911</v>
      </c>
      <c r="H152" s="19">
        <v>3.0</v>
      </c>
      <c r="I152" s="19" t="s">
        <v>912</v>
      </c>
      <c r="J152" s="12" t="s">
        <v>33</v>
      </c>
      <c r="L152" s="14" t="str">
        <f>IFERROR(__xludf.DUMMYFUNCTION("IF(REGEXMATCH($B152,L$1),$D152,"""")"),"")</f>
        <v/>
      </c>
      <c r="M152" s="14" t="str">
        <f>IFERROR(__xludf.DUMMYFUNCTION("IF(REGEXMATCH($B152,M$1),$D152,"""")"),"")</f>
        <v/>
      </c>
      <c r="N152" s="14" t="str">
        <f>IFERROR(__xludf.DUMMYFUNCTION("IF(REGEXMATCH($B152,N$1),$D152,"""")"),"")</f>
        <v/>
      </c>
      <c r="O152" s="14" t="str">
        <f>IFERROR(__xludf.DUMMYFUNCTION("IF(REGEXMATCH($B152,O$1),$D152,"""")"),"Plant Wizard")</f>
        <v>Plant Wizard</v>
      </c>
      <c r="P152" s="14" t="str">
        <f>IFERROR(__xludf.DUMMYFUNCTION("IF(REGEXMATCH($B152,P$1),$D152,"""")"),"")</f>
        <v/>
      </c>
      <c r="Q152" s="14">
        <f>IFERROR(__xludf.DUMMYFUNCTION("IF($A152="""","""",LEN(REGEXREPLACE($I152,"",\s?"","""")))"),3.0)</f>
        <v>3</v>
      </c>
      <c r="S152" s="14"/>
      <c r="T152" s="14"/>
      <c r="U152" s="14"/>
      <c r="V152" s="14"/>
      <c r="W152" s="14"/>
      <c r="X152" s="14"/>
      <c r="Y152" s="14"/>
      <c r="Z152" s="14"/>
      <c r="AA152" s="14"/>
      <c r="AB152" s="14"/>
    </row>
    <row r="153">
      <c r="A153" s="10" t="s">
        <v>913</v>
      </c>
      <c r="B153" s="29" t="s">
        <v>14</v>
      </c>
      <c r="C153" s="12">
        <v>1.0</v>
      </c>
      <c r="D153" s="12" t="s">
        <v>459</v>
      </c>
      <c r="E153" s="10" t="s">
        <v>914</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Crystal|.*crystal.*bury""),""Empty-Crystal"","""")&amp;IF(REGEXMATCH($E153,""Move|move""),""Move"","""")"),"Mortal ")</f>
        <v>Mortal </v>
      </c>
      <c r="G153" s="13" t="s">
        <v>915</v>
      </c>
      <c r="H153" s="12">
        <v>1.0</v>
      </c>
      <c r="I153" s="12" t="s">
        <v>916</v>
      </c>
      <c r="J153" s="12" t="s">
        <v>33</v>
      </c>
      <c r="L153" s="14" t="str">
        <f>IFERROR(__xludf.DUMMYFUNCTION("IF(REGEXMATCH($B153,L$1),$D153,"""")"),"")</f>
        <v/>
      </c>
      <c r="M153" s="14" t="str">
        <f>IFERROR(__xludf.DUMMYFUNCTION("IF(REGEXMATCH($B153,M$1),$D153,"""")"),"")</f>
        <v/>
      </c>
      <c r="N153" s="14" t="str">
        <f>IFERROR(__xludf.DUMMYFUNCTION("IF(REGEXMATCH($B153,N$1),$D153,"""")"),"")</f>
        <v/>
      </c>
      <c r="O153" s="14" t="str">
        <f>IFERROR(__xludf.DUMMYFUNCTION("IF(REGEXMATCH($B153,O$1),$D153,"""")"),"Insect")</f>
        <v>Insect</v>
      </c>
      <c r="P153" s="14" t="str">
        <f>IFERROR(__xludf.DUMMYFUNCTION("IF(REGEXMATCH($B153,P$1),$D153,"""")"),"")</f>
        <v/>
      </c>
      <c r="Q153" s="14">
        <f>IFERROR(__xludf.DUMMYFUNCTION("IF($A153="""","""",LEN(REGEXREPLACE($I153,"",\s?"","""")))"),2.0)</f>
        <v>2</v>
      </c>
      <c r="S153" s="14"/>
      <c r="T153" s="14"/>
      <c r="U153" s="14"/>
      <c r="V153" s="14"/>
      <c r="W153" s="14"/>
      <c r="X153" s="14"/>
      <c r="Y153" s="14"/>
      <c r="Z153" s="14"/>
      <c r="AA153" s="14"/>
      <c r="AB153" s="14"/>
    </row>
    <row r="154" hidden="1">
      <c r="A154" s="20" t="s">
        <v>917</v>
      </c>
      <c r="B154" s="74" t="s">
        <v>14</v>
      </c>
      <c r="C154" s="19">
        <v>2.0</v>
      </c>
      <c r="D154" s="19" t="s">
        <v>44</v>
      </c>
      <c r="E154" s="20" t="s">
        <v>918</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Crystal|.*crystal.*bury""),""Empty-Crystal"","""")&amp;IF(REGEXMATCH($E154,""Move|move""),""Move"","""")"),"Construct ")</f>
        <v>Construct </v>
      </c>
      <c r="G154" s="21" t="s">
        <v>919</v>
      </c>
      <c r="H154" s="19">
        <v>2.0</v>
      </c>
      <c r="I154" s="19" t="s">
        <v>912</v>
      </c>
      <c r="J154" s="19" t="s">
        <v>69</v>
      </c>
      <c r="L154" s="14" t="str">
        <f>IFERROR(__xludf.DUMMYFUNCTION("IF(REGEXMATCH($B154,L$1),$D154,"""")"),"")</f>
        <v/>
      </c>
      <c r="M154" s="14" t="str">
        <f>IFERROR(__xludf.DUMMYFUNCTION("IF(REGEXMATCH($B154,M$1),$D154,"""")"),"")</f>
        <v/>
      </c>
      <c r="N154" s="14" t="str">
        <f>IFERROR(__xludf.DUMMYFUNCTION("IF(REGEXMATCH($B154,N$1),$D154,"""")"),"")</f>
        <v/>
      </c>
      <c r="O154" s="14" t="str">
        <f>IFERROR(__xludf.DUMMYFUNCTION("IF(REGEXMATCH($B154,O$1),$D154,"""")"),"Human")</f>
        <v>Human</v>
      </c>
      <c r="P154" s="14" t="str">
        <f>IFERROR(__xludf.DUMMYFUNCTION("IF(REGEXMATCH($B154,P$1),$D154,"""")"),"")</f>
        <v/>
      </c>
      <c r="Q154" s="14">
        <f>IFERROR(__xludf.DUMMYFUNCTION("IF($A154="""","""",LEN(REGEXREPLACE($I154,"",\s?"","""")))"),3.0)</f>
        <v>3</v>
      </c>
      <c r="S154" s="14"/>
      <c r="T154" s="14"/>
      <c r="U154" s="14"/>
      <c r="V154" s="14"/>
      <c r="W154" s="14"/>
      <c r="X154" s="14"/>
      <c r="Y154" s="14"/>
      <c r="Z154" s="14"/>
      <c r="AA154" s="14"/>
      <c r="AB154" s="14"/>
    </row>
    <row r="155">
      <c r="A155" s="20" t="s">
        <v>920</v>
      </c>
      <c r="B155" s="29" t="s">
        <v>14</v>
      </c>
      <c r="C155" s="12">
        <v>1.0</v>
      </c>
      <c r="D155" s="12" t="s">
        <v>141</v>
      </c>
      <c r="E155" s="20" t="s">
        <v>921</v>
      </c>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Crystal|.*crystal.*bury""),""Empty-Crystal"","""")&amp;IF(REGEXMATCH($E155,""Move|move""),""Move"","""")"),"Control ")</f>
        <v>Control </v>
      </c>
      <c r="G155" s="21" t="s">
        <v>922</v>
      </c>
      <c r="H155" s="12">
        <v>2.0</v>
      </c>
      <c r="I155" s="12" t="s">
        <v>308</v>
      </c>
      <c r="J155" s="12" t="s">
        <v>39</v>
      </c>
      <c r="L155" s="14" t="str">
        <f>IFERROR(__xludf.DUMMYFUNCTION("IF(REGEXMATCH($B155,L$1),$D155,"""")"),"")</f>
        <v/>
      </c>
      <c r="M155" s="14" t="str">
        <f>IFERROR(__xludf.DUMMYFUNCTION("IF(REGEXMATCH($B155,M$1),$D155,"""")"),"")</f>
        <v/>
      </c>
      <c r="N155" s="14" t="str">
        <f>IFERROR(__xludf.DUMMYFUNCTION("IF(REGEXMATCH($B155,N$1),$D155,"""")"),"")</f>
        <v/>
      </c>
      <c r="O155" s="14" t="str">
        <f>IFERROR(__xludf.DUMMYFUNCTION("IF(REGEXMATCH($B155,O$1),$D155,"""")"),"Human Hunter")</f>
        <v>Human Hunter</v>
      </c>
      <c r="P155" s="14" t="str">
        <f>IFERROR(__xludf.DUMMYFUNCTION("IF(REGEXMATCH($B155,P$1),$D155,"""")"),"")</f>
        <v/>
      </c>
      <c r="Q155" s="14">
        <f>IFERROR(__xludf.DUMMYFUNCTION("IF($A155="""","""",LEN(REGEXREPLACE($I155,"",\s?"","""")))"),5.0)</f>
        <v>5</v>
      </c>
      <c r="S155" s="14"/>
      <c r="T155" s="14"/>
      <c r="U155" s="14"/>
      <c r="V155" s="14"/>
      <c r="W155" s="14"/>
      <c r="X155" s="14"/>
      <c r="Y155" s="14"/>
      <c r="Z155" s="14"/>
      <c r="AA155" s="14"/>
      <c r="AB155" s="14"/>
    </row>
    <row r="156">
      <c r="A156" s="20" t="s">
        <v>923</v>
      </c>
      <c r="B156" s="29" t="s">
        <v>14</v>
      </c>
      <c r="C156" s="12">
        <v>1.0</v>
      </c>
      <c r="D156" s="12" t="s">
        <v>141</v>
      </c>
      <c r="E156" s="10" t="s">
        <v>924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f>
        <v/>
      </c>
      <c r="G156" s="13" t="s">
        <v>925</v>
      </c>
      <c r="H156" s="12">
        <v>4.0</v>
      </c>
      <c r="I156" s="12" t="s">
        <v>926</v>
      </c>
      <c r="J156" s="12" t="s">
        <v>69</v>
      </c>
      <c r="L156" s="14" t="str">
        <f>IFERROR(__xludf.DUMMYFUNCTION("IF(REGEXMATCH($B156,L$1),$D156,"""")"),"")</f>
        <v/>
      </c>
      <c r="M156" s="14" t="str">
        <f>IFERROR(__xludf.DUMMYFUNCTION("IF(REGEXMATCH($B156,M$1),$D156,"""")"),"")</f>
        <v/>
      </c>
      <c r="N156" s="14" t="str">
        <f>IFERROR(__xludf.DUMMYFUNCTION("IF(REGEXMATCH($B156,N$1),$D156,"""")"),"")</f>
        <v/>
      </c>
      <c r="O156" s="14" t="str">
        <f>IFERROR(__xludf.DUMMYFUNCTION("IF(REGEXMATCH($B156,O$1),$D156,"""")"),"Human Hunter")</f>
        <v>Human Hunter</v>
      </c>
      <c r="P156" s="14" t="str">
        <f>IFERROR(__xludf.DUMMYFUNCTION("IF(REGEXMATCH($B156,P$1),$D156,"""")"),"")</f>
        <v/>
      </c>
      <c r="Q156" s="14">
        <f>IFERROR(__xludf.DUMMYFUNCTION("IF($A156="""","""",LEN(REGEXREPLACE($I156,"",\s?"","""")))"),4.0)</f>
        <v>4</v>
      </c>
      <c r="S156" s="14"/>
      <c r="T156" s="14"/>
      <c r="U156" s="14"/>
      <c r="V156" s="14"/>
      <c r="W156" s="14"/>
      <c r="X156" s="14"/>
      <c r="Y156" s="14"/>
      <c r="Z156" s="14"/>
      <c r="AA156" s="14"/>
      <c r="AB156" s="14"/>
    </row>
    <row r="157" hidden="1">
      <c r="A157" s="28" t="s">
        <v>927</v>
      </c>
      <c r="B157" s="74" t="s">
        <v>14</v>
      </c>
      <c r="C157" s="19">
        <v>2.0</v>
      </c>
      <c r="D157" s="19" t="s">
        <v>717</v>
      </c>
      <c r="E157" s="20" t="s">
        <v>928</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Crystal|.*crystal.*bury""),""Empty-Crystal"","""")&amp;IF(REGEXMATCH($E157,""Move|move""),""Move"","""")"),"Mortal ")</f>
        <v>Mortal </v>
      </c>
      <c r="G157" s="21" t="s">
        <v>718</v>
      </c>
      <c r="H157" s="19">
        <v>2.0</v>
      </c>
      <c r="I157" s="19" t="s">
        <v>916</v>
      </c>
      <c r="J157" s="19" t="s">
        <v>33</v>
      </c>
      <c r="L157" s="14" t="str">
        <f>IFERROR(__xludf.DUMMYFUNCTION("IF(REGEXMATCH($B157,L$1),$D157,"""")"),"")</f>
        <v/>
      </c>
      <c r="M157" s="14" t="str">
        <f>IFERROR(__xludf.DUMMYFUNCTION("IF(REGEXMATCH($B157,M$1),$D157,"""")"),"")</f>
        <v/>
      </c>
      <c r="N157" s="14" t="str">
        <f>IFERROR(__xludf.DUMMYFUNCTION("IF(REGEXMATCH($B157,N$1),$D157,"""")"),"")</f>
        <v/>
      </c>
      <c r="O157" s="14" t="str">
        <f>IFERROR(__xludf.DUMMYFUNCTION("IF(REGEXMATCH($B157,O$1),$D157,"""")"),"Warrior")</f>
        <v>Warrior</v>
      </c>
      <c r="P157" s="14" t="str">
        <f>IFERROR(__xludf.DUMMYFUNCTION("IF(REGEXMATCH($B157,P$1),$D157,"""")"),"")</f>
        <v/>
      </c>
      <c r="Q157" s="14">
        <f>IFERROR(__xludf.DUMMYFUNCTION("IF($A157="""","""",LEN(REGEXREPLACE($I157,"",\s?"","""")))"),2.0)</f>
        <v>2</v>
      </c>
      <c r="S157" s="14"/>
      <c r="T157" s="14"/>
      <c r="U157" s="14"/>
      <c r="V157" s="14"/>
      <c r="W157" s="14"/>
      <c r="X157" s="14"/>
      <c r="Y157" s="14"/>
      <c r="Z157" s="14"/>
      <c r="AA157" s="14"/>
      <c r="AB157" s="14"/>
    </row>
    <row r="158">
      <c r="A158" s="10" t="s">
        <v>929</v>
      </c>
      <c r="B158" s="29" t="s">
        <v>14</v>
      </c>
      <c r="C158" s="12">
        <v>1.0</v>
      </c>
      <c r="D158" s="12" t="s">
        <v>44</v>
      </c>
      <c r="E158" s="10" t="s">
        <v>930</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Crystal|.*crystal.*bury""),""Empty-Crystal"","""")&amp;IF(REGEXMATCH($E158,""Move|move""),""Move"","""")"),"Human Ramp ")</f>
        <v>Human Ramp </v>
      </c>
      <c r="G158" s="13" t="s">
        <v>931</v>
      </c>
      <c r="H158" s="12">
        <v>1.0</v>
      </c>
      <c r="I158" s="12" t="s">
        <v>916</v>
      </c>
      <c r="J158" s="12" t="s">
        <v>69</v>
      </c>
      <c r="L158" s="14" t="str">
        <f>IFERROR(__xludf.DUMMYFUNCTION("IF(REGEXMATCH($B158,L$1),$D158,"""")"),"")</f>
        <v/>
      </c>
      <c r="M158" s="14" t="str">
        <f>IFERROR(__xludf.DUMMYFUNCTION("IF(REGEXMATCH($B158,M$1),$D158,"""")"),"")</f>
        <v/>
      </c>
      <c r="N158" s="14" t="str">
        <f>IFERROR(__xludf.DUMMYFUNCTION("IF(REGEXMATCH($B158,N$1),$D158,"""")"),"")</f>
        <v/>
      </c>
      <c r="O158" s="14" t="str">
        <f>IFERROR(__xludf.DUMMYFUNCTION("IF(REGEXMATCH($B158,O$1),$D158,"""")"),"Human")</f>
        <v>Human</v>
      </c>
      <c r="P158" s="14" t="str">
        <f>IFERROR(__xludf.DUMMYFUNCTION("IF(REGEXMATCH($B158,P$1),$D158,"""")"),"")</f>
        <v/>
      </c>
      <c r="Q158" s="14">
        <f>IFERROR(__xludf.DUMMYFUNCTION("IF($A158="""","""",LEN(REGEXREPLACE($I158,"",\s?"","""")))"),2.0)</f>
        <v>2</v>
      </c>
      <c r="S158" s="14"/>
      <c r="T158" s="14"/>
      <c r="U158" s="14"/>
      <c r="V158" s="14"/>
      <c r="W158" s="14"/>
      <c r="X158" s="14"/>
      <c r="Y158" s="14"/>
      <c r="Z158" s="14"/>
      <c r="AA158" s="14"/>
      <c r="AB158" s="14"/>
    </row>
    <row r="159">
      <c r="A159" s="10" t="s">
        <v>932</v>
      </c>
      <c r="B159" s="29" t="s">
        <v>14</v>
      </c>
      <c r="C159" s="12">
        <v>1.0</v>
      </c>
      <c r="D159" s="12" t="s">
        <v>141</v>
      </c>
      <c r="E159" s="10"/>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f>
        <v/>
      </c>
      <c r="G159" s="13" t="s">
        <v>933</v>
      </c>
      <c r="H159" s="12">
        <v>4.0</v>
      </c>
      <c r="I159" s="12" t="s">
        <v>912</v>
      </c>
      <c r="J159" s="12" t="s">
        <v>33</v>
      </c>
      <c r="L159" s="14" t="str">
        <f>IFERROR(__xludf.DUMMYFUNCTION("IF(REGEXMATCH($B159,L$1),$D159,"""")"),"")</f>
        <v/>
      </c>
      <c r="M159" s="14" t="str">
        <f>IFERROR(__xludf.DUMMYFUNCTION("IF(REGEXMATCH($B159,M$1),$D159,"""")"),"")</f>
        <v/>
      </c>
      <c r="N159" s="14" t="str">
        <f>IFERROR(__xludf.DUMMYFUNCTION("IF(REGEXMATCH($B159,N$1),$D159,"""")"),"")</f>
        <v/>
      </c>
      <c r="O159" s="14" t="str">
        <f>IFERROR(__xludf.DUMMYFUNCTION("IF(REGEXMATCH($B159,O$1),$D159,"""")"),"Human Hunter")</f>
        <v>Human Hunter</v>
      </c>
      <c r="P159" s="14" t="str">
        <f>IFERROR(__xludf.DUMMYFUNCTION("IF(REGEXMATCH($B159,P$1),$D159,"""")"),"")</f>
        <v/>
      </c>
      <c r="Q159" s="14">
        <f>IFERROR(__xludf.DUMMYFUNCTION("IF($A159="""","""",LEN(REGEXREPLACE($I159,"",\s?"","""")))"),3.0)</f>
        <v>3</v>
      </c>
      <c r="S159" s="14"/>
      <c r="T159" s="14"/>
      <c r="U159" s="14"/>
      <c r="V159" s="14"/>
      <c r="W159" s="14"/>
      <c r="X159" s="14"/>
      <c r="Y159" s="14"/>
      <c r="Z159" s="14"/>
      <c r="AA159" s="14"/>
      <c r="AB159" s="14"/>
    </row>
    <row r="160">
      <c r="A160" s="25" t="s">
        <v>934</v>
      </c>
      <c r="B160" s="29" t="s">
        <v>14</v>
      </c>
      <c r="C160" s="12">
        <v>1.0</v>
      </c>
      <c r="D160" s="12" t="s">
        <v>240</v>
      </c>
      <c r="E160" s="10" t="s">
        <v>935</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Crystal|.*crystal.*bury""),""Empty-Crystal"","""")&amp;IF(REGEXMATCH($E160,""Move|move""),""Move"","""")"),"Warrior ")</f>
        <v>Warrior </v>
      </c>
      <c r="G160" s="13" t="s">
        <v>936</v>
      </c>
      <c r="H160" s="12">
        <v>2.0</v>
      </c>
      <c r="I160" s="12" t="s">
        <v>912</v>
      </c>
      <c r="J160" s="12" t="s">
        <v>69</v>
      </c>
      <c r="L160" s="14" t="str">
        <f>IFERROR(__xludf.DUMMYFUNCTION("IF(REGEXMATCH($B160,L$1),$D160,"""")"),"")</f>
        <v/>
      </c>
      <c r="M160" s="14" t="str">
        <f>IFERROR(__xludf.DUMMYFUNCTION("IF(REGEXMATCH($B160,M$1),$D160,"""")"),"")</f>
        <v/>
      </c>
      <c r="N160" s="14" t="str">
        <f>IFERROR(__xludf.DUMMYFUNCTION("IF(REGEXMATCH($B160,N$1),$D160,"""")"),"")</f>
        <v/>
      </c>
      <c r="O160" s="14" t="str">
        <f>IFERROR(__xludf.DUMMYFUNCTION("IF(REGEXMATCH($B160,O$1),$D160,"""")"),"Construct Warrior")</f>
        <v>Construct Warrior</v>
      </c>
      <c r="P160" s="14" t="str">
        <f>IFERROR(__xludf.DUMMYFUNCTION("IF(REGEXMATCH($B160,P$1),$D160,"""")"),"")</f>
        <v/>
      </c>
      <c r="Q160" s="14">
        <f>IFERROR(__xludf.DUMMYFUNCTION("IF($A160="""","""",LEN(REGEXREPLACE($I160,"",\s?"","""")))"),3.0)</f>
        <v>3</v>
      </c>
      <c r="S160" s="14"/>
      <c r="T160" s="14"/>
      <c r="U160" s="14"/>
      <c r="V160" s="14"/>
      <c r="W160" s="14"/>
      <c r="X160" s="14"/>
      <c r="Y160" s="14"/>
      <c r="Z160" s="14"/>
      <c r="AA160" s="14"/>
      <c r="AB160" s="14"/>
    </row>
    <row r="161" hidden="1">
      <c r="A161" s="20" t="s">
        <v>937</v>
      </c>
      <c r="B161" s="39" t="s">
        <v>14</v>
      </c>
      <c r="C161" s="19">
        <v>2.0</v>
      </c>
      <c r="D161" s="19" t="s">
        <v>938</v>
      </c>
      <c r="E161" s="20" t="s">
        <v>939</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Crystal|.*crystal.*bury""),""Empty-Crystal"","""")&amp;IF(REGEXMATCH($E161,""Move|move""),""Move"","""")"),"Human ")</f>
        <v>Human </v>
      </c>
      <c r="G161" s="21" t="s">
        <v>940</v>
      </c>
      <c r="H161" s="19">
        <v>4.0</v>
      </c>
      <c r="I161" s="19" t="s">
        <v>308</v>
      </c>
      <c r="J161" s="19" t="s">
        <v>39</v>
      </c>
      <c r="L161" s="14" t="str">
        <f>IFERROR(__xludf.DUMMYFUNCTION("IF(REGEXMATCH($B161,L$1),$D161,"""")"),"")</f>
        <v/>
      </c>
      <c r="M161" s="14" t="str">
        <f>IFERROR(__xludf.DUMMYFUNCTION("IF(REGEXMATCH($B161,M$1),$D161,"""")"),"")</f>
        <v/>
      </c>
      <c r="N161" s="14" t="str">
        <f>IFERROR(__xludf.DUMMYFUNCTION("IF(REGEXMATCH($B161,N$1),$D161,"""")"),"")</f>
        <v/>
      </c>
      <c r="O161" s="14" t="str">
        <f>IFERROR(__xludf.DUMMYFUNCTION("IF(REGEXMATCH($B161,O$1),$D161,"""")"),"Animal Human")</f>
        <v>Animal Human</v>
      </c>
      <c r="P161" s="14" t="str">
        <f>IFERROR(__xludf.DUMMYFUNCTION("IF(REGEXMATCH($B161,P$1),$D161,"""")"),"")</f>
        <v/>
      </c>
      <c r="Q161" s="14">
        <f>IFERROR(__xludf.DUMMYFUNCTION("IF($A161="""","""",LEN(REGEXREPLACE($I161,"",\s?"","""")))"),5.0)</f>
        <v>5</v>
      </c>
      <c r="S161" s="14"/>
      <c r="T161" s="14"/>
      <c r="U161" s="14"/>
      <c r="V161" s="14"/>
      <c r="W161" s="14"/>
      <c r="X161" s="14"/>
      <c r="Y161" s="14"/>
      <c r="Z161" s="14"/>
      <c r="AA161" s="14"/>
      <c r="AB161" s="14"/>
    </row>
    <row r="162">
      <c r="A162" s="20" t="s">
        <v>941</v>
      </c>
      <c r="B162" s="10" t="s">
        <v>14</v>
      </c>
      <c r="C162" s="12">
        <v>1.0</v>
      </c>
      <c r="D162" s="12" t="s">
        <v>44</v>
      </c>
      <c r="E162" s="10" t="s">
        <v>61</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13" t="s">
        <v>942</v>
      </c>
      <c r="H162" s="12">
        <v>1.0</v>
      </c>
      <c r="I162" s="12" t="s">
        <v>943</v>
      </c>
      <c r="J162" s="12" t="s">
        <v>33</v>
      </c>
      <c r="L162" s="14" t="str">
        <f>IFERROR(__xludf.DUMMYFUNCTION("IF(REGEXMATCH($B162,L$1),$D162,"""")"),"")</f>
        <v/>
      </c>
      <c r="M162" s="14" t="str">
        <f>IFERROR(__xludf.DUMMYFUNCTION("IF(REGEXMATCH($B162,M$1),$D162,"""")"),"")</f>
        <v/>
      </c>
      <c r="N162" s="14" t="str">
        <f>IFERROR(__xludf.DUMMYFUNCTION("IF(REGEXMATCH($B162,N$1),$D162,"""")"),"")</f>
        <v/>
      </c>
      <c r="O162" s="14" t="str">
        <f>IFERROR(__xludf.DUMMYFUNCTION("IF(REGEXMATCH($B162,O$1),$D162,"""")"),"Human")</f>
        <v>Human</v>
      </c>
      <c r="P162" s="14" t="str">
        <f>IFERROR(__xludf.DUMMYFUNCTION("IF(REGEXMATCH($B162,P$1),$D162,"""")"),"")</f>
        <v/>
      </c>
      <c r="Q162" s="14">
        <f>IFERROR(__xludf.DUMMYFUNCTION("IF($A162="""","""",LEN(REGEXREPLACE($I162,"",\s?"","""")))"),1.0)</f>
        <v>1</v>
      </c>
      <c r="S162" s="14"/>
      <c r="T162" s="14"/>
      <c r="U162" s="14"/>
      <c r="V162" s="14"/>
      <c r="W162" s="14"/>
      <c r="X162" s="14"/>
      <c r="Y162" s="14"/>
      <c r="Z162" s="14"/>
      <c r="AA162" s="14"/>
      <c r="AB162" s="14"/>
    </row>
    <row r="163">
      <c r="A163" s="20" t="s">
        <v>944</v>
      </c>
      <c r="B163" s="10" t="s">
        <v>14</v>
      </c>
      <c r="C163" s="12">
        <v>1.0</v>
      </c>
      <c r="D163" s="12" t="s">
        <v>474</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f>
        <v/>
      </c>
      <c r="G163" s="75" t="s">
        <v>945</v>
      </c>
      <c r="H163" s="12">
        <v>5.0</v>
      </c>
      <c r="I163" s="19" t="s">
        <v>946</v>
      </c>
      <c r="J163" s="12" t="s">
        <v>33</v>
      </c>
      <c r="L163" s="14" t="str">
        <f>IFERROR(__xludf.DUMMYFUNCTION("IF(REGEXMATCH($B163,L$1),$D163,"""")"),"")</f>
        <v/>
      </c>
      <c r="M163" s="14" t="str">
        <f>IFERROR(__xludf.DUMMYFUNCTION("IF(REGEXMATCH($B163,M$1),$D163,"""")"),"")</f>
        <v/>
      </c>
      <c r="N163" s="14" t="str">
        <f>IFERROR(__xludf.DUMMYFUNCTION("IF(REGEXMATCH($B163,N$1),$D163,"""")"),"")</f>
        <v/>
      </c>
      <c r="O163" s="14" t="str">
        <f>IFERROR(__xludf.DUMMYFUNCTION("IF(REGEXMATCH($B163,O$1),$D163,"""")"),"Human Warrior")</f>
        <v>Human Warrior</v>
      </c>
      <c r="P163" s="14" t="str">
        <f>IFERROR(__xludf.DUMMYFUNCTION("IF(REGEXMATCH($B163,P$1),$D163,"""")"),"")</f>
        <v/>
      </c>
      <c r="Q163" s="14">
        <f>IFERROR(__xludf.DUMMYFUNCTION("IF($A163="""","""",LEN(REGEXREPLACE($I163,"",\s?"","""")))"),5.0)</f>
        <v>5</v>
      </c>
      <c r="S163" s="14"/>
      <c r="T163" s="14"/>
      <c r="U163" s="14"/>
      <c r="V163" s="14"/>
      <c r="W163" s="14"/>
      <c r="X163" s="14"/>
      <c r="Y163" s="14"/>
      <c r="Z163" s="14"/>
      <c r="AA163" s="14"/>
      <c r="AB163" s="14"/>
    </row>
    <row r="164" hidden="1">
      <c r="A164" s="20" t="s">
        <v>947</v>
      </c>
      <c r="B164" s="76" t="s">
        <v>14</v>
      </c>
      <c r="C164" s="19">
        <v>2.0</v>
      </c>
      <c r="D164" s="19" t="s">
        <v>44</v>
      </c>
      <c r="E164" s="20" t="s">
        <v>948</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Crystal|.*crystal.*bury""),""Empty-Crystal"","""")&amp;IF(REGEXMATCH($E164,""Move|move""),""Move"","""")"),"Unearth ")</f>
        <v>Unearth </v>
      </c>
      <c r="G164" s="21" t="s">
        <v>200</v>
      </c>
      <c r="H164" s="19">
        <v>2.0</v>
      </c>
      <c r="I164" s="19" t="s">
        <v>926</v>
      </c>
      <c r="J164" s="12" t="s">
        <v>69</v>
      </c>
      <c r="L164" s="14" t="str">
        <f>IFERROR(__xludf.DUMMYFUNCTION("IF(REGEXMATCH($B164,L$1),$D164,"""")"),"")</f>
        <v/>
      </c>
      <c r="M164" s="14" t="str">
        <f>IFERROR(__xludf.DUMMYFUNCTION("IF(REGEXMATCH($B164,M$1),$D164,"""")"),"")</f>
        <v/>
      </c>
      <c r="N164" s="14" t="str">
        <f>IFERROR(__xludf.DUMMYFUNCTION("IF(REGEXMATCH($B164,N$1),$D164,"""")"),"")</f>
        <v/>
      </c>
      <c r="O164" s="14" t="str">
        <f>IFERROR(__xludf.DUMMYFUNCTION("IF(REGEXMATCH($B164,O$1),$D164,"""")"),"Human")</f>
        <v>Human</v>
      </c>
      <c r="P164" s="14" t="str">
        <f>IFERROR(__xludf.DUMMYFUNCTION("IF(REGEXMATCH($B164,P$1),$D164,"""")"),"")</f>
        <v/>
      </c>
      <c r="Q164" s="14">
        <f>IFERROR(__xludf.DUMMYFUNCTION("IF($A164="""","""",LEN(REGEXREPLACE($I164,"",\s?"","""")))"),4.0)</f>
        <v>4</v>
      </c>
      <c r="S164" s="14"/>
      <c r="T164" s="14"/>
      <c r="U164" s="14"/>
      <c r="V164" s="14"/>
      <c r="W164" s="14"/>
      <c r="X164" s="14"/>
      <c r="Y164" s="14"/>
      <c r="Z164" s="14"/>
      <c r="AA164" s="14"/>
      <c r="AB164" s="14"/>
    </row>
    <row r="165" hidden="1">
      <c r="A165" s="20" t="s">
        <v>949</v>
      </c>
      <c r="B165" s="76" t="s">
        <v>14</v>
      </c>
      <c r="C165" s="19">
        <v>2.0</v>
      </c>
      <c r="D165" s="19" t="s">
        <v>141</v>
      </c>
      <c r="E165" s="20" t="s">
        <v>950</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Crystal|.*crystal.*bury""),""Empty-Crystal"","""")&amp;IF(REGEXMATCH($E165,""Move|move""),""Move"","""")"),"Hunter Ramp Control ")</f>
        <v>Hunter Ramp Control </v>
      </c>
      <c r="G165" s="21" t="s">
        <v>951</v>
      </c>
      <c r="H165" s="19">
        <v>4.0</v>
      </c>
      <c r="I165" s="19" t="s">
        <v>926</v>
      </c>
      <c r="J165" s="19" t="s">
        <v>69</v>
      </c>
      <c r="L165" s="14" t="str">
        <f>IFERROR(__xludf.DUMMYFUNCTION("IF(REGEXMATCH($B165,L$1),$D165,"""")"),"")</f>
        <v/>
      </c>
      <c r="M165" s="14" t="str">
        <f>IFERROR(__xludf.DUMMYFUNCTION("IF(REGEXMATCH($B165,M$1),$D165,"""")"),"")</f>
        <v/>
      </c>
      <c r="N165" s="14" t="str">
        <f>IFERROR(__xludf.DUMMYFUNCTION("IF(REGEXMATCH($B165,N$1),$D165,"""")"),"")</f>
        <v/>
      </c>
      <c r="O165" s="14" t="str">
        <f>IFERROR(__xludf.DUMMYFUNCTION("IF(REGEXMATCH($B165,O$1),$D165,"""")"),"Human Hunter")</f>
        <v>Human Hunter</v>
      </c>
      <c r="P165" s="14" t="str">
        <f>IFERROR(__xludf.DUMMYFUNCTION("IF(REGEXMATCH($B165,P$1),$D165,"""")"),"")</f>
        <v/>
      </c>
      <c r="Q165" s="14">
        <f>IFERROR(__xludf.DUMMYFUNCTION("IF($A165="""","""",LEN(REGEXREPLACE($I165,"",\s?"","""")))"),4.0)</f>
        <v>4</v>
      </c>
      <c r="S165" s="14"/>
      <c r="T165" s="14"/>
      <c r="U165" s="14"/>
      <c r="V165" s="14"/>
      <c r="W165" s="14"/>
      <c r="X165" s="14"/>
      <c r="Y165" s="14"/>
      <c r="Z165" s="14"/>
      <c r="AA165" s="14"/>
      <c r="AB165" s="14"/>
    </row>
    <row r="166">
      <c r="A166" s="20" t="s">
        <v>952</v>
      </c>
      <c r="B166" s="20" t="s">
        <v>14</v>
      </c>
      <c r="C166" s="19">
        <v>1.0</v>
      </c>
      <c r="D166" s="19" t="s">
        <v>127</v>
      </c>
      <c r="E166" s="20" t="s">
        <v>953</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21" t="s">
        <v>954</v>
      </c>
      <c r="H166" s="19">
        <v>3.0</v>
      </c>
      <c r="I166" s="19" t="s">
        <v>912</v>
      </c>
      <c r="J166" s="12" t="s">
        <v>39</v>
      </c>
      <c r="L166" s="14" t="str">
        <f>IFERROR(__xludf.DUMMYFUNCTION("IF(REGEXMATCH($B166,L$1),$D166,"""")"),"")</f>
        <v/>
      </c>
      <c r="M166" s="14" t="str">
        <f>IFERROR(__xludf.DUMMYFUNCTION("IF(REGEXMATCH($B166,M$1),$D166,"""")"),"")</f>
        <v/>
      </c>
      <c r="N166" s="14" t="str">
        <f>IFERROR(__xludf.DUMMYFUNCTION("IF(REGEXMATCH($B166,N$1),$D166,"""")"),"")</f>
        <v/>
      </c>
      <c r="O166" s="14" t="str">
        <f>IFERROR(__xludf.DUMMYFUNCTION("IF(REGEXMATCH($B166,O$1),$D166,"""")"),"Animal Construct")</f>
        <v>Animal Construct</v>
      </c>
      <c r="P166" s="14" t="str">
        <f>IFERROR(__xludf.DUMMYFUNCTION("IF(REGEXMATCH($B166,P$1),$D166,"""")"),"")</f>
        <v/>
      </c>
      <c r="Q166" s="14">
        <f>IFERROR(__xludf.DUMMYFUNCTION("IF($A166="""","""",LEN(REGEXREPLACE($I166,"",\s?"","""")))"),3.0)</f>
        <v>3</v>
      </c>
      <c r="S166" s="14"/>
      <c r="T166" s="14"/>
      <c r="U166" s="14"/>
      <c r="V166" s="14"/>
      <c r="W166" s="14"/>
      <c r="X166" s="14"/>
      <c r="Y166" s="14"/>
      <c r="Z166" s="14"/>
      <c r="AA166" s="14"/>
      <c r="AB166" s="14"/>
    </row>
    <row r="167">
      <c r="A167" s="27" t="s">
        <v>955</v>
      </c>
      <c r="B167" s="10" t="s">
        <v>14</v>
      </c>
      <c r="C167" s="12">
        <v>1.0</v>
      </c>
      <c r="D167" s="12" t="s">
        <v>44</v>
      </c>
      <c r="E167" s="10" t="s">
        <v>956</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Crystal|.*crystal.*bury""),""Empty-Crystal"","""")&amp;IF(REGEXMATCH($E167,""Move|move""),""Move"","""")"),"Control ")</f>
        <v>Control </v>
      </c>
      <c r="G167" s="13" t="s">
        <v>957</v>
      </c>
      <c r="H167" s="12">
        <v>4.0</v>
      </c>
      <c r="I167" s="12" t="s">
        <v>926</v>
      </c>
      <c r="J167" s="24" t="s">
        <v>39</v>
      </c>
      <c r="L167" s="14" t="str">
        <f>IFERROR(__xludf.DUMMYFUNCTION("IF(REGEXMATCH($B167,L$1),$D167,"""")"),"")</f>
        <v/>
      </c>
      <c r="M167" s="14" t="str">
        <f>IFERROR(__xludf.DUMMYFUNCTION("IF(REGEXMATCH($B167,M$1),$D167,"""")"),"")</f>
        <v/>
      </c>
      <c r="N167" s="14" t="str">
        <f>IFERROR(__xludf.DUMMYFUNCTION("IF(REGEXMATCH($B167,N$1),$D167,"""")"),"")</f>
        <v/>
      </c>
      <c r="O167" s="14" t="str">
        <f>IFERROR(__xludf.DUMMYFUNCTION("IF(REGEXMATCH($B167,O$1),$D167,"""")"),"Human")</f>
        <v>Human</v>
      </c>
      <c r="P167" s="14" t="str">
        <f>IFERROR(__xludf.DUMMYFUNCTION("IF(REGEXMATCH($B167,P$1),$D167,"""")"),"")</f>
        <v/>
      </c>
      <c r="Q167" s="14">
        <f>IFERROR(__xludf.DUMMYFUNCTION("IF($A167="""","""",LEN(REGEXREPLACE($I167,"",\s?"","""")))"),4.0)</f>
        <v>4</v>
      </c>
      <c r="S167" s="14"/>
      <c r="T167" s="14"/>
      <c r="U167" s="14"/>
      <c r="V167" s="14"/>
      <c r="W167" s="14"/>
      <c r="X167" s="14"/>
      <c r="Y167" s="14"/>
      <c r="Z167" s="14"/>
      <c r="AA167" s="14"/>
      <c r="AB167" s="14"/>
    </row>
    <row r="168" hidden="1">
      <c r="A168" s="10" t="s">
        <v>958</v>
      </c>
      <c r="B168" s="77" t="s">
        <v>14</v>
      </c>
      <c r="C168" s="12">
        <v>2.0</v>
      </c>
      <c r="D168" s="12" t="s">
        <v>44</v>
      </c>
      <c r="E168" s="78" t="s">
        <v>959</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Crystal|.*crystal.*bury""),""Empty-Crystal"","""")&amp;IF(REGEXMATCH($E168,""Move|move""),""Move"","""")"),"Ramp Aggro ")</f>
        <v>Ramp Aggro </v>
      </c>
      <c r="G168" s="13" t="s">
        <v>700</v>
      </c>
      <c r="H168" s="12">
        <v>3.0</v>
      </c>
      <c r="I168" s="12" t="s">
        <v>916</v>
      </c>
      <c r="J168" s="12" t="s">
        <v>39</v>
      </c>
      <c r="L168" s="14" t="str">
        <f>IFERROR(__xludf.DUMMYFUNCTION("IF(REGEXMATCH($B168,L$1),$D168,"""")"),"")</f>
        <v/>
      </c>
      <c r="M168" s="14" t="str">
        <f>IFERROR(__xludf.DUMMYFUNCTION("IF(REGEXMATCH($B168,M$1),$D168,"""")"),"")</f>
        <v/>
      </c>
      <c r="N168" s="14" t="str">
        <f>IFERROR(__xludf.DUMMYFUNCTION("IF(REGEXMATCH($B168,N$1),$D168,"""")"),"")</f>
        <v/>
      </c>
      <c r="O168" s="14" t="str">
        <f>IFERROR(__xludf.DUMMYFUNCTION("IF(REGEXMATCH($B168,O$1),$D168,"""")"),"Human")</f>
        <v>Human</v>
      </c>
      <c r="P168" s="14" t="str">
        <f>IFERROR(__xludf.DUMMYFUNCTION("IF(REGEXMATCH($B168,P$1),$D168,"""")"),"")</f>
        <v/>
      </c>
      <c r="Q168" s="14">
        <f>IFERROR(__xludf.DUMMYFUNCTION("IF($A168="""","""",LEN(REGEXREPLACE($I168,"",\s?"","""")))"),2.0)</f>
        <v>2</v>
      </c>
      <c r="S168" s="14"/>
      <c r="T168" s="14"/>
      <c r="U168" s="14"/>
      <c r="V168" s="14"/>
      <c r="W168" s="14"/>
      <c r="X168" s="14"/>
      <c r="Y168" s="14"/>
      <c r="Z168" s="14"/>
      <c r="AA168" s="14"/>
      <c r="AB168" s="14"/>
    </row>
    <row r="169">
      <c r="A169" s="10" t="s">
        <v>960</v>
      </c>
      <c r="B169" s="10" t="s">
        <v>14</v>
      </c>
      <c r="C169" s="12">
        <v>1.0</v>
      </c>
      <c r="D169" s="12" t="s">
        <v>77</v>
      </c>
      <c r="E169" s="10" t="s">
        <v>961</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Crystal|.*crystal.*bury""),""Empty-Crystal"","""")&amp;IF(REGEXMATCH($E169,""Move|move""),""Move"","""")"),"Control Aggro ")</f>
        <v>Control Aggro </v>
      </c>
      <c r="G169" s="13" t="s">
        <v>962</v>
      </c>
      <c r="H169" s="12">
        <v>2.0</v>
      </c>
      <c r="I169" s="12" t="s">
        <v>926</v>
      </c>
      <c r="J169" s="12" t="s">
        <v>69</v>
      </c>
      <c r="L169" s="14" t="str">
        <f>IFERROR(__xludf.DUMMYFUNCTION("IF(REGEXMATCH($B169,L$1),$D169,"""")"),"")</f>
        <v/>
      </c>
      <c r="M169" s="14" t="str">
        <f>IFERROR(__xludf.DUMMYFUNCTION("IF(REGEXMATCH($B169,M$1),$D169,"""")"),"")</f>
        <v/>
      </c>
      <c r="N169" s="14" t="str">
        <f>IFERROR(__xludf.DUMMYFUNCTION("IF(REGEXMATCH($B169,N$1),$D169,"""")"),"")</f>
        <v/>
      </c>
      <c r="O169" s="14" t="str">
        <f>IFERROR(__xludf.DUMMYFUNCTION("IF(REGEXMATCH($B169,O$1),$D169,"""")"),"Construct")</f>
        <v>Construct</v>
      </c>
      <c r="P169" s="14" t="str">
        <f>IFERROR(__xludf.DUMMYFUNCTION("IF(REGEXMATCH($B169,P$1),$D169,"""")"),"")</f>
        <v/>
      </c>
      <c r="Q169" s="14">
        <f>IFERROR(__xludf.DUMMYFUNCTION("IF($A169="""","""",LEN(REGEXREPLACE($I169,"",\s?"","""")))"),4.0)</f>
        <v>4</v>
      </c>
      <c r="S169" s="14"/>
      <c r="T169" s="14"/>
      <c r="U169" s="14"/>
      <c r="V169" s="14"/>
      <c r="W169" s="14"/>
      <c r="X169" s="14"/>
      <c r="Y169" s="14"/>
      <c r="Z169" s="14"/>
      <c r="AA169" s="14"/>
      <c r="AB169" s="14"/>
    </row>
    <row r="170">
      <c r="A170" s="25" t="s">
        <v>963</v>
      </c>
      <c r="B170" s="10" t="s">
        <v>14</v>
      </c>
      <c r="C170" s="12">
        <v>1.0</v>
      </c>
      <c r="D170" s="12" t="s">
        <v>127</v>
      </c>
      <c r="E170" s="10" t="s">
        <v>964</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f>
        <v/>
      </c>
      <c r="G170" s="13" t="s">
        <v>965</v>
      </c>
      <c r="H170" s="12">
        <v>3.0</v>
      </c>
      <c r="I170" s="12" t="s">
        <v>966</v>
      </c>
      <c r="J170" s="12" t="s">
        <v>33</v>
      </c>
      <c r="L170" s="14" t="str">
        <f>IFERROR(__xludf.DUMMYFUNCTION("IF(REGEXMATCH($B170,L$1),$D170,"""")"),"")</f>
        <v/>
      </c>
      <c r="M170" s="14" t="str">
        <f>IFERROR(__xludf.DUMMYFUNCTION("IF(REGEXMATCH($B170,M$1),$D170,"""")"),"")</f>
        <v/>
      </c>
      <c r="N170" s="14" t="str">
        <f>IFERROR(__xludf.DUMMYFUNCTION("IF(REGEXMATCH($B170,N$1),$D170,"""")"),"")</f>
        <v/>
      </c>
      <c r="O170" s="14" t="str">
        <f>IFERROR(__xludf.DUMMYFUNCTION("IF(REGEXMATCH($B170,O$1),$D170,"""")"),"Animal Construct")</f>
        <v>Animal Construct</v>
      </c>
      <c r="P170" s="14" t="str">
        <f>IFERROR(__xludf.DUMMYFUNCTION("IF(REGEXMATCH($B170,P$1),$D170,"""")"),"")</f>
        <v/>
      </c>
      <c r="Q170" s="14">
        <f>IFERROR(__xludf.DUMMYFUNCTION("IF($A170="""","""",LEN(REGEXREPLACE($I170,"",\s?"","""")))"),6.0)</f>
        <v>6</v>
      </c>
      <c r="S170" s="14"/>
      <c r="T170" s="14"/>
      <c r="U170" s="14"/>
      <c r="V170" s="14"/>
      <c r="W170" s="14"/>
      <c r="X170" s="14"/>
      <c r="Y170" s="14"/>
      <c r="Z170" s="14"/>
      <c r="AA170" s="14"/>
      <c r="AB170" s="14"/>
    </row>
    <row r="171" hidden="1">
      <c r="A171" s="25" t="s">
        <v>967</v>
      </c>
      <c r="B171" s="77" t="s">
        <v>14</v>
      </c>
      <c r="C171" s="12">
        <v>2.0</v>
      </c>
      <c r="D171" s="12" t="s">
        <v>301</v>
      </c>
      <c r="E171" s="10" t="s">
        <v>968</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Crystal|.*crystal.*bury""),""Empty-Crystal"","""")&amp;IF(REGEXMATCH($E171,""Move|move""),""Move"","""")"),"Warrior ")</f>
        <v>Warrior </v>
      </c>
      <c r="G171" s="13" t="s">
        <v>969</v>
      </c>
      <c r="H171" s="12">
        <v>3.0</v>
      </c>
      <c r="I171" s="12" t="s">
        <v>912</v>
      </c>
      <c r="J171" s="12" t="s">
        <v>69</v>
      </c>
      <c r="L171" s="14" t="str">
        <f>IFERROR(__xludf.DUMMYFUNCTION("IF(REGEXMATCH($B171,L$1),$D171,"""")"),"")</f>
        <v/>
      </c>
      <c r="M171" s="14" t="str">
        <f>IFERROR(__xludf.DUMMYFUNCTION("IF(REGEXMATCH($B171,M$1),$D171,"""")"),"")</f>
        <v/>
      </c>
      <c r="N171" s="14" t="str">
        <f>IFERROR(__xludf.DUMMYFUNCTION("IF(REGEXMATCH($B171,N$1),$D171,"""")"),"")</f>
        <v/>
      </c>
      <c r="O171" s="14" t="str">
        <f>IFERROR(__xludf.DUMMYFUNCTION("IF(REGEXMATCH($B171,O$1),$D171,"""")"),"Spirit Warrior")</f>
        <v>Spirit Warrior</v>
      </c>
      <c r="P171" s="14" t="str">
        <f>IFERROR(__xludf.DUMMYFUNCTION("IF(REGEXMATCH($B171,P$1),$D171,"""")"),"")</f>
        <v/>
      </c>
      <c r="Q171" s="14">
        <f>IFERROR(__xludf.DUMMYFUNCTION("IF($A171="""","""",LEN(REGEXREPLACE($I171,"",\s?"","""")))"),3.0)</f>
        <v>3</v>
      </c>
      <c r="S171" s="14"/>
      <c r="T171" s="14"/>
      <c r="U171" s="14"/>
      <c r="V171" s="14"/>
      <c r="W171" s="14"/>
      <c r="X171" s="14"/>
      <c r="Y171" s="14"/>
      <c r="Z171" s="14"/>
      <c r="AA171" s="14"/>
      <c r="AB171" s="14"/>
    </row>
    <row r="172" hidden="1">
      <c r="A172" s="25" t="s">
        <v>970</v>
      </c>
      <c r="B172" s="77" t="s">
        <v>14</v>
      </c>
      <c r="C172" s="12">
        <v>2.0</v>
      </c>
      <c r="D172" s="12" t="s">
        <v>474</v>
      </c>
      <c r="E172" s="10" t="s">
        <v>971</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f>
        <v/>
      </c>
      <c r="G172" s="13" t="s">
        <v>972</v>
      </c>
      <c r="H172" s="12">
        <v>2.0</v>
      </c>
      <c r="I172" s="12" t="s">
        <v>943</v>
      </c>
      <c r="J172" s="12" t="s">
        <v>33</v>
      </c>
      <c r="L172" s="14" t="str">
        <f>IFERROR(__xludf.DUMMYFUNCTION("IF(REGEXMATCH($B172,L$1),$D172,"""")"),"")</f>
        <v/>
      </c>
      <c r="M172" s="14" t="str">
        <f>IFERROR(__xludf.DUMMYFUNCTION("IF(REGEXMATCH($B172,M$1),$D172,"""")"),"")</f>
        <v/>
      </c>
      <c r="N172" s="14" t="str">
        <f>IFERROR(__xludf.DUMMYFUNCTION("IF(REGEXMATCH($B172,N$1),$D172,"""")"),"")</f>
        <v/>
      </c>
      <c r="O172" s="14" t="str">
        <f>IFERROR(__xludf.DUMMYFUNCTION("IF(REGEXMATCH($B172,O$1),$D172,"""")"),"Human Warrior")</f>
        <v>Human Warrior</v>
      </c>
      <c r="P172" s="14" t="str">
        <f>IFERROR(__xludf.DUMMYFUNCTION("IF(REGEXMATCH($B172,P$1),$D172,"""")"),"")</f>
        <v/>
      </c>
      <c r="Q172" s="14">
        <f>IFERROR(__xludf.DUMMYFUNCTION("IF($A172="""","""",LEN(REGEXREPLACE($I172,"",\s?"","""")))"),1.0)</f>
        <v>1</v>
      </c>
      <c r="S172" s="14"/>
      <c r="T172" s="14"/>
      <c r="U172" s="14"/>
      <c r="V172" s="14"/>
      <c r="W172" s="14"/>
      <c r="X172" s="14"/>
      <c r="Y172" s="14"/>
      <c r="Z172" s="14"/>
      <c r="AA172" s="14"/>
      <c r="AB172" s="14"/>
    </row>
    <row r="173" hidden="1">
      <c r="A173" s="20" t="s">
        <v>973</v>
      </c>
      <c r="B173" s="76" t="s">
        <v>14</v>
      </c>
      <c r="C173" s="19">
        <v>2.0</v>
      </c>
      <c r="D173" s="19" t="s">
        <v>141</v>
      </c>
      <c r="E173" s="20" t="s">
        <v>974</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Crystal|.*crystal.*bury""),""Empty-Crystal"","""")&amp;IF(REGEXMATCH($E173,""Move|move""),""Move"","""")"),"Aggro ")</f>
        <v>Aggro </v>
      </c>
      <c r="G173" s="21" t="s">
        <v>703</v>
      </c>
      <c r="H173" s="19">
        <v>4.0</v>
      </c>
      <c r="I173" s="19" t="s">
        <v>946</v>
      </c>
      <c r="J173" s="19" t="s">
        <v>69</v>
      </c>
      <c r="L173" s="14" t="str">
        <f>IFERROR(__xludf.DUMMYFUNCTION("IF(REGEXMATCH($B173,L$1),$D173,"""")"),"")</f>
        <v/>
      </c>
      <c r="M173" s="14" t="str">
        <f>IFERROR(__xludf.DUMMYFUNCTION("IF(REGEXMATCH($B173,M$1),$D173,"""")"),"")</f>
        <v/>
      </c>
      <c r="N173" s="14" t="str">
        <f>IFERROR(__xludf.DUMMYFUNCTION("IF(REGEXMATCH($B173,N$1),$D173,"""")"),"")</f>
        <v/>
      </c>
      <c r="O173" s="14" t="str">
        <f>IFERROR(__xludf.DUMMYFUNCTION("IF(REGEXMATCH($B173,O$1),$D173,"""")"),"Human Hunter")</f>
        <v>Human Hunter</v>
      </c>
      <c r="P173" s="14" t="str">
        <f>IFERROR(__xludf.DUMMYFUNCTION("IF(REGEXMATCH($B173,P$1),$D173,"""")"),"")</f>
        <v/>
      </c>
      <c r="Q173" s="14">
        <f>IFERROR(__xludf.DUMMYFUNCTION("IF($A173="""","""",LEN(REGEXREPLACE($I173,"",\s?"","""")))"),5.0)</f>
        <v>5</v>
      </c>
      <c r="S173" s="14"/>
      <c r="T173" s="14"/>
      <c r="U173" s="14"/>
      <c r="V173" s="14"/>
      <c r="W173" s="14"/>
      <c r="X173" s="14"/>
      <c r="Y173" s="14"/>
      <c r="Z173" s="14"/>
      <c r="AA173" s="14"/>
      <c r="AB173" s="14"/>
    </row>
    <row r="174" hidden="1">
      <c r="A174" s="25" t="s">
        <v>975</v>
      </c>
      <c r="B174" s="77" t="s">
        <v>14</v>
      </c>
      <c r="C174" s="12">
        <v>2.0</v>
      </c>
      <c r="D174" s="12" t="s">
        <v>301</v>
      </c>
      <c r="E174" s="10" t="s">
        <v>976</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Crystal|.*crystal.*bury""),""Empty-Crystal"","""")&amp;IF(REGEXMATCH($E174,""Move|move""),""Move"","""")"),"Ramp Aggro ")</f>
        <v>Ramp Aggro </v>
      </c>
      <c r="G174" s="13" t="s">
        <v>977</v>
      </c>
      <c r="H174" s="12">
        <v>4.0</v>
      </c>
      <c r="I174" s="12" t="s">
        <v>946</v>
      </c>
      <c r="J174" s="19" t="s">
        <v>69</v>
      </c>
      <c r="L174" s="14" t="str">
        <f>IFERROR(__xludf.DUMMYFUNCTION("IF(REGEXMATCH($B174,L$1),$D174,"""")"),"")</f>
        <v/>
      </c>
      <c r="M174" s="14" t="str">
        <f>IFERROR(__xludf.DUMMYFUNCTION("IF(REGEXMATCH($B174,M$1),$D174,"""")"),"")</f>
        <v/>
      </c>
      <c r="N174" s="14" t="str">
        <f>IFERROR(__xludf.DUMMYFUNCTION("IF(REGEXMATCH($B174,N$1),$D174,"""")"),"")</f>
        <v/>
      </c>
      <c r="O174" s="14" t="str">
        <f>IFERROR(__xludf.DUMMYFUNCTION("IF(REGEXMATCH($B174,O$1),$D174,"""")"),"Spirit Warrior")</f>
        <v>Spirit Warrior</v>
      </c>
      <c r="P174" s="14" t="str">
        <f>IFERROR(__xludf.DUMMYFUNCTION("IF(REGEXMATCH($B174,P$1),$D174,"""")"),"")</f>
        <v/>
      </c>
      <c r="Q174" s="14">
        <f>IFERROR(__xludf.DUMMYFUNCTION("IF($A174="""","""",LEN(REGEXREPLACE($I174,"",\s?"","""")))"),5.0)</f>
        <v>5</v>
      </c>
      <c r="S174" s="14"/>
      <c r="T174" s="14"/>
      <c r="U174" s="14"/>
      <c r="V174" s="14"/>
      <c r="W174" s="14"/>
      <c r="X174" s="14"/>
      <c r="Y174" s="14"/>
      <c r="Z174" s="14"/>
      <c r="AA174" s="14"/>
      <c r="AB174" s="14"/>
    </row>
    <row r="175" hidden="1">
      <c r="A175" s="20" t="s">
        <v>978</v>
      </c>
      <c r="B175" s="76" t="s">
        <v>14</v>
      </c>
      <c r="C175" s="19">
        <v>2.0</v>
      </c>
      <c r="D175" s="19" t="s">
        <v>44</v>
      </c>
      <c r="E175" s="20" t="s">
        <v>979</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Crystal|.*crystal.*bury""),""Empty-Crystal"","""")&amp;IF(REGEXMATCH($E175,""Move|move""),""Move"","""")"),"Aggro ")</f>
        <v>Aggro </v>
      </c>
      <c r="G175" s="21" t="s">
        <v>980</v>
      </c>
      <c r="H175" s="19">
        <v>1.0</v>
      </c>
      <c r="I175" s="19" t="s">
        <v>943</v>
      </c>
      <c r="J175" s="19" t="s">
        <v>33</v>
      </c>
      <c r="L175" s="14" t="str">
        <f>IFERROR(__xludf.DUMMYFUNCTION("IF(REGEXMATCH($B175,L$1),$D175,"""")"),"")</f>
        <v/>
      </c>
      <c r="M175" s="14" t="str">
        <f>IFERROR(__xludf.DUMMYFUNCTION("IF(REGEXMATCH($B175,M$1),$D175,"""")"),"")</f>
        <v/>
      </c>
      <c r="N175" s="14" t="str">
        <f>IFERROR(__xludf.DUMMYFUNCTION("IF(REGEXMATCH($B175,N$1),$D175,"""")"),"")</f>
        <v/>
      </c>
      <c r="O175" s="14" t="str">
        <f>IFERROR(__xludf.DUMMYFUNCTION("IF(REGEXMATCH($B175,O$1),$D175,"""")"),"Human")</f>
        <v>Human</v>
      </c>
      <c r="P175" s="14" t="str">
        <f>IFERROR(__xludf.DUMMYFUNCTION("IF(REGEXMATCH($B175,P$1),$D175,"""")"),"")</f>
        <v/>
      </c>
      <c r="Q175" s="14">
        <f>IFERROR(__xludf.DUMMYFUNCTION("IF($A175="""","""",LEN(REGEXREPLACE($I175,"",\s?"","""")))"),1.0)</f>
        <v>1</v>
      </c>
      <c r="S175" s="14"/>
      <c r="T175" s="14"/>
      <c r="U175" s="14"/>
      <c r="V175" s="14"/>
      <c r="W175" s="14"/>
      <c r="X175" s="14"/>
      <c r="Y175" s="14"/>
      <c r="Z175" s="14"/>
      <c r="AA175" s="14"/>
      <c r="AB175" s="14"/>
    </row>
    <row r="176">
      <c r="A176" s="20" t="s">
        <v>981</v>
      </c>
      <c r="B176" s="10" t="s">
        <v>14</v>
      </c>
      <c r="C176" s="12">
        <v>1.0</v>
      </c>
      <c r="D176" s="19" t="s">
        <v>110</v>
      </c>
      <c r="E176" s="10" t="s">
        <v>982</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Crystal|.*crystal.*bury""),""Empty-Crystal"","""")&amp;IF(REGEXMATCH($E176,""Move|move""),""Move"","""")"),"Ramp ")</f>
        <v>Ramp </v>
      </c>
      <c r="G176" s="13" t="s">
        <v>983</v>
      </c>
      <c r="H176" s="12">
        <v>3.0</v>
      </c>
      <c r="I176" s="12" t="s">
        <v>984</v>
      </c>
      <c r="J176" s="12" t="s">
        <v>39</v>
      </c>
      <c r="L176" s="14" t="str">
        <f>IFERROR(__xludf.DUMMYFUNCTION("IF(REGEXMATCH($B176,L$1),$D176,"""")"),"")</f>
        <v/>
      </c>
      <c r="M176" s="14" t="str">
        <f>IFERROR(__xludf.DUMMYFUNCTION("IF(REGEXMATCH($B176,M$1),$D176,"""")"),"")</f>
        <v/>
      </c>
      <c r="N176" s="14" t="str">
        <f>IFERROR(__xludf.DUMMYFUNCTION("IF(REGEXMATCH($B176,N$1),$D176,"""")"),"")</f>
        <v/>
      </c>
      <c r="O176" s="14" t="str">
        <f>IFERROR(__xludf.DUMMYFUNCTION("IF(REGEXMATCH($B176,O$1),$D176,"""")"),"Animal")</f>
        <v>Animal</v>
      </c>
      <c r="P176" s="14" t="str">
        <f>IFERROR(__xludf.DUMMYFUNCTION("IF(REGEXMATCH($B176,P$1),$D176,"""")"),"")</f>
        <v/>
      </c>
      <c r="Q176" s="14">
        <f>IFERROR(__xludf.DUMMYFUNCTION("IF($A176="""","""",LEN(REGEXREPLACE($I176,"",\s?"","""")))"),4.0)</f>
        <v>4</v>
      </c>
      <c r="S176" s="14"/>
      <c r="T176" s="14"/>
      <c r="U176" s="14"/>
      <c r="V176" s="14"/>
      <c r="W176" s="14"/>
      <c r="X176" s="14"/>
      <c r="Y176" s="14"/>
      <c r="Z176" s="14"/>
      <c r="AA176" s="14"/>
      <c r="AB176" s="14"/>
    </row>
    <row r="177" hidden="1">
      <c r="A177" s="20" t="s">
        <v>985</v>
      </c>
      <c r="B177" s="76" t="s">
        <v>14</v>
      </c>
      <c r="C177" s="19">
        <v>2.0</v>
      </c>
      <c r="D177" s="19" t="s">
        <v>141</v>
      </c>
      <c r="E177" s="20" t="s">
        <v>986</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21" t="s">
        <v>987</v>
      </c>
      <c r="H177" s="19">
        <v>3.0</v>
      </c>
      <c r="I177" s="19" t="s">
        <v>946</v>
      </c>
      <c r="J177" s="19" t="s">
        <v>33</v>
      </c>
      <c r="L177" s="14" t="str">
        <f>IFERROR(__xludf.DUMMYFUNCTION("IF(REGEXMATCH($B177,L$1),$D177,"""")"),"")</f>
        <v/>
      </c>
      <c r="M177" s="14" t="str">
        <f>IFERROR(__xludf.DUMMYFUNCTION("IF(REGEXMATCH($B177,M$1),$D177,"""")"),"")</f>
        <v/>
      </c>
      <c r="N177" s="14" t="str">
        <f>IFERROR(__xludf.DUMMYFUNCTION("IF(REGEXMATCH($B177,N$1),$D177,"""")"),"")</f>
        <v/>
      </c>
      <c r="O177" s="14" t="str">
        <f>IFERROR(__xludf.DUMMYFUNCTION("IF(REGEXMATCH($B177,O$1),$D177,"""")"),"Human Hunter")</f>
        <v>Human Hunter</v>
      </c>
      <c r="P177" s="14" t="str">
        <f>IFERROR(__xludf.DUMMYFUNCTION("IF(REGEXMATCH($B177,P$1),$D177,"""")"),"")</f>
        <v/>
      </c>
      <c r="Q177" s="14">
        <f>IFERROR(__xludf.DUMMYFUNCTION("IF($A177="""","""",LEN(REGEXREPLACE($I177,"",\s?"","""")))"),5.0)</f>
        <v>5</v>
      </c>
      <c r="S177" s="14"/>
      <c r="T177" s="14"/>
      <c r="U177" s="14"/>
      <c r="V177" s="14"/>
      <c r="W177" s="14"/>
      <c r="X177" s="14"/>
      <c r="Y177" s="14"/>
      <c r="Z177" s="14"/>
      <c r="AA177" s="14"/>
      <c r="AB177" s="14"/>
    </row>
    <row r="178">
      <c r="A178" s="32" t="s">
        <v>988</v>
      </c>
      <c r="B178" s="34" t="s">
        <v>14</v>
      </c>
      <c r="C178" s="62">
        <v>1.0</v>
      </c>
      <c r="D178" s="62" t="s">
        <v>474</v>
      </c>
      <c r="E178" s="79" t="s">
        <v>989</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Crystal|.*crystal.*bury""),""Empty-Crystal"","""")&amp;IF(REGEXMATCH($E178,""Move|move""),""Move"","""")"),"Aggro ")</f>
        <v>Aggro </v>
      </c>
      <c r="G178" s="63" t="s">
        <v>700</v>
      </c>
      <c r="H178" s="64">
        <v>7.0</v>
      </c>
      <c r="I178" s="62" t="s">
        <v>990</v>
      </c>
      <c r="J178" s="64" t="s">
        <v>39</v>
      </c>
      <c r="L178" s="14" t="str">
        <f>IFERROR(__xludf.DUMMYFUNCTION("IF(REGEXMATCH($B178,L$1),$D178,"""")"),"")</f>
        <v/>
      </c>
      <c r="M178" s="14" t="str">
        <f>IFERROR(__xludf.DUMMYFUNCTION("IF(REGEXMATCH($B178,M$1),$D178,"""")"),"")</f>
        <v/>
      </c>
      <c r="N178" s="14" t="str">
        <f>IFERROR(__xludf.DUMMYFUNCTION("IF(REGEXMATCH($B178,N$1),$D178,"""")"),"")</f>
        <v/>
      </c>
      <c r="O178" s="14" t="str">
        <f>IFERROR(__xludf.DUMMYFUNCTION("IF(REGEXMATCH($B178,O$1),$D178,"""")"),"Human Warrior")</f>
        <v>Human Warrior</v>
      </c>
      <c r="P178" s="14" t="str">
        <f>IFERROR(__xludf.DUMMYFUNCTION("IF(REGEXMATCH($B178,P$1),$D178,"""")"),"")</f>
        <v/>
      </c>
      <c r="Q178" s="14">
        <f>IFERROR(__xludf.DUMMYFUNCTION("IF($A178="""","""",LEN(REGEXREPLACE($I178,"",\s?"","""")))"),6.0)</f>
        <v>6</v>
      </c>
      <c r="S178" s="14"/>
      <c r="T178" s="14"/>
      <c r="U178" s="14"/>
      <c r="V178" s="14"/>
      <c r="W178" s="14"/>
      <c r="X178" s="14"/>
      <c r="Y178" s="14"/>
      <c r="Z178" s="14"/>
      <c r="AA178" s="14"/>
      <c r="AB178" s="14"/>
    </row>
    <row r="179" hidden="1">
      <c r="A179" s="43" t="s">
        <v>991</v>
      </c>
      <c r="B179" s="77" t="s">
        <v>14</v>
      </c>
      <c r="C179" s="12">
        <v>2.0</v>
      </c>
      <c r="D179" s="12" t="s">
        <v>312</v>
      </c>
      <c r="E179" s="10" t="s">
        <v>992</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Crystal|.*crystal.*bury""),""Empty-Crystal"","""")&amp;IF(REGEXMATCH($E179,""Move|move""),""Move"","""")"),"Mortal Copy ")</f>
        <v>Mortal Copy </v>
      </c>
      <c r="G179" s="13" t="s">
        <v>993</v>
      </c>
      <c r="H179" s="12">
        <v>3.0</v>
      </c>
      <c r="I179" s="12" t="s">
        <v>926</v>
      </c>
      <c r="J179" s="12" t="s">
        <v>69</v>
      </c>
      <c r="L179" s="14" t="str">
        <f>IFERROR(__xludf.DUMMYFUNCTION("IF(REGEXMATCH($B179,L$1),$D179,"""")"),"")</f>
        <v/>
      </c>
      <c r="M179" s="14" t="str">
        <f>IFERROR(__xludf.DUMMYFUNCTION("IF(REGEXMATCH($B179,M$1),$D179,"""")"),"")</f>
        <v/>
      </c>
      <c r="N179" s="14" t="str">
        <f>IFERROR(__xludf.DUMMYFUNCTION("IF(REGEXMATCH($B179,N$1),$D179,"""")"),"")</f>
        <v/>
      </c>
      <c r="O179" s="14" t="str">
        <f>IFERROR(__xludf.DUMMYFUNCTION("IF(REGEXMATCH($B179,O$1),$D179,"""")"),"Human Wizard")</f>
        <v>Human Wizard</v>
      </c>
      <c r="P179" s="14" t="str">
        <f>IFERROR(__xludf.DUMMYFUNCTION("IF(REGEXMATCH($B179,P$1),$D179,"""")"),"")</f>
        <v/>
      </c>
      <c r="Q179" s="14">
        <f>IFERROR(__xludf.DUMMYFUNCTION("IF($A179="""","""",LEN(REGEXREPLACE($I179,"",\s?"","""")))"),4.0)</f>
        <v>4</v>
      </c>
      <c r="S179" s="14"/>
      <c r="T179" s="14"/>
      <c r="U179" s="14"/>
      <c r="V179" s="14"/>
      <c r="W179" s="14"/>
      <c r="X179" s="14"/>
      <c r="Y179" s="14"/>
      <c r="Z179" s="14"/>
      <c r="AA179" s="14"/>
      <c r="AB179" s="14"/>
    </row>
    <row r="180">
      <c r="A180" s="25" t="s">
        <v>994</v>
      </c>
      <c r="B180" s="10" t="s">
        <v>14</v>
      </c>
      <c r="C180" s="12">
        <v>1.0</v>
      </c>
      <c r="D180" s="12" t="s">
        <v>432</v>
      </c>
      <c r="E180" s="10" t="s">
        <v>995</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Crystal|.*crystal.*bury""),""Empty-Crystal"","""")&amp;IF(REGEXMATCH($E180,""Move|move""),""Move"","""")"),"Move")</f>
        <v>Move</v>
      </c>
      <c r="G180" s="13" t="s">
        <v>996</v>
      </c>
      <c r="H180" s="12">
        <v>2.0</v>
      </c>
      <c r="I180" s="12" t="s">
        <v>926</v>
      </c>
      <c r="J180" s="12" t="s">
        <v>33</v>
      </c>
      <c r="L180" s="14" t="str">
        <f>IFERROR(__xludf.DUMMYFUNCTION("IF(REGEXMATCH($B180,L$1),$D180,"""")"),"")</f>
        <v/>
      </c>
      <c r="M180" s="14" t="str">
        <f>IFERROR(__xludf.DUMMYFUNCTION("IF(REGEXMATCH($B180,M$1),$D180,"""")"),"")</f>
        <v/>
      </c>
      <c r="N180" s="14" t="str">
        <f>IFERROR(__xludf.DUMMYFUNCTION("IF(REGEXMATCH($B180,N$1),$D180,"""")"),"")</f>
        <v/>
      </c>
      <c r="O180" s="14" t="str">
        <f>IFERROR(__xludf.DUMMYFUNCTION("IF(REGEXMATCH($B180,O$1),$D180,"""")"),"Dragon")</f>
        <v>Dragon</v>
      </c>
      <c r="P180" s="14" t="str">
        <f>IFERROR(__xludf.DUMMYFUNCTION("IF(REGEXMATCH($B180,P$1),$D180,"""")"),"")</f>
        <v/>
      </c>
      <c r="Q180" s="14">
        <f>IFERROR(__xludf.DUMMYFUNCTION("IF($A180="""","""",LEN(REGEXREPLACE($I180,"",\s?"","""")))"),4.0)</f>
        <v>4</v>
      </c>
      <c r="S180" s="14"/>
      <c r="T180" s="14"/>
      <c r="U180" s="14"/>
      <c r="V180" s="14"/>
      <c r="W180" s="14"/>
      <c r="X180" s="14"/>
      <c r="Y180" s="14"/>
      <c r="Z180" s="14"/>
      <c r="AA180" s="14"/>
      <c r="AB180" s="14"/>
    </row>
    <row r="181">
      <c r="A181" s="25" t="s">
        <v>997</v>
      </c>
      <c r="B181" s="10" t="s">
        <v>14</v>
      </c>
      <c r="C181" s="12">
        <v>1.0</v>
      </c>
      <c r="D181" s="12" t="s">
        <v>77</v>
      </c>
      <c r="E181" s="10" t="s">
        <v>998</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Crystal|.*crystal.*bury""),""Empty-Crystal"","""")&amp;IF(REGEXMATCH($E181,""Move|move""),""Move"","""")"),"Construct Move")</f>
        <v>Construct Move</v>
      </c>
      <c r="G181" s="13" t="s">
        <v>999</v>
      </c>
      <c r="H181" s="12">
        <v>4.0</v>
      </c>
      <c r="I181" s="12" t="s">
        <v>984</v>
      </c>
      <c r="J181" s="12" t="s">
        <v>33</v>
      </c>
      <c r="L181" s="14" t="str">
        <f>IFERROR(__xludf.DUMMYFUNCTION("IF(REGEXMATCH($B181,L$1),$D181,"""")"),"")</f>
        <v/>
      </c>
      <c r="M181" s="14" t="str">
        <f>IFERROR(__xludf.DUMMYFUNCTION("IF(REGEXMATCH($B181,M$1),$D181,"""")"),"")</f>
        <v/>
      </c>
      <c r="N181" s="14" t="str">
        <f>IFERROR(__xludf.DUMMYFUNCTION("IF(REGEXMATCH($B181,N$1),$D181,"""")"),"")</f>
        <v/>
      </c>
      <c r="O181" s="14" t="str">
        <f>IFERROR(__xludf.DUMMYFUNCTION("IF(REGEXMATCH($B181,O$1),$D181,"""")"),"Construct")</f>
        <v>Construct</v>
      </c>
      <c r="P181" s="14" t="str">
        <f>IFERROR(__xludf.DUMMYFUNCTION("IF(REGEXMATCH($B181,P$1),$D181,"""")"),"")</f>
        <v/>
      </c>
      <c r="Q181" s="14">
        <f>IFERROR(__xludf.DUMMYFUNCTION("IF($A181="""","""",LEN(REGEXREPLACE($I181,"",\s?"","""")))"),4.0)</f>
        <v>4</v>
      </c>
      <c r="S181" s="14"/>
      <c r="T181" s="14"/>
      <c r="U181" s="14"/>
      <c r="V181" s="14"/>
      <c r="W181" s="14"/>
      <c r="X181" s="14"/>
      <c r="Y181" s="14"/>
      <c r="Z181" s="14"/>
      <c r="AA181" s="14"/>
      <c r="AB181" s="14"/>
    </row>
    <row r="182" hidden="1">
      <c r="A182" s="25" t="s">
        <v>1000</v>
      </c>
      <c r="B182" s="77" t="s">
        <v>14</v>
      </c>
      <c r="C182" s="19">
        <v>2.0</v>
      </c>
      <c r="D182" s="12" t="s">
        <v>77</v>
      </c>
      <c r="E182" s="10" t="s">
        <v>1001</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Crystal|.*crystal.*bury""),""Empty-Crystal"","""")&amp;IF(REGEXMATCH($E182,""Move|move""),""Move"","""")"),"Ramp Aggro ")</f>
        <v>Ramp Aggro </v>
      </c>
      <c r="G182" s="13" t="s">
        <v>1002</v>
      </c>
      <c r="H182" s="12">
        <v>3.0</v>
      </c>
      <c r="I182" s="12" t="s">
        <v>926</v>
      </c>
      <c r="J182" s="12" t="s">
        <v>69</v>
      </c>
      <c r="L182" s="14" t="str">
        <f>IFERROR(__xludf.DUMMYFUNCTION("IF(REGEXMATCH($B182,L$1),$D182,"""")"),"")</f>
        <v/>
      </c>
      <c r="M182" s="14" t="str">
        <f>IFERROR(__xludf.DUMMYFUNCTION("IF(REGEXMATCH($B182,M$1),$D182,"""")"),"")</f>
        <v/>
      </c>
      <c r="N182" s="14" t="str">
        <f>IFERROR(__xludf.DUMMYFUNCTION("IF(REGEXMATCH($B182,N$1),$D182,"""")"),"")</f>
        <v/>
      </c>
      <c r="O182" s="14" t="str">
        <f>IFERROR(__xludf.DUMMYFUNCTION("IF(REGEXMATCH($B182,O$1),$D182,"""")"),"Construct")</f>
        <v>Construct</v>
      </c>
      <c r="P182" s="14" t="str">
        <f>IFERROR(__xludf.DUMMYFUNCTION("IF(REGEXMATCH($B182,P$1),$D182,"""")"),"")</f>
        <v/>
      </c>
      <c r="Q182" s="14">
        <f>IFERROR(__xludf.DUMMYFUNCTION("IF($A182="""","""",LEN(REGEXREPLACE($I182,"",\s?"","""")))"),4.0)</f>
        <v>4</v>
      </c>
      <c r="S182" s="14"/>
      <c r="T182" s="14"/>
      <c r="U182" s="14"/>
      <c r="V182" s="14"/>
      <c r="W182" s="14"/>
      <c r="X182" s="14"/>
      <c r="Y182" s="14"/>
      <c r="Z182" s="14"/>
      <c r="AA182" s="14"/>
      <c r="AB182" s="14"/>
    </row>
    <row r="183" ht="14.25" customHeight="1">
      <c r="A183" s="80" t="s">
        <v>1003</v>
      </c>
      <c r="B183" s="10" t="s">
        <v>14</v>
      </c>
      <c r="C183" s="12">
        <v>1.0</v>
      </c>
      <c r="D183" s="33" t="s">
        <v>860</v>
      </c>
      <c r="E183" s="71" t="s">
        <v>1004</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Crystal|.*crystal.*bury""),""Empty-Crystal"","""")&amp;IF(REGEXMATCH($E183,""Move|move""),""Move"","""")"),"Aggro ")</f>
        <v>Aggro </v>
      </c>
      <c r="G183" s="81" t="s">
        <v>1005</v>
      </c>
      <c r="H183" s="12">
        <v>3.0</v>
      </c>
      <c r="I183" s="12" t="s">
        <v>926</v>
      </c>
      <c r="J183" s="24" t="s">
        <v>69</v>
      </c>
      <c r="L183" s="14" t="str">
        <f>IFERROR(__xludf.DUMMYFUNCTION("IF(REGEXMATCH($B183,L$1),$D183,"""")"),"")</f>
        <v/>
      </c>
      <c r="M183" s="14" t="str">
        <f>IFERROR(__xludf.DUMMYFUNCTION("IF(REGEXMATCH($B183,M$1),$D183,"""")"),"")</f>
        <v/>
      </c>
      <c r="N183" s="14" t="str">
        <f>IFERROR(__xludf.DUMMYFUNCTION("IF(REGEXMATCH($B183,N$1),$D183,"""")"),"")</f>
        <v/>
      </c>
      <c r="O183" s="14" t="str">
        <f>IFERROR(__xludf.DUMMYFUNCTION("IF(REGEXMATCH($B183,O$1),$D183,"""")"),"Dinosaur Warrior")</f>
        <v>Dinosaur Warrior</v>
      </c>
      <c r="P183" s="14" t="str">
        <f>IFERROR(__xludf.DUMMYFUNCTION("IF(REGEXMATCH($B183,P$1),$D183,"""")"),"")</f>
        <v/>
      </c>
      <c r="Q183" s="14">
        <f>IFERROR(__xludf.DUMMYFUNCTION("IF($A183="""","""",LEN(REGEXREPLACE($I183,"",\s?"","""")))"),4.0)</f>
        <v>4</v>
      </c>
      <c r="S183" s="14"/>
      <c r="T183" s="14"/>
      <c r="U183" s="14"/>
      <c r="V183" s="14"/>
      <c r="W183" s="14"/>
      <c r="X183" s="14"/>
      <c r="Y183" s="14"/>
      <c r="Z183" s="14"/>
      <c r="AA183" s="14"/>
      <c r="AB183" s="14"/>
    </row>
    <row r="184" hidden="1">
      <c r="A184" s="10" t="s">
        <v>1006</v>
      </c>
      <c r="B184" s="77" t="s">
        <v>14</v>
      </c>
      <c r="C184" s="19">
        <v>2.0</v>
      </c>
      <c r="D184" s="12" t="s">
        <v>44</v>
      </c>
      <c r="E184" s="82" t="s">
        <v>1007</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f>
        <v/>
      </c>
      <c r="G184" s="13" t="s">
        <v>1008</v>
      </c>
      <c r="H184" s="12">
        <v>3.0</v>
      </c>
      <c r="I184" s="12" t="s">
        <v>926</v>
      </c>
      <c r="J184" s="12" t="s">
        <v>69</v>
      </c>
      <c r="L184" s="14" t="str">
        <f>IFERROR(__xludf.DUMMYFUNCTION("IF(REGEXMATCH($B184,L$1),$D184,"""")"),"")</f>
        <v/>
      </c>
      <c r="M184" s="14" t="str">
        <f>IFERROR(__xludf.DUMMYFUNCTION("IF(REGEXMATCH($B184,M$1),$D184,"""")"),"")</f>
        <v/>
      </c>
      <c r="N184" s="14" t="str">
        <f>IFERROR(__xludf.DUMMYFUNCTION("IF(REGEXMATCH($B184,N$1),$D184,"""")"),"")</f>
        <v/>
      </c>
      <c r="O184" s="14" t="str">
        <f>IFERROR(__xludf.DUMMYFUNCTION("IF(REGEXMATCH($B184,O$1),$D184,"""")"),"Human")</f>
        <v>Human</v>
      </c>
      <c r="P184" s="14" t="str">
        <f>IFERROR(__xludf.DUMMYFUNCTION("IF(REGEXMATCH($B184,P$1),$D184,"""")"),"")</f>
        <v/>
      </c>
      <c r="Q184" s="14">
        <f>IFERROR(__xludf.DUMMYFUNCTION("IF($A184="""","""",LEN(REGEXREPLACE($I184,"",\s?"","""")))"),4.0)</f>
        <v>4</v>
      </c>
      <c r="S184" s="14"/>
      <c r="T184" s="14"/>
      <c r="U184" s="14"/>
      <c r="V184" s="14"/>
      <c r="W184" s="14"/>
      <c r="X184" s="14"/>
      <c r="Y184" s="14"/>
      <c r="Z184" s="14"/>
      <c r="AA184" s="14"/>
      <c r="AB184" s="14"/>
    </row>
    <row r="185" ht="16.5" hidden="1" customHeight="1">
      <c r="A185" s="25" t="s">
        <v>1009</v>
      </c>
      <c r="B185" s="77" t="s">
        <v>14</v>
      </c>
      <c r="C185" s="12">
        <v>0.0</v>
      </c>
      <c r="D185" s="12" t="s">
        <v>221</v>
      </c>
      <c r="E185" s="10" t="s">
        <v>1010</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Crystal|.*crystal.*bury""),""Empty-Crystal"","""")&amp;IF(REGEXMATCH($E185,""Move|move""),""Move"","""")"),"Animal Ramp ")</f>
        <v>Animal Ramp </v>
      </c>
      <c r="G185" s="13" t="s">
        <v>1011</v>
      </c>
      <c r="H185" s="12">
        <v>4.0</v>
      </c>
      <c r="I185" s="12" t="s">
        <v>946</v>
      </c>
      <c r="J185" s="19" t="s">
        <v>69</v>
      </c>
      <c r="L185" s="14" t="str">
        <f>IFERROR(__xludf.DUMMYFUNCTION("IF(REGEXMATCH($B185,L$1),$D185,"""")"),"")</f>
        <v/>
      </c>
      <c r="M185" s="14" t="str">
        <f>IFERROR(__xludf.DUMMYFUNCTION("IF(REGEXMATCH($B185,M$1),$D185,"""")"),"")</f>
        <v/>
      </c>
      <c r="N185" s="14" t="str">
        <f>IFERROR(__xludf.DUMMYFUNCTION("IF(REGEXMATCH($B185,N$1),$D185,"""")"),"")</f>
        <v/>
      </c>
      <c r="O185" s="14" t="str">
        <f>IFERROR(__xludf.DUMMYFUNCTION("IF(REGEXMATCH($B185,O$1),$D185,"""")"),"Animal Spirit")</f>
        <v>Animal Spirit</v>
      </c>
      <c r="P185" s="14" t="str">
        <f>IFERROR(__xludf.DUMMYFUNCTION("IF(REGEXMATCH($B185,P$1),$D185,"""")"),"")</f>
        <v/>
      </c>
      <c r="Q185" s="14">
        <f>IFERROR(__xludf.DUMMYFUNCTION("IF($A185="""","""",LEN(REGEXREPLACE($I185,"",\s?"","""")))"),5.0)</f>
        <v>5</v>
      </c>
      <c r="S185" s="14"/>
      <c r="T185" s="14"/>
      <c r="U185" s="14"/>
      <c r="V185" s="14"/>
      <c r="W185" s="14"/>
      <c r="X185" s="14"/>
      <c r="Y185" s="14"/>
      <c r="Z185" s="14"/>
      <c r="AA185" s="14"/>
      <c r="AB185" s="14"/>
    </row>
    <row r="186" hidden="1">
      <c r="A186" s="20" t="s">
        <v>1012</v>
      </c>
      <c r="B186" s="77" t="s">
        <v>14</v>
      </c>
      <c r="C186" s="12">
        <v>2.0</v>
      </c>
      <c r="D186" s="12" t="s">
        <v>902</v>
      </c>
      <c r="E186" s="10" t="s">
        <v>1013</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f>
        <v/>
      </c>
      <c r="G186" s="13" t="s">
        <v>700</v>
      </c>
      <c r="H186" s="12">
        <v>2.0</v>
      </c>
      <c r="I186" s="12" t="s">
        <v>1014</v>
      </c>
      <c r="J186" s="12" t="s">
        <v>69</v>
      </c>
      <c r="L186" s="14" t="str">
        <f>IFERROR(__xludf.DUMMYFUNCTION("IF(REGEXMATCH($B186,L$1),$D186,"""")"),"")</f>
        <v/>
      </c>
      <c r="M186" s="14" t="str">
        <f>IFERROR(__xludf.DUMMYFUNCTION("IF(REGEXMATCH($B186,M$1),$D186,"""")"),"")</f>
        <v/>
      </c>
      <c r="N186" s="14" t="str">
        <f>IFERROR(__xludf.DUMMYFUNCTION("IF(REGEXMATCH($B186,N$1),$D186,"""")"),"")</f>
        <v/>
      </c>
      <c r="O186" s="14" t="str">
        <f>IFERROR(__xludf.DUMMYFUNCTION("IF(REGEXMATCH($B186,O$1),$D186,"""")"),"Animal Warrior")</f>
        <v>Animal Warrior</v>
      </c>
      <c r="P186" s="14" t="str">
        <f>IFERROR(__xludf.DUMMYFUNCTION("IF(REGEXMATCH($B186,P$1),$D186,"""")"),"")</f>
        <v/>
      </c>
      <c r="Q186" s="14">
        <f>IFERROR(__xludf.DUMMYFUNCTION("IF($A186="""","""",LEN(REGEXREPLACE($I186,"",\s?"","""")))"),3.0)</f>
        <v>3</v>
      </c>
      <c r="S186" s="14"/>
      <c r="T186" s="14"/>
      <c r="U186" s="14"/>
      <c r="V186" s="14"/>
      <c r="W186" s="14"/>
      <c r="X186" s="14"/>
      <c r="Y186" s="14"/>
      <c r="Z186" s="14"/>
      <c r="AA186" s="14"/>
      <c r="AB186" s="14"/>
    </row>
    <row r="187">
      <c r="A187" s="27" t="s">
        <v>1015</v>
      </c>
      <c r="B187" s="10" t="s">
        <v>14</v>
      </c>
      <c r="C187" s="12">
        <v>1.0</v>
      </c>
      <c r="D187" s="12" t="s">
        <v>141</v>
      </c>
      <c r="E187" s="10" t="s">
        <v>1016</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Crystal|.*crystal.*bury""),""Empty-Crystal"","""")&amp;IF(REGEXMATCH($E187,""Move|move""),""Move"","""")"),"Unearth Control ")</f>
        <v>Unearth Control </v>
      </c>
      <c r="G187" s="13" t="s">
        <v>1017</v>
      </c>
      <c r="H187" s="24">
        <v>3.0</v>
      </c>
      <c r="I187" s="12" t="s">
        <v>984</v>
      </c>
      <c r="J187" s="24" t="s">
        <v>69</v>
      </c>
      <c r="L187" s="14" t="str">
        <f>IFERROR(__xludf.DUMMYFUNCTION("IF(REGEXMATCH($B187,L$1),$D187,"""")"),"")</f>
        <v/>
      </c>
      <c r="M187" s="14" t="str">
        <f>IFERROR(__xludf.DUMMYFUNCTION("IF(REGEXMATCH($B187,M$1),$D187,"""")"),"")</f>
        <v/>
      </c>
      <c r="N187" s="14" t="str">
        <f>IFERROR(__xludf.DUMMYFUNCTION("IF(REGEXMATCH($B187,N$1),$D187,"""")"),"")</f>
        <v/>
      </c>
      <c r="O187" s="14" t="str">
        <f>IFERROR(__xludf.DUMMYFUNCTION("IF(REGEXMATCH($B187,O$1),$D187,"""")"),"Human Hunter")</f>
        <v>Human Hunter</v>
      </c>
      <c r="P187" s="14" t="str">
        <f>IFERROR(__xludf.DUMMYFUNCTION("IF(REGEXMATCH($B187,P$1),$D187,"""")"),"")</f>
        <v/>
      </c>
      <c r="Q187" s="14">
        <f>IFERROR(__xludf.DUMMYFUNCTION("IF($A187="""","""",LEN(REGEXREPLACE($I187,"",\s?"","""")))"),4.0)</f>
        <v>4</v>
      </c>
      <c r="S187" s="14"/>
      <c r="T187" s="14"/>
      <c r="U187" s="14"/>
      <c r="V187" s="14"/>
      <c r="W187" s="14"/>
      <c r="X187" s="14"/>
      <c r="Y187" s="14"/>
      <c r="Z187" s="14"/>
      <c r="AA187" s="14"/>
      <c r="AB187" s="14"/>
    </row>
    <row r="188" hidden="1">
      <c r="A188" s="20" t="s">
        <v>1018</v>
      </c>
      <c r="B188" s="76" t="s">
        <v>14</v>
      </c>
      <c r="C188" s="19">
        <v>2.0</v>
      </c>
      <c r="D188" s="19" t="s">
        <v>110</v>
      </c>
      <c r="E188" s="20" t="s">
        <v>1019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Crystal|.*crystal.*bury""),""Empty-Crystal"","""")&amp;IF(REGEXMATCH($E188,""Move|move""),""Move"","""")"),"Unearth Control Copy ")</f>
        <v>Unearth Control Copy </v>
      </c>
      <c r="G188" s="21" t="s">
        <v>1020</v>
      </c>
      <c r="H188" s="19">
        <v>1.0</v>
      </c>
      <c r="I188" s="19" t="s">
        <v>943</v>
      </c>
      <c r="J188" s="19" t="s">
        <v>33</v>
      </c>
      <c r="L188" s="14" t="str">
        <f>IFERROR(__xludf.DUMMYFUNCTION("IF(REGEXMATCH($B188,L$1),$D188,"""")"),"")</f>
        <v/>
      </c>
      <c r="M188" s="14" t="str">
        <f>IFERROR(__xludf.DUMMYFUNCTION("IF(REGEXMATCH($B188,M$1),$D188,"""")"),"")</f>
        <v/>
      </c>
      <c r="N188" s="14" t="str">
        <f>IFERROR(__xludf.DUMMYFUNCTION("IF(REGEXMATCH($B188,N$1),$D188,"""")"),"")</f>
        <v/>
      </c>
      <c r="O188" s="14" t="str">
        <f>IFERROR(__xludf.DUMMYFUNCTION("IF(REGEXMATCH($B188,O$1),$D188,"""")"),"Animal")</f>
        <v>Animal</v>
      </c>
      <c r="P188" s="14" t="str">
        <f>IFERROR(__xludf.DUMMYFUNCTION("IF(REGEXMATCH($B188,P$1),$D188,"""")"),"")</f>
        <v/>
      </c>
      <c r="Q188" s="14">
        <f>IFERROR(__xludf.DUMMYFUNCTION("IF($A188="""","""",LEN(REGEXREPLACE($I188,"",\s?"","""")))"),1.0)</f>
        <v>1</v>
      </c>
      <c r="S188" s="14"/>
      <c r="T188" s="14"/>
      <c r="U188" s="14"/>
      <c r="V188" s="14"/>
      <c r="W188" s="14"/>
      <c r="X188" s="14"/>
      <c r="Y188" s="14"/>
      <c r="Z188" s="14"/>
      <c r="AA188" s="14"/>
      <c r="AB188" s="14"/>
    </row>
    <row r="189">
      <c r="A189" s="10" t="s">
        <v>1021</v>
      </c>
      <c r="B189" s="10" t="s">
        <v>14</v>
      </c>
      <c r="C189" s="12">
        <v>1.0</v>
      </c>
      <c r="D189" s="12" t="s">
        <v>902</v>
      </c>
      <c r="E189" s="83" t="s">
        <v>1022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Crystal|.*crystal.*bury""),""Empty-Crystal"","""")&amp;IF(REGEXMATCH($E189,""Move|move""),""Move"","""")"),"Warrior ")</f>
        <v>Warrior </v>
      </c>
      <c r="G189" s="21" t="s">
        <v>1023</v>
      </c>
      <c r="H189" s="12">
        <v>6.0</v>
      </c>
      <c r="I189" s="12" t="s">
        <v>1024</v>
      </c>
      <c r="J189" s="12" t="s">
        <v>33</v>
      </c>
      <c r="L189" s="14" t="str">
        <f>IFERROR(__xludf.DUMMYFUNCTION("IF(REGEXMATCH($B189,L$1),$D189,"""")"),"")</f>
        <v/>
      </c>
      <c r="M189" s="14" t="str">
        <f>IFERROR(__xludf.DUMMYFUNCTION("IF(REGEXMATCH($B189,M$1),$D189,"""")"),"")</f>
        <v/>
      </c>
      <c r="N189" s="14" t="str">
        <f>IFERROR(__xludf.DUMMYFUNCTION("IF(REGEXMATCH($B189,N$1),$D189,"""")"),"")</f>
        <v/>
      </c>
      <c r="O189" s="14" t="str">
        <f>IFERROR(__xludf.DUMMYFUNCTION("IF(REGEXMATCH($B189,O$1),$D189,"""")"),"Animal Warrior")</f>
        <v>Animal Warrior</v>
      </c>
      <c r="P189" s="14" t="str">
        <f>IFERROR(__xludf.DUMMYFUNCTION("IF(REGEXMATCH($B189,P$1),$D189,"""")"),"")</f>
        <v/>
      </c>
      <c r="Q189" s="14">
        <f>IFERROR(__xludf.DUMMYFUNCTION("IF($A189="""","""",LEN(REGEXREPLACE($I189,"",\s?"","""")))"),4.0)</f>
        <v>4</v>
      </c>
      <c r="S189" s="14"/>
      <c r="T189" s="14"/>
      <c r="U189" s="14"/>
      <c r="V189" s="14"/>
      <c r="W189" s="14"/>
      <c r="X189" s="14"/>
      <c r="Y189" s="14"/>
      <c r="Z189" s="14"/>
      <c r="AA189" s="14"/>
      <c r="AB189" s="14"/>
    </row>
    <row r="190">
      <c r="A190" s="27" t="s">
        <v>1025</v>
      </c>
      <c r="B190" s="10" t="s">
        <v>14</v>
      </c>
      <c r="C190" s="12">
        <v>1.0</v>
      </c>
      <c r="D190" s="24" t="s">
        <v>110</v>
      </c>
      <c r="E190" s="71" t="s">
        <v>1026</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f>
        <v/>
      </c>
      <c r="G190" s="46" t="s">
        <v>1027</v>
      </c>
      <c r="H190" s="12">
        <v>2.0</v>
      </c>
      <c r="I190" s="12" t="s">
        <v>1028</v>
      </c>
      <c r="J190" s="19" t="s">
        <v>33</v>
      </c>
      <c r="L190" s="14" t="str">
        <f>IFERROR(__xludf.DUMMYFUNCTION("IF(REGEXMATCH($B190,L$1),$D190,"""")"),"")</f>
        <v/>
      </c>
      <c r="M190" s="14" t="str">
        <f>IFERROR(__xludf.DUMMYFUNCTION("IF(REGEXMATCH($B190,M$1),$D190,"""")"),"")</f>
        <v/>
      </c>
      <c r="N190" s="14" t="str">
        <f>IFERROR(__xludf.DUMMYFUNCTION("IF(REGEXMATCH($B190,N$1),$D190,"""")"),"")</f>
        <v/>
      </c>
      <c r="O190" s="14" t="str">
        <f>IFERROR(__xludf.DUMMYFUNCTION("IF(REGEXMATCH($B190,O$1),$D190,"""")"),"Animal")</f>
        <v>Animal</v>
      </c>
      <c r="P190" s="14" t="str">
        <f>IFERROR(__xludf.DUMMYFUNCTION("IF(REGEXMATCH($B190,P$1),$D190,"""")"),"")</f>
        <v/>
      </c>
      <c r="Q190" s="14">
        <f>IFERROR(__xludf.DUMMYFUNCTION("IF($A190="""","""",LEN(REGEXREPLACE($I190,"",\s?"","""")))"),2.0)</f>
        <v>2</v>
      </c>
      <c r="S190" s="14"/>
      <c r="T190" s="14"/>
      <c r="U190" s="14"/>
      <c r="V190" s="14"/>
      <c r="W190" s="14"/>
      <c r="X190" s="14"/>
      <c r="Y190" s="14"/>
      <c r="Z190" s="14"/>
      <c r="AA190" s="14"/>
      <c r="AB190" s="14"/>
    </row>
    <row r="191">
      <c r="A191" s="20" t="s">
        <v>1029</v>
      </c>
      <c r="B191" s="10" t="s">
        <v>14</v>
      </c>
      <c r="C191" s="12">
        <v>1.0</v>
      </c>
      <c r="D191" s="12" t="s">
        <v>474</v>
      </c>
      <c r="E191" s="10" t="s">
        <v>1030</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Crystal|.*crystal.*bury""),""Empty-Crystal"","""")&amp;IF(REGEXMATCH($E191,""Move|move""),""Move"","""")"),"Mortal ")</f>
        <v>Mortal </v>
      </c>
      <c r="G191" s="13" t="s">
        <v>1031</v>
      </c>
      <c r="H191" s="12">
        <v>1.0</v>
      </c>
      <c r="I191" s="12" t="s">
        <v>916</v>
      </c>
      <c r="J191" s="24" t="s">
        <v>33</v>
      </c>
      <c r="L191" s="14" t="str">
        <f>IFERROR(__xludf.DUMMYFUNCTION("IF(REGEXMATCH($B191,L$1),$D191,"""")"),"")</f>
        <v/>
      </c>
      <c r="M191" s="14" t="str">
        <f>IFERROR(__xludf.DUMMYFUNCTION("IF(REGEXMATCH($B191,M$1),$D191,"""")"),"")</f>
        <v/>
      </c>
      <c r="N191" s="14" t="str">
        <f>IFERROR(__xludf.DUMMYFUNCTION("IF(REGEXMATCH($B191,N$1),$D191,"""")"),"")</f>
        <v/>
      </c>
      <c r="O191" s="14" t="str">
        <f>IFERROR(__xludf.DUMMYFUNCTION("IF(REGEXMATCH($B191,O$1),$D191,"""")"),"Human Warrior")</f>
        <v>Human Warrior</v>
      </c>
      <c r="P191" s="14" t="str">
        <f>IFERROR(__xludf.DUMMYFUNCTION("IF(REGEXMATCH($B191,P$1),$D191,"""")"),"")</f>
        <v/>
      </c>
      <c r="Q191" s="14">
        <f>IFERROR(__xludf.DUMMYFUNCTION("IF($A191="""","""",LEN(REGEXREPLACE($I191,"",\s?"","""")))"),2.0)</f>
        <v>2</v>
      </c>
      <c r="S191" s="14"/>
      <c r="T191" s="14"/>
      <c r="U191" s="14"/>
      <c r="V191" s="14"/>
      <c r="W191" s="14"/>
      <c r="X191" s="14"/>
      <c r="Y191" s="14"/>
      <c r="Z191" s="14"/>
      <c r="AA191" s="14"/>
      <c r="AB191" s="14"/>
    </row>
    <row r="192">
      <c r="A192" s="10" t="s">
        <v>1032</v>
      </c>
      <c r="B192" s="10" t="s">
        <v>14</v>
      </c>
      <c r="C192" s="12">
        <v>1.0</v>
      </c>
      <c r="D192" s="12" t="s">
        <v>902</v>
      </c>
      <c r="E192" s="10" t="s">
        <v>1033</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Crystal|.*crystal.*bury""),""Empty-Crystal"","""")&amp;IF(REGEXMATCH($E192,""Move|move""),""Move"","""")"),"Animal Warrior ")</f>
        <v>Animal Warrior </v>
      </c>
      <c r="G192" s="13" t="s">
        <v>1034</v>
      </c>
      <c r="H192" s="12">
        <v>0.0</v>
      </c>
      <c r="I192" s="12" t="s">
        <v>984</v>
      </c>
      <c r="J192" s="12" t="s">
        <v>33</v>
      </c>
      <c r="L192" s="14" t="str">
        <f>IFERROR(__xludf.DUMMYFUNCTION("IF(REGEXMATCH($B192,L$1),$D192,"""")"),"")</f>
        <v/>
      </c>
      <c r="M192" s="14" t="str">
        <f>IFERROR(__xludf.DUMMYFUNCTION("IF(REGEXMATCH($B192,M$1),$D192,"""")"),"")</f>
        <v/>
      </c>
      <c r="N192" s="14" t="str">
        <f>IFERROR(__xludf.DUMMYFUNCTION("IF(REGEXMATCH($B192,N$1),$D192,"""")"),"")</f>
        <v/>
      </c>
      <c r="O192" s="14" t="str">
        <f>IFERROR(__xludf.DUMMYFUNCTION("IF(REGEXMATCH($B192,O$1),$D192,"""")"),"Animal Warrior")</f>
        <v>Animal Warrior</v>
      </c>
      <c r="P192" s="14" t="str">
        <f>IFERROR(__xludf.DUMMYFUNCTION("IF(REGEXMATCH($B192,P$1),$D192,"""")"),"")</f>
        <v/>
      </c>
      <c r="Q192" s="14">
        <f>IFERROR(__xludf.DUMMYFUNCTION("IF($A192="""","""",LEN(REGEXREPLACE($I192,"",\s?"","""")))"),4.0)</f>
        <v>4</v>
      </c>
      <c r="S192" s="14"/>
      <c r="T192" s="14"/>
      <c r="U192" s="14"/>
      <c r="V192" s="14"/>
      <c r="W192" s="14"/>
      <c r="X192" s="14"/>
      <c r="Y192" s="14"/>
      <c r="Z192" s="14"/>
      <c r="AA192" s="14"/>
      <c r="AB192" s="14"/>
    </row>
    <row r="193" hidden="1">
      <c r="A193" s="25" t="s">
        <v>1035</v>
      </c>
      <c r="B193" s="77" t="s">
        <v>14</v>
      </c>
      <c r="C193" s="12">
        <v>2.0</v>
      </c>
      <c r="D193" s="12" t="s">
        <v>110</v>
      </c>
      <c r="E193" s="10" t="s">
        <v>1036</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Crystal|.*crystal.*bury""),""Empty-Crystal"","""")&amp;IF(REGEXMATCH($E193,""Move|move""),""Move"","""")"),"Mortal ")</f>
        <v>Mortal </v>
      </c>
      <c r="G193" s="13" t="s">
        <v>1037</v>
      </c>
      <c r="H193" s="12">
        <v>1.0</v>
      </c>
      <c r="I193" s="12" t="s">
        <v>916</v>
      </c>
      <c r="J193" s="12" t="s">
        <v>33</v>
      </c>
      <c r="L193" s="14" t="str">
        <f>IFERROR(__xludf.DUMMYFUNCTION("IF(REGEXMATCH($B193,L$1),$D193,"""")"),"")</f>
        <v/>
      </c>
      <c r="M193" s="14" t="str">
        <f>IFERROR(__xludf.DUMMYFUNCTION("IF(REGEXMATCH($B193,M$1),$D193,"""")"),"")</f>
        <v/>
      </c>
      <c r="N193" s="14" t="str">
        <f>IFERROR(__xludf.DUMMYFUNCTION("IF(REGEXMATCH($B193,N$1),$D193,"""")"),"")</f>
        <v/>
      </c>
      <c r="O193" s="14" t="str">
        <f>IFERROR(__xludf.DUMMYFUNCTION("IF(REGEXMATCH($B193,O$1),$D193,"""")"),"Animal")</f>
        <v>Animal</v>
      </c>
      <c r="P193" s="14" t="str">
        <f>IFERROR(__xludf.DUMMYFUNCTION("IF(REGEXMATCH($B193,P$1),$D193,"""")"),"")</f>
        <v/>
      </c>
      <c r="Q193" s="14">
        <f>IFERROR(__xludf.DUMMYFUNCTION("IF($A193="""","""",LEN(REGEXREPLACE($I193,"",\s?"","""")))"),2.0)</f>
        <v>2</v>
      </c>
      <c r="S193" s="14"/>
      <c r="T193" s="14"/>
      <c r="U193" s="14"/>
      <c r="V193" s="14"/>
      <c r="W193" s="14"/>
      <c r="X193" s="14"/>
      <c r="Y193" s="14"/>
      <c r="Z193" s="14"/>
      <c r="AA193" s="14"/>
      <c r="AB193" s="14"/>
    </row>
    <row r="194" hidden="1">
      <c r="A194" s="10" t="s">
        <v>1038</v>
      </c>
      <c r="B194" s="77" t="s">
        <v>14</v>
      </c>
      <c r="C194" s="19">
        <v>2.0</v>
      </c>
      <c r="D194" s="12" t="s">
        <v>240</v>
      </c>
      <c r="E194" s="10" t="s">
        <v>1039</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Crystal|.*crystal.*bury""),""Empty-Crystal"","""")&amp;IF(REGEXMATCH($E194,""Move|move""),""Move"","""")"),"Ascend ")</f>
        <v>Ascend </v>
      </c>
      <c r="G194" s="13" t="s">
        <v>31</v>
      </c>
      <c r="H194" s="12">
        <v>6.0</v>
      </c>
      <c r="I194" s="12" t="s">
        <v>966</v>
      </c>
      <c r="J194" s="12" t="s">
        <v>39</v>
      </c>
      <c r="L194" s="14" t="str">
        <f>IFERROR(__xludf.DUMMYFUNCTION("IF(REGEXMATCH($B194,L$1),$D194,"""")"),"")</f>
        <v/>
      </c>
      <c r="M194" s="14" t="str">
        <f>IFERROR(__xludf.DUMMYFUNCTION("IF(REGEXMATCH($B194,M$1),$D194,"""")"),"")</f>
        <v/>
      </c>
      <c r="N194" s="14" t="str">
        <f>IFERROR(__xludf.DUMMYFUNCTION("IF(REGEXMATCH($B194,N$1),$D194,"""")"),"")</f>
        <v/>
      </c>
      <c r="O194" s="14" t="str">
        <f>IFERROR(__xludf.DUMMYFUNCTION("IF(REGEXMATCH($B194,O$1),$D194,"""")"),"Construct Warrior")</f>
        <v>Construct Warrior</v>
      </c>
      <c r="P194" s="14" t="str">
        <f>IFERROR(__xludf.DUMMYFUNCTION("IF(REGEXMATCH($B194,P$1),$D194,"""")"),"")</f>
        <v/>
      </c>
      <c r="Q194" s="14">
        <f>IFERROR(__xludf.DUMMYFUNCTION("IF($A194="""","""",LEN(REGEXREPLACE($I194,"",\s?"","""")))"),6.0)</f>
        <v>6</v>
      </c>
      <c r="S194" s="14"/>
      <c r="T194" s="14"/>
      <c r="U194" s="14"/>
      <c r="V194" s="14"/>
      <c r="W194" s="14"/>
      <c r="X194" s="14"/>
      <c r="Y194" s="14"/>
      <c r="Z194" s="14"/>
      <c r="AA194" s="14"/>
      <c r="AB194" s="14"/>
    </row>
    <row r="195">
      <c r="A195" s="28" t="s">
        <v>1040</v>
      </c>
      <c r="B195" s="20" t="s">
        <v>14</v>
      </c>
      <c r="C195" s="19">
        <v>1.0</v>
      </c>
      <c r="D195" s="19" t="s">
        <v>364</v>
      </c>
      <c r="E195" s="20" t="s">
        <v>1041</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Crystal|.*crystal.*bury""),""Empty-Crystal"","""")&amp;IF(REGEXMATCH($E195,""Move|move""),""Move"","""")"),"Mortal Ramp ")</f>
        <v>Mortal Ramp </v>
      </c>
      <c r="G195" s="21" t="s">
        <v>1042</v>
      </c>
      <c r="H195" s="19">
        <v>6.0</v>
      </c>
      <c r="I195" s="19" t="s">
        <v>966</v>
      </c>
      <c r="J195" s="19" t="s">
        <v>39</v>
      </c>
      <c r="L195" s="14" t="str">
        <f>IFERROR(__xludf.DUMMYFUNCTION("IF(REGEXMATCH($B195,L$1),$D195,"""")"),"")</f>
        <v/>
      </c>
      <c r="M195" s="14" t="str">
        <f>IFERROR(__xludf.DUMMYFUNCTION("IF(REGEXMATCH($B195,M$1),$D195,"""")"),"")</f>
        <v/>
      </c>
      <c r="N195" s="14" t="str">
        <f>IFERROR(__xludf.DUMMYFUNCTION("IF(REGEXMATCH($B195,N$1),$D195,"""")"),"")</f>
        <v/>
      </c>
      <c r="O195" s="14" t="str">
        <f>IFERROR(__xludf.DUMMYFUNCTION("IF(REGEXMATCH($B195,O$1),$D195,"""")"),"Dinosaur")</f>
        <v>Dinosaur</v>
      </c>
      <c r="P195" s="14" t="str">
        <f>IFERROR(__xludf.DUMMYFUNCTION("IF(REGEXMATCH($B195,P$1),$D195,"""")"),"")</f>
        <v/>
      </c>
      <c r="Q195" s="14">
        <f>IFERROR(__xludf.DUMMYFUNCTION("IF($A195="""","""",LEN(REGEXREPLACE($I195,"",\s?"","""")))"),6.0)</f>
        <v>6</v>
      </c>
      <c r="S195" s="14"/>
      <c r="T195" s="14"/>
      <c r="U195" s="14"/>
      <c r="V195" s="14"/>
      <c r="W195" s="14"/>
      <c r="X195" s="14"/>
      <c r="Y195" s="14"/>
      <c r="Z195" s="14"/>
      <c r="AA195" s="14"/>
      <c r="AB195" s="14"/>
    </row>
    <row r="196" hidden="1">
      <c r="A196" s="20" t="s">
        <v>1043</v>
      </c>
      <c r="B196" s="76" t="s">
        <v>14</v>
      </c>
      <c r="C196" s="19">
        <v>2.0</v>
      </c>
      <c r="D196" s="19" t="s">
        <v>902</v>
      </c>
      <c r="E196" s="20" t="s">
        <v>1044</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Crystal|.*crystal.*bury""),""Empty-Crystal"","""")&amp;IF(REGEXMATCH($E196,""Move|move""),""Move"","""")"),"Mortal Ascend ")</f>
        <v>Mortal Ascend </v>
      </c>
      <c r="G196" s="21" t="s">
        <v>31</v>
      </c>
      <c r="H196" s="19">
        <v>1.0</v>
      </c>
      <c r="I196" s="19" t="s">
        <v>943</v>
      </c>
      <c r="J196" s="19" t="s">
        <v>33</v>
      </c>
      <c r="L196" s="14" t="str">
        <f>IFERROR(__xludf.DUMMYFUNCTION("IF(REGEXMATCH($B196,L$1),$D196,"""")"),"")</f>
        <v/>
      </c>
      <c r="M196" s="14" t="str">
        <f>IFERROR(__xludf.DUMMYFUNCTION("IF(REGEXMATCH($B196,M$1),$D196,"""")"),"")</f>
        <v/>
      </c>
      <c r="N196" s="14" t="str">
        <f>IFERROR(__xludf.DUMMYFUNCTION("IF(REGEXMATCH($B196,N$1),$D196,"""")"),"")</f>
        <v/>
      </c>
      <c r="O196" s="14" t="str">
        <f>IFERROR(__xludf.DUMMYFUNCTION("IF(REGEXMATCH($B196,O$1),$D196,"""")"),"Animal Warrior")</f>
        <v>Animal Warrior</v>
      </c>
      <c r="P196" s="14" t="str">
        <f>IFERROR(__xludf.DUMMYFUNCTION("IF(REGEXMATCH($B196,P$1),$D196,"""")"),"")</f>
        <v/>
      </c>
      <c r="Q196" s="14">
        <f>IFERROR(__xludf.DUMMYFUNCTION("IF($A196="""","""",LEN(REGEXREPLACE($I196,"",\s?"","""")))"),1.0)</f>
        <v>1</v>
      </c>
      <c r="S196" s="14"/>
      <c r="T196" s="14"/>
      <c r="U196" s="14"/>
      <c r="V196" s="14"/>
      <c r="W196" s="14"/>
      <c r="X196" s="14"/>
      <c r="Y196" s="14"/>
      <c r="Z196" s="14"/>
      <c r="AA196" s="14"/>
      <c r="AB196" s="14"/>
    </row>
    <row r="197">
      <c r="A197" s="20" t="s">
        <v>1045</v>
      </c>
      <c r="B197" s="20" t="s">
        <v>14</v>
      </c>
      <c r="C197" s="19">
        <v>1.0</v>
      </c>
      <c r="D197" s="19" t="s">
        <v>141</v>
      </c>
      <c r="E197" s="20" t="s">
        <v>1046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Crystal|.*crystal.*bury""),""Empty-Crystal"","""")&amp;IF(REGEXMATCH($E197,""Move|move""),""Move"","""")"),"Unearth Copy ")</f>
        <v>Unearth Copy </v>
      </c>
      <c r="G197" s="21" t="s">
        <v>1047</v>
      </c>
      <c r="H197" s="19">
        <v>2.0</v>
      </c>
      <c r="I197" s="19" t="s">
        <v>1014</v>
      </c>
      <c r="J197" s="19" t="s">
        <v>69</v>
      </c>
      <c r="L197" s="14" t="str">
        <f>IFERROR(__xludf.DUMMYFUNCTION("IF(REGEXMATCH($B197,L$1),$D197,"""")"),"")</f>
        <v/>
      </c>
      <c r="M197" s="14" t="str">
        <f>IFERROR(__xludf.DUMMYFUNCTION("IF(REGEXMATCH($B197,M$1),$D197,"""")"),"")</f>
        <v/>
      </c>
      <c r="N197" s="14" t="str">
        <f>IFERROR(__xludf.DUMMYFUNCTION("IF(REGEXMATCH($B197,N$1),$D197,"""")"),"")</f>
        <v/>
      </c>
      <c r="O197" s="14" t="str">
        <f>IFERROR(__xludf.DUMMYFUNCTION("IF(REGEXMATCH($B197,O$1),$D197,"""")"),"Human Hunter")</f>
        <v>Human Hunter</v>
      </c>
      <c r="P197" s="14" t="str">
        <f>IFERROR(__xludf.DUMMYFUNCTION("IF(REGEXMATCH($B197,P$1),$D197,"""")"),"")</f>
        <v/>
      </c>
      <c r="Q197" s="14">
        <f>IFERROR(__xludf.DUMMYFUNCTION("IF($A197="""","""",LEN(REGEXREPLACE($I197,"",\s?"","""")))"),3.0)</f>
        <v>3</v>
      </c>
      <c r="S197" s="14"/>
      <c r="T197" s="14"/>
      <c r="U197" s="14"/>
      <c r="V197" s="14"/>
      <c r="W197" s="14"/>
      <c r="X197" s="14"/>
      <c r="Y197" s="14"/>
      <c r="Z197" s="14"/>
      <c r="AA197" s="14"/>
      <c r="AB197" s="14"/>
    </row>
    <row r="198">
      <c r="A198" s="10" t="s">
        <v>1048</v>
      </c>
      <c r="B198" s="10" t="s">
        <v>14</v>
      </c>
      <c r="C198" s="12">
        <v>1.0</v>
      </c>
      <c r="D198" s="12" t="s">
        <v>110</v>
      </c>
      <c r="E198" s="71" t="s">
        <v>1049</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Crystal|.*crystal.*bury""),""Empty-Crystal"","""")&amp;IF(REGEXMATCH($E198,""Move|move""),""Move"","""")"),"Human ")</f>
        <v>Human </v>
      </c>
      <c r="G198" s="84" t="s">
        <v>1050</v>
      </c>
      <c r="H198" s="12">
        <v>2.0</v>
      </c>
      <c r="I198" s="12" t="s">
        <v>912</v>
      </c>
      <c r="J198" s="12" t="s">
        <v>33</v>
      </c>
      <c r="L198" s="14" t="str">
        <f>IFERROR(__xludf.DUMMYFUNCTION("IF(REGEXMATCH($B198,L$1),$D198,"""")"),"")</f>
        <v/>
      </c>
      <c r="M198" s="14" t="str">
        <f>IFERROR(__xludf.DUMMYFUNCTION("IF(REGEXMATCH($B198,M$1),$D198,"""")"),"")</f>
        <v/>
      </c>
      <c r="N198" s="14" t="str">
        <f>IFERROR(__xludf.DUMMYFUNCTION("IF(REGEXMATCH($B198,N$1),$D198,"""")"),"")</f>
        <v/>
      </c>
      <c r="O198" s="14" t="str">
        <f>IFERROR(__xludf.DUMMYFUNCTION("IF(REGEXMATCH($B198,O$1),$D198,"""")"),"Animal")</f>
        <v>Animal</v>
      </c>
      <c r="P198" s="14" t="str">
        <f>IFERROR(__xludf.DUMMYFUNCTION("IF(REGEXMATCH($B198,P$1),$D198,"""")"),"")</f>
        <v/>
      </c>
      <c r="Q198" s="14">
        <f>IFERROR(__xludf.DUMMYFUNCTION("IF($A198="""","""",LEN(REGEXREPLACE($I198,"",\s?"","""")))"),3.0)</f>
        <v>3</v>
      </c>
      <c r="S198" s="14"/>
      <c r="T198" s="14"/>
      <c r="U198" s="14"/>
      <c r="V198" s="14"/>
      <c r="W198" s="14"/>
      <c r="X198" s="14"/>
      <c r="Y198" s="14"/>
      <c r="Z198" s="14"/>
      <c r="AA198" s="14"/>
      <c r="AB198" s="14"/>
    </row>
    <row r="199" hidden="1">
      <c r="A199" s="20" t="s">
        <v>1051</v>
      </c>
      <c r="B199" s="20" t="s">
        <v>14</v>
      </c>
      <c r="C199" s="19">
        <v>2.0</v>
      </c>
      <c r="D199" s="19" t="s">
        <v>1052</v>
      </c>
      <c r="E199" s="20" t="s">
        <v>1053</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f>
        <v/>
      </c>
      <c r="G199" s="21" t="s">
        <v>1054</v>
      </c>
      <c r="H199" s="19">
        <v>5.0</v>
      </c>
      <c r="I199" s="19" t="s">
        <v>308</v>
      </c>
      <c r="J199" s="19" t="s">
        <v>33</v>
      </c>
      <c r="L199" s="14" t="str">
        <f>IFERROR(__xludf.DUMMYFUNCTION("IF(REGEXMATCH($B199,L$1),$D199,"""")"),"")</f>
        <v/>
      </c>
      <c r="M199" s="14" t="str">
        <f>IFERROR(__xludf.DUMMYFUNCTION("IF(REGEXMATCH($B199,M$1),$D199,"""")"),"")</f>
        <v/>
      </c>
      <c r="N199" s="14" t="str">
        <f>IFERROR(__xludf.DUMMYFUNCTION("IF(REGEXMATCH($B199,N$1),$D199,"""")"),"")</f>
        <v/>
      </c>
      <c r="O199" s="14" t="str">
        <f>IFERROR(__xludf.DUMMYFUNCTION("IF(REGEXMATCH($B199,O$1),$D199,"""")"),"Construct Hunter")</f>
        <v>Construct Hunter</v>
      </c>
      <c r="P199" s="14" t="str">
        <f>IFERROR(__xludf.DUMMYFUNCTION("IF(REGEXMATCH($B199,P$1),$D199,"""")"),"")</f>
        <v/>
      </c>
      <c r="Q199" s="14">
        <f>IFERROR(__xludf.DUMMYFUNCTION("IF($A199="""","""",LEN(REGEXREPLACE($I199,"",\s?"","""")))"),5.0)</f>
        <v>5</v>
      </c>
      <c r="S199" s="14"/>
      <c r="T199" s="14"/>
      <c r="U199" s="14"/>
      <c r="V199" s="14"/>
      <c r="W199" s="14"/>
      <c r="X199" s="14"/>
      <c r="Y199" s="14"/>
      <c r="Z199" s="14"/>
      <c r="AA199" s="14"/>
      <c r="AB199" s="14"/>
    </row>
    <row r="200" hidden="1">
      <c r="A200" s="43" t="s">
        <v>1055</v>
      </c>
      <c r="B200" s="55" t="s">
        <v>1056</v>
      </c>
      <c r="C200" s="54">
        <v>2.0</v>
      </c>
      <c r="D200" s="54" t="s">
        <v>1057</v>
      </c>
      <c r="E200" s="55" t="s">
        <v>1058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f>
        <v/>
      </c>
      <c r="G200" s="56" t="s">
        <v>31</v>
      </c>
      <c r="H200" s="57">
        <v>7.0</v>
      </c>
      <c r="I200" s="54" t="s">
        <v>1059</v>
      </c>
      <c r="J200" s="57" t="s">
        <v>69</v>
      </c>
      <c r="L200" s="14" t="str">
        <f>IFERROR(__xludf.DUMMYFUNCTION("IF(REGEXMATCH($B200,L$1),$D200,"""")"),"")</f>
        <v/>
      </c>
      <c r="M200" s="14" t="str">
        <f>IFERROR(__xludf.DUMMYFUNCTION("IF(REGEXMATCH($B200,M$1),$D200,"""")"),"Insect Warrior")</f>
        <v>Insect Warrior</v>
      </c>
      <c r="N200" s="14" t="str">
        <f>IFERROR(__xludf.DUMMYFUNCTION("IF(REGEXMATCH($B200,N$1),$D200,"""")"),"")</f>
        <v/>
      </c>
      <c r="O200" s="14" t="str">
        <f>IFERROR(__xludf.DUMMYFUNCTION("IF(REGEXMATCH($B200,O$1),$D200,"""")"),"Insect Warrior")</f>
        <v>Insect Warrior</v>
      </c>
      <c r="P200" s="14" t="str">
        <f>IFERROR(__xludf.DUMMYFUNCTION("IF(REGEXMATCH($B200,P$1),$D200,"""")"),"")</f>
        <v/>
      </c>
      <c r="Q200" s="14">
        <f>IFERROR(__xludf.DUMMYFUNCTION("IF($A200="""","""",LEN(REGEXREPLACE($I200,"",\s?"","""")))"),6.0)</f>
        <v>6</v>
      </c>
      <c r="S200" s="14"/>
      <c r="T200" s="14"/>
      <c r="U200" s="14"/>
      <c r="V200" s="14"/>
      <c r="W200" s="14"/>
      <c r="X200" s="14"/>
      <c r="Y200" s="14"/>
      <c r="Z200" s="14"/>
      <c r="AA200" s="14"/>
      <c r="AB200" s="14"/>
    </row>
    <row r="201">
      <c r="A201" s="10" t="s">
        <v>1060</v>
      </c>
      <c r="B201" s="10" t="s">
        <v>1056</v>
      </c>
      <c r="C201" s="12">
        <v>1.0</v>
      </c>
      <c r="D201" s="12" t="s">
        <v>1061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3" t="s">
        <v>1062</v>
      </c>
      <c r="H201" s="12">
        <v>2.0</v>
      </c>
      <c r="I201" s="12" t="s">
        <v>1063</v>
      </c>
      <c r="J201" s="12" t="s">
        <v>33</v>
      </c>
      <c r="L201" s="14" t="str">
        <f>IFERROR(__xludf.DUMMYFUNCTION("IF(REGEXMATCH($B201,L$1),$D201,"""")"),"")</f>
        <v/>
      </c>
      <c r="M201" s="14" t="str">
        <f>IFERROR(__xludf.DUMMYFUNCTION("IF(REGEXMATCH($B201,M$1),$D201,"""")"),"Bannerbearer Human Hunter")</f>
        <v>Bannerbearer Human Hunter</v>
      </c>
      <c r="N201" s="14" t="str">
        <f>IFERROR(__xludf.DUMMYFUNCTION("IF(REGEXMATCH($B201,N$1),$D201,"""")"),"")</f>
        <v/>
      </c>
      <c r="O201" s="14" t="str">
        <f>IFERROR(__xludf.DUMMYFUNCTION("IF(REGEXMATCH($B201,O$1),$D201,"""")"),"Bannerbearer Human Hunter")</f>
        <v>Bannerbearer Human Hunter</v>
      </c>
      <c r="P201" s="14" t="str">
        <f>IFERROR(__xludf.DUMMYFUNCTION("IF(REGEXMATCH($B201,P$1),$D201,"""")"),"")</f>
        <v/>
      </c>
      <c r="Q201" s="14">
        <f>IFERROR(__xludf.DUMMYFUNCTION("IF($A201="""","""",LEN(REGEXREPLACE($I201,"",\s?"","""")))"),2.0)</f>
        <v>2</v>
      </c>
      <c r="S201" s="14"/>
      <c r="T201" s="14"/>
      <c r="U201" s="14"/>
      <c r="V201" s="14"/>
      <c r="W201" s="14"/>
      <c r="X201" s="14"/>
      <c r="Y201" s="14"/>
      <c r="Z201" s="14"/>
      <c r="AA201" s="14"/>
      <c r="AB201" s="14"/>
    </row>
    <row r="202" hidden="1">
      <c r="A202" s="10" t="s">
        <v>1064</v>
      </c>
      <c r="B202" s="10" t="s">
        <v>1056</v>
      </c>
      <c r="C202" s="12">
        <v>2.0</v>
      </c>
      <c r="D202" s="12" t="s">
        <v>411</v>
      </c>
      <c r="E202" s="20" t="s">
        <v>1065</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Crystal|.*crystal.*bury""),""Empty-Crystal"","""")&amp;IF(REGEXMATCH($E202,""Move|move""),""Move"","""")"),"Ramp Copy ")</f>
        <v>Ramp Copy </v>
      </c>
      <c r="G202" s="21" t="s">
        <v>1066</v>
      </c>
      <c r="H202" s="12">
        <v>3.0</v>
      </c>
      <c r="I202" s="12" t="s">
        <v>1067</v>
      </c>
      <c r="J202" s="12" t="s">
        <v>69</v>
      </c>
      <c r="L202" s="14" t="str">
        <f>IFERROR(__xludf.DUMMYFUNCTION("IF(REGEXMATCH($B202,L$1),$D202,"""")"),"")</f>
        <v/>
      </c>
      <c r="M202" s="14" t="str">
        <f>IFERROR(__xludf.DUMMYFUNCTION("IF(REGEXMATCH($B202,M$1),$D202,"""")"),"Spirit")</f>
        <v>Spirit</v>
      </c>
      <c r="N202" s="14" t="str">
        <f>IFERROR(__xludf.DUMMYFUNCTION("IF(REGEXMATCH($B202,N$1),$D202,"""")"),"")</f>
        <v/>
      </c>
      <c r="O202" s="14" t="str">
        <f>IFERROR(__xludf.DUMMYFUNCTION("IF(REGEXMATCH($B202,O$1),$D202,"""")"),"Spirit")</f>
        <v>Spirit</v>
      </c>
      <c r="P202" s="14" t="str">
        <f>IFERROR(__xludf.DUMMYFUNCTION("IF(REGEXMATCH($B202,P$1),$D202,"""")"),"")</f>
        <v/>
      </c>
      <c r="Q202" s="14">
        <f>IFERROR(__xludf.DUMMYFUNCTION("IF($A202="""","""",LEN(REGEXREPLACE($I202,"",\s?"","""")))"),4.0)</f>
        <v>4</v>
      </c>
      <c r="S202" s="14"/>
      <c r="T202" s="14"/>
      <c r="U202" s="14"/>
      <c r="V202" s="14"/>
      <c r="W202" s="14"/>
      <c r="X202" s="14"/>
      <c r="Y202" s="14"/>
      <c r="Z202" s="14"/>
      <c r="AA202" s="14"/>
      <c r="AB202" s="14"/>
    </row>
    <row r="203">
      <c r="A203" s="25" t="s">
        <v>1068</v>
      </c>
      <c r="B203" s="10" t="s">
        <v>1056</v>
      </c>
      <c r="C203" s="12">
        <v>1.0</v>
      </c>
      <c r="D203" s="12" t="s">
        <v>1069</v>
      </c>
      <c r="E203" s="10" t="s">
        <v>1070</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f>
        <v/>
      </c>
      <c r="G203" s="13" t="s">
        <v>1071</v>
      </c>
      <c r="H203" s="12">
        <v>3.0</v>
      </c>
      <c r="I203" s="12" t="s">
        <v>1072</v>
      </c>
      <c r="J203" s="12" t="s">
        <v>39</v>
      </c>
      <c r="L203" s="14" t="str">
        <f>IFERROR(__xludf.DUMMYFUNCTION("IF(REGEXMATCH($B203,L$1),$D203,"""")"),"")</f>
        <v/>
      </c>
      <c r="M203" s="14" t="str">
        <f>IFERROR(__xludf.DUMMYFUNCTION("IF(REGEXMATCH($B203,M$1),$D203,"""")"),"Animal Dragon")</f>
        <v>Animal Dragon</v>
      </c>
      <c r="N203" s="14" t="str">
        <f>IFERROR(__xludf.DUMMYFUNCTION("IF(REGEXMATCH($B203,N$1),$D203,"""")"),"")</f>
        <v/>
      </c>
      <c r="O203" s="14" t="str">
        <f>IFERROR(__xludf.DUMMYFUNCTION("IF(REGEXMATCH($B203,O$1),$D203,"""")"),"Animal Dragon")</f>
        <v>Animal Dragon</v>
      </c>
      <c r="P203" s="14" t="str">
        <f>IFERROR(__xludf.DUMMYFUNCTION("IF(REGEXMATCH($B203,P$1),$D203,"""")"),"")</f>
        <v/>
      </c>
      <c r="Q203" s="14">
        <f>IFERROR(__xludf.DUMMYFUNCTION("IF($A203="""","""",LEN(REGEXREPLACE($I203,"",\s?"","""")))"),7.0)</f>
        <v>7</v>
      </c>
      <c r="S203" s="14"/>
      <c r="T203" s="14"/>
      <c r="U203" s="14"/>
      <c r="V203" s="14"/>
      <c r="W203" s="14"/>
      <c r="X203" s="14"/>
      <c r="Y203" s="14"/>
      <c r="Z203" s="14"/>
      <c r="AA203" s="14"/>
      <c r="AB203" s="14"/>
    </row>
    <row r="204" hidden="1">
      <c r="A204" s="20" t="s">
        <v>1073</v>
      </c>
      <c r="B204" s="20" t="s">
        <v>1056</v>
      </c>
      <c r="C204" s="19">
        <v>2.0</v>
      </c>
      <c r="D204" s="19" t="s">
        <v>221</v>
      </c>
      <c r="E204" s="20" t="s">
        <v>1074</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Crystal|.*crystal.*bury""),""Empty-Crystal"","""")&amp;IF(REGEXMATCH($E204,""Move|move""),""Move"","""")"),"Ramp ")</f>
        <v>Ramp </v>
      </c>
      <c r="G204" s="21" t="s">
        <v>155</v>
      </c>
      <c r="H204" s="19">
        <v>2.0</v>
      </c>
      <c r="I204" s="19" t="s">
        <v>1075</v>
      </c>
      <c r="J204" s="19" t="s">
        <v>69</v>
      </c>
      <c r="L204" s="14" t="str">
        <f>IFERROR(__xludf.DUMMYFUNCTION("IF(REGEXMATCH($B204,L$1),$D204,"""")"),"")</f>
        <v/>
      </c>
      <c r="M204" s="14" t="str">
        <f>IFERROR(__xludf.DUMMYFUNCTION("IF(REGEXMATCH($B204,M$1),$D204,"""")"),"Animal Spirit")</f>
        <v>Animal Spirit</v>
      </c>
      <c r="N204" s="14" t="str">
        <f>IFERROR(__xludf.DUMMYFUNCTION("IF(REGEXMATCH($B204,N$1),$D204,"""")"),"")</f>
        <v/>
      </c>
      <c r="O204" s="14" t="str">
        <f>IFERROR(__xludf.DUMMYFUNCTION("IF(REGEXMATCH($B204,O$1),$D204,"""")"),"Animal Spirit")</f>
        <v>Animal Spirit</v>
      </c>
      <c r="P204" s="14" t="str">
        <f>IFERROR(__xludf.DUMMYFUNCTION("IF(REGEXMATCH($B204,P$1),$D204,"""")"),"")</f>
        <v/>
      </c>
      <c r="Q204" s="14">
        <f>IFERROR(__xludf.DUMMYFUNCTION("IF($A204="""","""",LEN(REGEXREPLACE($I204,"",\s?"","""")))"),3.0)</f>
        <v>3</v>
      </c>
      <c r="S204" s="14"/>
      <c r="T204" s="14"/>
      <c r="U204" s="14"/>
      <c r="V204" s="14"/>
      <c r="W204" s="14"/>
      <c r="X204" s="14"/>
      <c r="Y204" s="14"/>
      <c r="Z204" s="14"/>
      <c r="AA204" s="14"/>
      <c r="AB204" s="14"/>
    </row>
    <row r="205" hidden="1">
      <c r="A205" s="20" t="s">
        <v>1076</v>
      </c>
      <c r="B205" s="20" t="s">
        <v>1056</v>
      </c>
      <c r="C205" s="19">
        <v>2.0</v>
      </c>
      <c r="D205" s="19" t="s">
        <v>1077</v>
      </c>
      <c r="E205" s="20" t="s">
        <v>1078</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f>
        <v/>
      </c>
      <c r="G205" s="60"/>
      <c r="H205" s="19">
        <v>3.0</v>
      </c>
      <c r="I205" s="19" t="s">
        <v>1067</v>
      </c>
      <c r="J205" s="19" t="s">
        <v>69</v>
      </c>
      <c r="L205" s="14" t="str">
        <f>IFERROR(__xludf.DUMMYFUNCTION("IF(REGEXMATCH($B205,L$1),$D205,"""")"),"")</f>
        <v/>
      </c>
      <c r="M205" s="14" t="str">
        <f>IFERROR(__xludf.DUMMYFUNCTION("IF(REGEXMATCH($B205,M$1),$D205,"""")"),"Plant")</f>
        <v>Plant</v>
      </c>
      <c r="N205" s="14" t="str">
        <f>IFERROR(__xludf.DUMMYFUNCTION("IF(REGEXMATCH($B205,N$1),$D205,"""")"),"")</f>
        <v/>
      </c>
      <c r="O205" s="14" t="str">
        <f>IFERROR(__xludf.DUMMYFUNCTION("IF(REGEXMATCH($B205,O$1),$D205,"""")"),"Plant")</f>
        <v>Plant</v>
      </c>
      <c r="P205" s="14" t="str">
        <f>IFERROR(__xludf.DUMMYFUNCTION("IF(REGEXMATCH($B205,P$1),$D205,"""")"),"")</f>
        <v/>
      </c>
      <c r="Q205" s="14">
        <f>IFERROR(__xludf.DUMMYFUNCTION("IF($A205="""","""",LEN(REGEXREPLACE($I205,"",\s?"","""")))"),4.0)</f>
        <v>4</v>
      </c>
      <c r="S205" s="14"/>
      <c r="T205" s="14"/>
      <c r="U205" s="14"/>
      <c r="V205" s="14"/>
      <c r="W205" s="14"/>
      <c r="X205" s="14"/>
      <c r="Y205" s="14"/>
      <c r="Z205" s="14"/>
      <c r="AA205" s="14"/>
      <c r="AB205" s="14"/>
    </row>
    <row r="206">
      <c r="A206" s="10" t="s">
        <v>1079</v>
      </c>
      <c r="B206" s="10" t="s">
        <v>1056</v>
      </c>
      <c r="C206" s="12">
        <v>1.0</v>
      </c>
      <c r="D206" s="12" t="s">
        <v>902</v>
      </c>
      <c r="E206" s="10" t="s">
        <v>1080</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Crystal|.*crystal.*bury""),""Empty-Crystal"","""")&amp;IF(REGEXMATCH($E206,""Move|move""),""Move"","""")"),"Mortal ")</f>
        <v>Mortal </v>
      </c>
      <c r="G206" s="13" t="s">
        <v>1081</v>
      </c>
      <c r="H206" s="12">
        <v>3.0</v>
      </c>
      <c r="I206" s="12" t="s">
        <v>1082</v>
      </c>
      <c r="J206" s="12" t="s">
        <v>69</v>
      </c>
      <c r="L206" s="14" t="str">
        <f>IFERROR(__xludf.DUMMYFUNCTION("IF(REGEXMATCH($B206,L$1),$D206,"""")"),"")</f>
        <v/>
      </c>
      <c r="M206" s="14" t="str">
        <f>IFERROR(__xludf.DUMMYFUNCTION("IF(REGEXMATCH($B206,M$1),$D206,"""")"),"Animal Warrior")</f>
        <v>Animal Warrior</v>
      </c>
      <c r="N206" s="14" t="str">
        <f>IFERROR(__xludf.DUMMYFUNCTION("IF(REGEXMATCH($B206,N$1),$D206,"""")"),"")</f>
        <v/>
      </c>
      <c r="O206" s="14" t="str">
        <f>IFERROR(__xludf.DUMMYFUNCTION("IF(REGEXMATCH($B206,O$1),$D206,"""")"),"Animal Warrior")</f>
        <v>Animal Warrior</v>
      </c>
      <c r="P206" s="14" t="str">
        <f>IFERROR(__xludf.DUMMYFUNCTION("IF(REGEXMATCH($B206,P$1),$D206,"""")"),"")</f>
        <v/>
      </c>
      <c r="Q206" s="14">
        <f>IFERROR(__xludf.DUMMYFUNCTION("IF($A206="""","""",LEN(REGEXREPLACE($I206,"",\s?"","""")))"),4.0)</f>
        <v>4</v>
      </c>
      <c r="S206" s="14"/>
      <c r="T206" s="14"/>
      <c r="U206" s="14"/>
      <c r="V206" s="14"/>
      <c r="W206" s="14"/>
      <c r="X206" s="14"/>
      <c r="Y206" s="14"/>
      <c r="Z206" s="14"/>
      <c r="AA206" s="14"/>
      <c r="AB206" s="14"/>
    </row>
    <row r="207" hidden="1">
      <c r="A207" s="10" t="s">
        <v>1083</v>
      </c>
      <c r="B207" s="10" t="s">
        <v>1056</v>
      </c>
      <c r="C207" s="12">
        <v>2.0</v>
      </c>
      <c r="D207" s="12" t="s">
        <v>474</v>
      </c>
      <c r="E207" s="10" t="s">
        <v>1084</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Crystal|.*crystal.*bury""),""Empty-Crystal"","""")&amp;IF(REGEXMATCH($E207,""Move|move""),""Move"","""")"),"Animal ")</f>
        <v>Animal </v>
      </c>
      <c r="G207" s="13" t="s">
        <v>1085</v>
      </c>
      <c r="H207" s="12">
        <v>3.0</v>
      </c>
      <c r="I207" s="12" t="s">
        <v>1067</v>
      </c>
      <c r="J207" s="12" t="s">
        <v>69</v>
      </c>
      <c r="L207" s="14" t="str">
        <f>IFERROR(__xludf.DUMMYFUNCTION("IF(REGEXMATCH($B207,L$1),$D207,"""")"),"")</f>
        <v/>
      </c>
      <c r="M207" s="14" t="str">
        <f>IFERROR(__xludf.DUMMYFUNCTION("IF(REGEXMATCH($B207,M$1),$D207,"""")"),"Human Warrior")</f>
        <v>Human Warrior</v>
      </c>
      <c r="N207" s="14" t="str">
        <f>IFERROR(__xludf.DUMMYFUNCTION("IF(REGEXMATCH($B207,N$1),$D207,"""")"),"")</f>
        <v/>
      </c>
      <c r="O207" s="14" t="str">
        <f>IFERROR(__xludf.DUMMYFUNCTION("IF(REGEXMATCH($B207,O$1),$D207,"""")"),"Human Warrior")</f>
        <v>Human Warrior</v>
      </c>
      <c r="P207" s="14" t="str">
        <f>IFERROR(__xludf.DUMMYFUNCTION("IF(REGEXMATCH($B207,P$1),$D207,"""")"),"")</f>
        <v/>
      </c>
      <c r="Q207" s="14">
        <f>IFERROR(__xludf.DUMMYFUNCTION("IF($A207="""","""",LEN(REGEXREPLACE($I207,"",\s?"","""")))"),4.0)</f>
        <v>4</v>
      </c>
      <c r="S207" s="14"/>
      <c r="T207" s="14"/>
      <c r="U207" s="14"/>
      <c r="V207" s="14"/>
      <c r="W207" s="14"/>
      <c r="X207" s="14"/>
      <c r="Y207" s="14"/>
      <c r="Z207" s="14"/>
      <c r="AA207" s="14"/>
      <c r="AB207" s="14"/>
    </row>
    <row r="208">
      <c r="A208" s="10" t="s">
        <v>1086</v>
      </c>
      <c r="B208" s="10" t="s">
        <v>1087</v>
      </c>
      <c r="C208" s="12">
        <v>1.0</v>
      </c>
      <c r="D208" s="33" t="s">
        <v>1088</v>
      </c>
      <c r="E208" s="70" t="s">
        <v>1089</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Crystal|.*crystal.*bury""),""Empty-Crystal"","""")&amp;IF(REGEXMATCH($E208,""Move|move""),""Move"","""")"),"Mortal Control Empty-Crystal")</f>
        <v>Mortal Control Empty-Crystal</v>
      </c>
      <c r="G208" s="13" t="s">
        <v>1090</v>
      </c>
      <c r="H208" s="12">
        <v>1.0</v>
      </c>
      <c r="I208" s="12" t="s">
        <v>1091</v>
      </c>
      <c r="J208" s="12" t="s">
        <v>69</v>
      </c>
      <c r="L208" s="14" t="str">
        <f>IFERROR(__xludf.DUMMYFUNCTION("IF(REGEXMATCH($B208,L$1),$D208,"""")"),"")</f>
        <v/>
      </c>
      <c r="M208" s="14" t="str">
        <f>IFERROR(__xludf.DUMMYFUNCTION("IF(REGEXMATCH($B208,M$1),$D208,"""")"),"")</f>
        <v/>
      </c>
      <c r="N208" s="14" t="str">
        <f>IFERROR(__xludf.DUMMYFUNCTION("IF(REGEXMATCH($B208,N$1),$D208,"""")"),"Angel Undead")</f>
        <v>Angel Undead</v>
      </c>
      <c r="O208" s="14" t="str">
        <f>IFERROR(__xludf.DUMMYFUNCTION("IF(REGEXMATCH($B208,O$1),$D208,"""")"),"Angel Undead")</f>
        <v>Angel Undead</v>
      </c>
      <c r="P208" s="14" t="str">
        <f>IFERROR(__xludf.DUMMYFUNCTION("IF(REGEXMATCH($B208,P$1),$D208,"""")"),"")</f>
        <v/>
      </c>
      <c r="Q208" s="14">
        <f>IFERROR(__xludf.DUMMYFUNCTION("IF($A208="""","""",LEN(REGEXREPLACE($I208,"",\s?"","""")))"),4.0)</f>
        <v>4</v>
      </c>
      <c r="S208" s="14"/>
      <c r="T208" s="14"/>
      <c r="U208" s="14"/>
      <c r="V208" s="14"/>
      <c r="W208" s="14"/>
      <c r="X208" s="14"/>
      <c r="Y208" s="14"/>
      <c r="Z208" s="14"/>
      <c r="AA208" s="14"/>
      <c r="AB208" s="14"/>
    </row>
    <row r="209" hidden="1">
      <c r="A209" s="10" t="s">
        <v>1092</v>
      </c>
      <c r="B209" s="10" t="s">
        <v>1087</v>
      </c>
      <c r="C209" s="12">
        <v>2.0</v>
      </c>
      <c r="D209" s="12" t="s">
        <v>44</v>
      </c>
      <c r="E209" s="70" t="s">
        <v>1093</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Crystal|.*crystal.*bury""),""Empty-Crystal"","""")&amp;IF(REGEXMATCH($E209,""Move|move""),""Move"","""")"),"Unearth Control ")</f>
        <v>Unearth Control </v>
      </c>
      <c r="G209" s="13" t="s">
        <v>725</v>
      </c>
      <c r="H209" s="12">
        <v>3.0</v>
      </c>
      <c r="I209" s="12" t="s">
        <v>1094</v>
      </c>
      <c r="J209" s="12" t="s">
        <v>69</v>
      </c>
      <c r="L209" s="14" t="str">
        <f>IFERROR(__xludf.DUMMYFUNCTION("IF(REGEXMATCH($B209,L$1),$D209,"""")"),"")</f>
        <v/>
      </c>
      <c r="M209" s="14" t="str">
        <f>IFERROR(__xludf.DUMMYFUNCTION("IF(REGEXMATCH($B209,M$1),$D209,"""")"),"")</f>
        <v/>
      </c>
      <c r="N209" s="14" t="str">
        <f>IFERROR(__xludf.DUMMYFUNCTION("IF(REGEXMATCH($B209,N$1),$D209,"""")"),"Human")</f>
        <v>Human</v>
      </c>
      <c r="O209" s="14" t="str">
        <f>IFERROR(__xludf.DUMMYFUNCTION("IF(REGEXMATCH($B209,O$1),$D209,"""")"),"Human")</f>
        <v>Human</v>
      </c>
      <c r="P209" s="14" t="str">
        <f>IFERROR(__xludf.DUMMYFUNCTION("IF(REGEXMATCH($B209,P$1),$D209,"""")"),"")</f>
        <v/>
      </c>
      <c r="Q209" s="14">
        <f>IFERROR(__xludf.DUMMYFUNCTION("IF($A209="""","""",LEN(REGEXREPLACE($I209,"",\s?"","""")))"),4.0)</f>
        <v>4</v>
      </c>
      <c r="S209" s="14"/>
      <c r="T209" s="14"/>
      <c r="U209" s="14"/>
      <c r="V209" s="14"/>
      <c r="W209" s="14"/>
      <c r="X209" s="14"/>
      <c r="Y209" s="14"/>
      <c r="Z209" s="14"/>
      <c r="AA209" s="14"/>
      <c r="AB209" s="14"/>
    </row>
    <row r="210">
      <c r="A210" s="10" t="s">
        <v>1095</v>
      </c>
      <c r="B210" s="10" t="s">
        <v>1087</v>
      </c>
      <c r="C210" s="12">
        <v>1.0</v>
      </c>
      <c r="D210" s="12" t="s">
        <v>1096</v>
      </c>
      <c r="E210" s="10"/>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f>
        <v/>
      </c>
      <c r="G210" s="13" t="s">
        <v>1097</v>
      </c>
      <c r="H210" s="12">
        <v>2.0</v>
      </c>
      <c r="I210" s="12" t="s">
        <v>1098</v>
      </c>
      <c r="J210" s="12" t="s">
        <v>33</v>
      </c>
      <c r="L210" s="14" t="str">
        <f>IFERROR(__xludf.DUMMYFUNCTION("IF(REGEXMATCH($B210,L$1),$D210,"""")"),"")</f>
        <v/>
      </c>
      <c r="M210" s="14" t="str">
        <f>IFERROR(__xludf.DUMMYFUNCTION("IF(REGEXMATCH($B210,M$1),$D210,"""")"),"")</f>
        <v/>
      </c>
      <c r="N210" s="14" t="str">
        <f>IFERROR(__xludf.DUMMYFUNCTION("IF(REGEXMATCH($B210,N$1),$D210,"""")"),"Bannerbearer Human Undead")</f>
        <v>Bannerbearer Human Undead</v>
      </c>
      <c r="O210" s="14" t="str">
        <f>IFERROR(__xludf.DUMMYFUNCTION("IF(REGEXMATCH($B210,O$1),$D210,"""")"),"Bannerbearer Human Undead")</f>
        <v>Bannerbearer Human Undead</v>
      </c>
      <c r="P210" s="14" t="str">
        <f>IFERROR(__xludf.DUMMYFUNCTION("IF(REGEXMATCH($B210,P$1),$D210,"""")"),"")</f>
        <v/>
      </c>
      <c r="Q210" s="14">
        <f>IFERROR(__xludf.DUMMYFUNCTION("IF($A210="""","""",LEN(REGEXREPLACE($I210,"",\s?"","""")))"),2.0)</f>
        <v>2</v>
      </c>
      <c r="S210" s="14"/>
      <c r="T210" s="14"/>
      <c r="U210" s="14"/>
      <c r="V210" s="14"/>
      <c r="W210" s="14"/>
      <c r="X210" s="14"/>
      <c r="Y210" s="14"/>
      <c r="Z210" s="14"/>
      <c r="AA210" s="14"/>
      <c r="AB210" s="14"/>
    </row>
    <row r="211" hidden="1">
      <c r="A211" s="20" t="s">
        <v>1099</v>
      </c>
      <c r="B211" s="20" t="s">
        <v>1087</v>
      </c>
      <c r="C211" s="19">
        <v>2.0</v>
      </c>
      <c r="D211" s="19" t="s">
        <v>1100</v>
      </c>
      <c r="E211" s="20" t="s">
        <v>1101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Crystal|.*crystal.*bury""),""Empty-Crystal"","""")&amp;IF(REGEXMATCH($E211,""Move|move""),""Move"","""")"),"Unearth ")</f>
        <v>Unearth </v>
      </c>
      <c r="G211" s="21" t="s">
        <v>725</v>
      </c>
      <c r="H211" s="19">
        <v>3.0</v>
      </c>
      <c r="I211" s="19" t="s">
        <v>1102</v>
      </c>
      <c r="J211" s="12" t="s">
        <v>69</v>
      </c>
      <c r="L211" s="14" t="str">
        <f>IFERROR(__xludf.DUMMYFUNCTION("IF(REGEXMATCH($B211,L$1),$D211,"""")"),"")</f>
        <v/>
      </c>
      <c r="M211" s="14" t="str">
        <f>IFERROR(__xludf.DUMMYFUNCTION("IF(REGEXMATCH($B211,M$1),$D211,"""")"),"")</f>
        <v/>
      </c>
      <c r="N211" s="14" t="str">
        <f>IFERROR(__xludf.DUMMYFUNCTION("IF(REGEXMATCH($B211,N$1),$D211,"""")"),"Demon Wizard")</f>
        <v>Demon Wizard</v>
      </c>
      <c r="O211" s="14" t="str">
        <f>IFERROR(__xludf.DUMMYFUNCTION("IF(REGEXMATCH($B211,O$1),$D211,"""")"),"Demon Wizard")</f>
        <v>Demon Wizard</v>
      </c>
      <c r="P211" s="14" t="str">
        <f>IFERROR(__xludf.DUMMYFUNCTION("IF(REGEXMATCH($B211,P$1),$D211,"""")"),"")</f>
        <v/>
      </c>
      <c r="Q211" s="14">
        <f>IFERROR(__xludf.DUMMYFUNCTION("IF($A211="""","""",LEN(REGEXREPLACE($I211,"",\s?"","""")))"),3.0)</f>
        <v>3</v>
      </c>
      <c r="S211" s="14"/>
      <c r="T211" s="14"/>
      <c r="U211" s="14"/>
      <c r="V211" s="14"/>
      <c r="W211" s="14"/>
      <c r="X211" s="14"/>
      <c r="Y211" s="14"/>
      <c r="Z211" s="14"/>
      <c r="AA211" s="14"/>
      <c r="AB211" s="14"/>
    </row>
    <row r="212">
      <c r="A212" s="10" t="s">
        <v>1103</v>
      </c>
      <c r="B212" s="10" t="s">
        <v>1087</v>
      </c>
      <c r="C212" s="12">
        <v>1.0</v>
      </c>
      <c r="D212" s="33" t="s">
        <v>1100</v>
      </c>
      <c r="E212" s="10" t="s">
        <v>1104</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Crystal|.*crystal.*bury""),""Empty-Crystal"","""")&amp;IF(REGEXMATCH($E212,""Move|move""),""Move"","""")"),"Undead Spirit ")</f>
        <v>Undead Spirit </v>
      </c>
      <c r="G212" s="13" t="s">
        <v>1105</v>
      </c>
      <c r="H212" s="12">
        <v>2.0</v>
      </c>
      <c r="I212" s="12" t="s">
        <v>1106</v>
      </c>
      <c r="J212" s="12" t="s">
        <v>39</v>
      </c>
      <c r="L212" s="14" t="str">
        <f>IFERROR(__xludf.DUMMYFUNCTION("IF(REGEXMATCH($B212,L$1),$D212,"""")"),"")</f>
        <v/>
      </c>
      <c r="M212" s="14" t="str">
        <f>IFERROR(__xludf.DUMMYFUNCTION("IF(REGEXMATCH($B212,M$1),$D212,"""")"),"")</f>
        <v/>
      </c>
      <c r="N212" s="14" t="str">
        <f>IFERROR(__xludf.DUMMYFUNCTION("IF(REGEXMATCH($B212,N$1),$D212,"""")"),"Demon Wizard")</f>
        <v>Demon Wizard</v>
      </c>
      <c r="O212" s="14" t="str">
        <f>IFERROR(__xludf.DUMMYFUNCTION("IF(REGEXMATCH($B212,O$1),$D212,"""")"),"Demon Wizard")</f>
        <v>Demon Wizard</v>
      </c>
      <c r="P212" s="14" t="str">
        <f>IFERROR(__xludf.DUMMYFUNCTION("IF(REGEXMATCH($B212,P$1),$D212,"""")"),"")</f>
        <v/>
      </c>
      <c r="Q212" s="14">
        <f>IFERROR(__xludf.DUMMYFUNCTION("IF($A212="""","""",LEN(REGEXREPLACE($I212,"",\s?"","""")))"),5.0)</f>
        <v>5</v>
      </c>
      <c r="S212" s="14"/>
      <c r="T212" s="14"/>
      <c r="U212" s="14"/>
      <c r="V212" s="14"/>
      <c r="W212" s="14"/>
      <c r="X212" s="14"/>
      <c r="Y212" s="14"/>
      <c r="Z212" s="14"/>
      <c r="AA212" s="14"/>
      <c r="AB212" s="14"/>
    </row>
    <row r="213" hidden="1">
      <c r="A213" s="25" t="s">
        <v>1107</v>
      </c>
      <c r="B213" s="10" t="s">
        <v>1087</v>
      </c>
      <c r="C213" s="12">
        <v>2.0</v>
      </c>
      <c r="D213" s="12" t="s">
        <v>1108</v>
      </c>
      <c r="E213" s="70" t="s">
        <v>1109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Crystal|.*crystal.*bury""),""Empty-Crystal"","""")&amp;IF(REGEXMATCH($E213,""Move|move""),""Move"","""")"),"Void Control ")</f>
        <v>Void Control </v>
      </c>
      <c r="G213" s="13" t="s">
        <v>1110</v>
      </c>
      <c r="H213" s="12">
        <v>2.0</v>
      </c>
      <c r="I213" s="33" t="s">
        <v>1094</v>
      </c>
      <c r="J213" s="12" t="s">
        <v>69</v>
      </c>
      <c r="L213" s="14" t="str">
        <f>IFERROR(__xludf.DUMMYFUNCTION("IF(REGEXMATCH($B213,L$1),$D213,"""")"),"")</f>
        <v/>
      </c>
      <c r="M213" s="14" t="str">
        <f>IFERROR(__xludf.DUMMYFUNCTION("IF(REGEXMATCH($B213,M$1),$D213,"""")"),"")</f>
        <v/>
      </c>
      <c r="N213" s="14" t="str">
        <f>IFERROR(__xludf.DUMMYFUNCTION("IF(REGEXMATCH($B213,N$1),$D213,"""")"),"Human Undead")</f>
        <v>Human Undead</v>
      </c>
      <c r="O213" s="14" t="str">
        <f>IFERROR(__xludf.DUMMYFUNCTION("IF(REGEXMATCH($B213,O$1),$D213,"""")"),"Human Undead")</f>
        <v>Human Undead</v>
      </c>
      <c r="P213" s="14" t="str">
        <f>IFERROR(__xludf.DUMMYFUNCTION("IF(REGEXMATCH($B213,P$1),$D213,"""")"),"")</f>
        <v/>
      </c>
      <c r="Q213" s="14">
        <f>IFERROR(__xludf.DUMMYFUNCTION("IF($A213="""","""",LEN(REGEXREPLACE($I213,"",\s?"","""")))"),4.0)</f>
        <v>4</v>
      </c>
      <c r="S213" s="14"/>
      <c r="T213" s="14"/>
      <c r="U213" s="14"/>
      <c r="V213" s="14"/>
      <c r="W213" s="14"/>
      <c r="X213" s="14"/>
      <c r="Y213" s="14"/>
      <c r="Z213" s="14"/>
      <c r="AA213" s="14"/>
      <c r="AB213" s="14"/>
    </row>
    <row r="214" hidden="1">
      <c r="A214" s="20" t="s">
        <v>1111</v>
      </c>
      <c r="B214" s="20" t="s">
        <v>1087</v>
      </c>
      <c r="C214" s="19">
        <v>2.0</v>
      </c>
      <c r="D214" s="19" t="s">
        <v>1112</v>
      </c>
      <c r="E214" s="20" t="s">
        <v>1113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Aggro ")</f>
        <v>Unearth Control Aggro </v>
      </c>
      <c r="G214" s="60"/>
      <c r="H214" s="19">
        <v>3.0</v>
      </c>
      <c r="I214" s="19" t="s">
        <v>1114</v>
      </c>
      <c r="J214" s="12" t="s">
        <v>69</v>
      </c>
      <c r="L214" s="14" t="str">
        <f>IFERROR(__xludf.DUMMYFUNCTION("IF(REGEXMATCH($B214,L$1),$D214,"""")"),"")</f>
        <v/>
      </c>
      <c r="M214" s="14" t="str">
        <f>IFERROR(__xludf.DUMMYFUNCTION("IF(REGEXMATCH($B214,M$1),$D214,"""")"),"")</f>
        <v/>
      </c>
      <c r="N214" s="14" t="str">
        <f>IFERROR(__xludf.DUMMYFUNCTION("IF(REGEXMATCH($B214,N$1),$D214,"""")"),"Demon Human")</f>
        <v>Demon Human</v>
      </c>
      <c r="O214" s="14" t="str">
        <f>IFERROR(__xludf.DUMMYFUNCTION("IF(REGEXMATCH($B214,O$1),$D214,"""")"),"Demon Human")</f>
        <v>Demon Human</v>
      </c>
      <c r="P214" s="14" t="str">
        <f>IFERROR(__xludf.DUMMYFUNCTION("IF(REGEXMATCH($B214,P$1),$D214,"""")"),"")</f>
        <v/>
      </c>
      <c r="Q214" s="14">
        <f>IFERROR(__xludf.DUMMYFUNCTION("IF($A214="""","""",LEN(REGEXREPLACE($I214,"",\s?"","""")))"),5.0)</f>
        <v>5</v>
      </c>
      <c r="S214" s="14"/>
      <c r="T214" s="14"/>
      <c r="U214" s="14"/>
      <c r="V214" s="14"/>
      <c r="W214" s="14"/>
      <c r="X214" s="14"/>
      <c r="Y214" s="14"/>
      <c r="Z214" s="14"/>
      <c r="AA214" s="14"/>
      <c r="AB214" s="14"/>
    </row>
    <row r="215" hidden="1">
      <c r="A215" s="20" t="s">
        <v>1115</v>
      </c>
      <c r="B215" s="20" t="s">
        <v>1087</v>
      </c>
      <c r="C215" s="19">
        <v>2.0</v>
      </c>
      <c r="D215" s="19" t="s">
        <v>891</v>
      </c>
      <c r="E215" s="20" t="s">
        <v>1116</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Crystal|.*crystal.*bury""),""Empty-Crystal"","""")&amp;IF(REGEXMATCH($E215,""Move|move""),""Move"","""")"),"Control ")</f>
        <v>Control </v>
      </c>
      <c r="G215" s="60"/>
      <c r="H215" s="19">
        <v>7.0</v>
      </c>
      <c r="I215" s="19" t="s">
        <v>1117</v>
      </c>
      <c r="J215" s="19" t="s">
        <v>69</v>
      </c>
      <c r="L215" s="14" t="str">
        <f>IFERROR(__xludf.DUMMYFUNCTION("IF(REGEXMATCH($B215,L$1),$D215,"""")"),"")</f>
        <v/>
      </c>
      <c r="M215" s="14" t="str">
        <f>IFERROR(__xludf.DUMMYFUNCTION("IF(REGEXMATCH($B215,M$1),$D215,"""")"),"")</f>
        <v/>
      </c>
      <c r="N215" s="14" t="str">
        <f>IFERROR(__xludf.DUMMYFUNCTION("IF(REGEXMATCH($B215,N$1),$D215,"""")"),"Undead")</f>
        <v>Undead</v>
      </c>
      <c r="O215" s="14" t="str">
        <f>IFERROR(__xludf.DUMMYFUNCTION("IF(REGEXMATCH($B215,O$1),$D215,"""")"),"Undead")</f>
        <v>Undead</v>
      </c>
      <c r="P215" s="14" t="str">
        <f>IFERROR(__xludf.DUMMYFUNCTION("IF(REGEXMATCH($B215,P$1),$D215,"""")"),"")</f>
        <v/>
      </c>
      <c r="Q215" s="14">
        <f>IFERROR(__xludf.DUMMYFUNCTION("IF($A215="""","""",LEN(REGEXREPLACE($I215,"",\s?"","""")))"),6.0)</f>
        <v>6</v>
      </c>
      <c r="S215" s="14"/>
      <c r="T215" s="14"/>
      <c r="U215" s="14"/>
      <c r="V215" s="14"/>
      <c r="W215" s="14"/>
      <c r="X215" s="14"/>
      <c r="Y215" s="14"/>
      <c r="Z215" s="14"/>
      <c r="AA215" s="14"/>
      <c r="AB215" s="14"/>
    </row>
    <row r="216" hidden="1">
      <c r="A216" s="20" t="s">
        <v>1118</v>
      </c>
      <c r="B216" s="20" t="s">
        <v>1087</v>
      </c>
      <c r="C216" s="19">
        <v>2.0</v>
      </c>
      <c r="D216" s="19" t="s">
        <v>44</v>
      </c>
      <c r="E216" s="20" t="s">
        <v>1119</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Crystal|.*crystal.*bury""),""Empty-Crystal"","""")&amp;IF(REGEXMATCH($E216,""Move|move""),""Move"","""")"),"Control ")</f>
        <v>Control </v>
      </c>
      <c r="G216" s="60"/>
      <c r="H216" s="19">
        <v>1.0</v>
      </c>
      <c r="I216" s="19" t="s">
        <v>1098</v>
      </c>
      <c r="J216" s="19" t="s">
        <v>33</v>
      </c>
      <c r="L216" s="14" t="str">
        <f>IFERROR(__xludf.DUMMYFUNCTION("IF(REGEXMATCH($B216,L$1),$D216,"""")"),"")</f>
        <v/>
      </c>
      <c r="M216" s="14" t="str">
        <f>IFERROR(__xludf.DUMMYFUNCTION("IF(REGEXMATCH($B216,M$1),$D216,"""")"),"")</f>
        <v/>
      </c>
      <c r="N216" s="14" t="str">
        <f>IFERROR(__xludf.DUMMYFUNCTION("IF(REGEXMATCH($B216,N$1),$D216,"""")"),"Human")</f>
        <v>Human</v>
      </c>
      <c r="O216" s="14" t="str">
        <f>IFERROR(__xludf.DUMMYFUNCTION("IF(REGEXMATCH($B216,O$1),$D216,"""")"),"Human")</f>
        <v>Human</v>
      </c>
      <c r="P216" s="14" t="str">
        <f>IFERROR(__xludf.DUMMYFUNCTION("IF(REGEXMATCH($B216,P$1),$D216,"""")"),"")</f>
        <v/>
      </c>
      <c r="Q216" s="14">
        <f>IFERROR(__xludf.DUMMYFUNCTION("IF($A216="""","""",LEN(REGEXREPLACE($I216,"",\s?"","""")))"),2.0)</f>
        <v>2</v>
      </c>
      <c r="S216" s="14"/>
      <c r="T216" s="14"/>
      <c r="U216" s="14"/>
      <c r="V216" s="14"/>
      <c r="W216" s="14"/>
      <c r="X216" s="14"/>
      <c r="Y216" s="14"/>
      <c r="Z216" s="14"/>
      <c r="AA216" s="14"/>
      <c r="AB216" s="14"/>
    </row>
    <row r="217">
      <c r="A217" s="20" t="s">
        <v>1120</v>
      </c>
      <c r="B217" s="20" t="s">
        <v>12</v>
      </c>
      <c r="C217" s="19">
        <v>1.0</v>
      </c>
      <c r="D217" s="19" t="s">
        <v>364</v>
      </c>
      <c r="E217" s="20" t="s">
        <v>1121</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Crystal|.*crystal.*bury""),""Empty-Crystal"","""")&amp;IF(REGEXMATCH($E217,""Move|move""),""Move"","""")"),"Dinosaur Move")</f>
        <v>Dinosaur Move</v>
      </c>
      <c r="G217" s="21" t="s">
        <v>865</v>
      </c>
      <c r="H217" s="19">
        <v>3.0</v>
      </c>
      <c r="I217" s="19" t="s">
        <v>1122</v>
      </c>
      <c r="J217" s="12" t="s">
        <v>33</v>
      </c>
      <c r="L217" s="14" t="str">
        <f>IFERROR(__xludf.DUMMYFUNCTION("IF(REGEXMATCH($B217,L$1),$D217,"""")"),"")</f>
        <v/>
      </c>
      <c r="M217" s="14" t="str">
        <f>IFERROR(__xludf.DUMMYFUNCTION("IF(REGEXMATCH($B217,M$1),$D217,"""")"),"Dinosaur")</f>
        <v>Dinosaur</v>
      </c>
      <c r="N217" s="14" t="str">
        <f>IFERROR(__xludf.DUMMYFUNCTION("IF(REGEXMATCH($B217,N$1),$D217,"""")"),"")</f>
        <v/>
      </c>
      <c r="O217" s="14" t="str">
        <f>IFERROR(__xludf.DUMMYFUNCTION("IF(REGEXMATCH($B217,O$1),$D217,"""")"),"")</f>
        <v/>
      </c>
      <c r="P217" s="14" t="str">
        <f>IFERROR(__xludf.DUMMYFUNCTION("IF(REGEXMATCH($B217,P$1),$D217,"""")"),"")</f>
        <v/>
      </c>
      <c r="Q217" s="14">
        <f>IFERROR(__xludf.DUMMYFUNCTION("IF($A217="""","""",LEN(REGEXREPLACE($I217,"",\s?"","""")))"),3.0)</f>
        <v>3</v>
      </c>
      <c r="S217" s="14"/>
      <c r="T217" s="14"/>
      <c r="U217" s="14"/>
      <c r="V217" s="14"/>
      <c r="W217" s="14"/>
      <c r="X217" s="14"/>
      <c r="Y217" s="14"/>
      <c r="Z217" s="14"/>
      <c r="AA217" s="14"/>
      <c r="AB217" s="14"/>
    </row>
    <row r="218">
      <c r="A218" s="10" t="s">
        <v>1123</v>
      </c>
      <c r="B218" s="10" t="s">
        <v>12</v>
      </c>
      <c r="C218" s="12">
        <v>1.0</v>
      </c>
      <c r="D218" s="12" t="s">
        <v>360</v>
      </c>
      <c r="E218" s="20" t="s">
        <v>1124</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Crystal|.*crystal.*bury""),""Empty-Crystal"","""")&amp;IF(REGEXMATCH($E218,""Move|move""),""Move"","""")"),"Dinosaur Ramp ")</f>
        <v>Dinosaur Ramp </v>
      </c>
      <c r="G218" s="21" t="s">
        <v>1125</v>
      </c>
      <c r="H218" s="12">
        <v>6.0</v>
      </c>
      <c r="I218" s="12" t="s">
        <v>1126</v>
      </c>
      <c r="J218" s="19" t="s">
        <v>69</v>
      </c>
      <c r="L218" s="14" t="str">
        <f>IFERROR(__xludf.DUMMYFUNCTION("IF(REGEXMATCH($B218,L$1),$D218,"""")"),"")</f>
        <v/>
      </c>
      <c r="M218" s="14" t="str">
        <f>IFERROR(__xludf.DUMMYFUNCTION("IF(REGEXMATCH($B218,M$1),$D218,"""")"),"Construct Dinosaur")</f>
        <v>Construct Dinosaur</v>
      </c>
      <c r="N218" s="14" t="str">
        <f>IFERROR(__xludf.DUMMYFUNCTION("IF(REGEXMATCH($B218,N$1),$D218,"""")"),"")</f>
        <v/>
      </c>
      <c r="O218" s="14" t="str">
        <f>IFERROR(__xludf.DUMMYFUNCTION("IF(REGEXMATCH($B218,O$1),$D218,"""")"),"")</f>
        <v/>
      </c>
      <c r="P218" s="14" t="str">
        <f>IFERROR(__xludf.DUMMYFUNCTION("IF(REGEXMATCH($B218,P$1),$D218,"""")"),"")</f>
        <v/>
      </c>
      <c r="Q218" s="14">
        <f>IFERROR(__xludf.DUMMYFUNCTION("IF($A218="""","""",LEN(REGEXREPLACE($I218,"",\s?"","""")))"),5.0)</f>
        <v>5</v>
      </c>
      <c r="S218" s="14"/>
      <c r="T218" s="14"/>
      <c r="U218" s="14"/>
      <c r="V218" s="14"/>
      <c r="W218" s="14"/>
      <c r="X218" s="14"/>
      <c r="Y218" s="14"/>
      <c r="Z218" s="14"/>
      <c r="AA218" s="14"/>
      <c r="AB218" s="14"/>
    </row>
    <row r="219">
      <c r="A219" s="10" t="s">
        <v>1127</v>
      </c>
      <c r="B219" s="10" t="s">
        <v>12</v>
      </c>
      <c r="C219" s="12">
        <v>1.0</v>
      </c>
      <c r="D219" s="12" t="s">
        <v>1128</v>
      </c>
      <c r="E219" s="70" t="s">
        <v>1129</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Crystal|.*crystal.*bury""),""Empty-Crystal"","""")&amp;IF(REGEXMATCH($E219,""Move|move""),""Move"","""")"),"Ramp ")</f>
        <v>Ramp </v>
      </c>
      <c r="G219" s="13" t="s">
        <v>1130</v>
      </c>
      <c r="H219" s="12">
        <v>4.0</v>
      </c>
      <c r="I219" s="12" t="s">
        <v>1131</v>
      </c>
      <c r="J219" s="12" t="s">
        <v>39</v>
      </c>
      <c r="L219" s="14" t="str">
        <f>IFERROR(__xludf.DUMMYFUNCTION("IF(REGEXMATCH($B219,L$1),$D219,"""")"),"")</f>
        <v/>
      </c>
      <c r="M219" s="14" t="str">
        <f>IFERROR(__xludf.DUMMYFUNCTION("IF(REGEXMATCH($B219,M$1),$D219,"""")"),"Dinosaur Wizard")</f>
        <v>Dinosaur Wizard</v>
      </c>
      <c r="N219" s="14" t="str">
        <f>IFERROR(__xludf.DUMMYFUNCTION("IF(REGEXMATCH($B219,N$1),$D219,"""")"),"")</f>
        <v/>
      </c>
      <c r="O219" s="14" t="str">
        <f>IFERROR(__xludf.DUMMYFUNCTION("IF(REGEXMATCH($B219,O$1),$D219,"""")"),"")</f>
        <v/>
      </c>
      <c r="P219" s="14" t="str">
        <f>IFERROR(__xludf.DUMMYFUNCTION("IF(REGEXMATCH($B219,P$1),$D219,"""")"),"")</f>
        <v/>
      </c>
      <c r="Q219" s="14">
        <f>IFERROR(__xludf.DUMMYFUNCTION("IF($A219="""","""",LEN(REGEXREPLACE($I219,"",\s?"","""")))"),2.0)</f>
        <v>2</v>
      </c>
      <c r="S219" s="14"/>
      <c r="T219" s="14"/>
      <c r="U219" s="14"/>
      <c r="V219" s="14"/>
      <c r="W219" s="14"/>
      <c r="X219" s="14"/>
      <c r="Y219" s="14"/>
      <c r="Z219" s="14"/>
      <c r="AA219" s="14"/>
      <c r="AB219" s="14"/>
    </row>
    <row r="220" hidden="1">
      <c r="A220" s="10" t="s">
        <v>1132</v>
      </c>
      <c r="B220" s="85" t="s">
        <v>12</v>
      </c>
      <c r="C220" s="12">
        <v>2.0</v>
      </c>
      <c r="D220" s="12" t="s">
        <v>110</v>
      </c>
      <c r="E220" s="20" t="s">
        <v>1133</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Crystal|.*crystal.*bury""),""Empty-Crystal"","""")&amp;IF(REGEXMATCH($E220,""Move|move""),""Move"","""")"),"Nature Ascend ")</f>
        <v>Nature Ascend </v>
      </c>
      <c r="G220" s="21" t="s">
        <v>31</v>
      </c>
      <c r="H220" s="12">
        <v>0.0</v>
      </c>
      <c r="I220" s="12" t="s">
        <v>1134</v>
      </c>
      <c r="J220" s="12" t="s">
        <v>39</v>
      </c>
      <c r="L220" s="14" t="str">
        <f>IFERROR(__xludf.DUMMYFUNCTION("IF(REGEXMATCH($B220,L$1),$D220,"""")"),"")</f>
        <v/>
      </c>
      <c r="M220" s="14" t="str">
        <f>IFERROR(__xludf.DUMMYFUNCTION("IF(REGEXMATCH($B220,M$1),$D220,"""")"),"Animal")</f>
        <v>Animal</v>
      </c>
      <c r="N220" s="14" t="str">
        <f>IFERROR(__xludf.DUMMYFUNCTION("IF(REGEXMATCH($B220,N$1),$D220,"""")"),"")</f>
        <v/>
      </c>
      <c r="O220" s="14" t="str">
        <f>IFERROR(__xludf.DUMMYFUNCTION("IF(REGEXMATCH($B220,O$1),$D220,"""")"),"")</f>
        <v/>
      </c>
      <c r="P220" s="14" t="str">
        <f>IFERROR(__xludf.DUMMYFUNCTION("IF(REGEXMATCH($B220,P$1),$D220,"""")"),"")</f>
        <v/>
      </c>
      <c r="Q220" s="14">
        <f>IFERROR(__xludf.DUMMYFUNCTION("IF($A220="""","""",LEN(REGEXREPLACE($I220,"",\s?"","""")))"),2.0)</f>
        <v>2</v>
      </c>
      <c r="S220" s="14"/>
      <c r="T220" s="14"/>
      <c r="U220" s="14"/>
      <c r="V220" s="14"/>
      <c r="W220" s="14"/>
      <c r="X220" s="14"/>
      <c r="Y220" s="14"/>
      <c r="Z220" s="14"/>
      <c r="AA220" s="14"/>
      <c r="AB220" s="14"/>
    </row>
    <row r="221">
      <c r="A221" s="25" t="s">
        <v>1135</v>
      </c>
      <c r="B221" s="10" t="s">
        <v>12</v>
      </c>
      <c r="C221" s="12">
        <v>1.0</v>
      </c>
      <c r="D221" s="12" t="s">
        <v>110</v>
      </c>
      <c r="E221" s="36" t="s">
        <v>1136</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f>
        <v/>
      </c>
      <c r="G221" s="13" t="s">
        <v>1137</v>
      </c>
      <c r="H221" s="12">
        <v>4.0</v>
      </c>
      <c r="I221" s="12" t="s">
        <v>1126</v>
      </c>
      <c r="J221" s="12" t="s">
        <v>69</v>
      </c>
      <c r="L221" s="14" t="str">
        <f>IFERROR(__xludf.DUMMYFUNCTION("IF(REGEXMATCH($B221,L$1),$D221,"""")"),"")</f>
        <v/>
      </c>
      <c r="M221" s="14" t="str">
        <f>IFERROR(__xludf.DUMMYFUNCTION("IF(REGEXMATCH($B221,M$1),$D221,"""")"),"Animal")</f>
        <v>Animal</v>
      </c>
      <c r="N221" s="14" t="str">
        <f>IFERROR(__xludf.DUMMYFUNCTION("IF(REGEXMATCH($B221,N$1),$D221,"""")"),"")</f>
        <v/>
      </c>
      <c r="O221" s="14" t="str">
        <f>IFERROR(__xludf.DUMMYFUNCTION("IF(REGEXMATCH($B221,O$1),$D221,"""")"),"")</f>
        <v/>
      </c>
      <c r="P221" s="14" t="str">
        <f>IFERROR(__xludf.DUMMYFUNCTION("IF(REGEXMATCH($B221,P$1),$D221,"""")"),"")</f>
        <v/>
      </c>
      <c r="Q221" s="14">
        <f>IFERROR(__xludf.DUMMYFUNCTION("IF($A221="""","""",LEN(REGEXREPLACE($I221,"",\s?"","""")))"),5.0)</f>
        <v>5</v>
      </c>
      <c r="S221" s="14"/>
      <c r="T221" s="14"/>
      <c r="U221" s="14"/>
      <c r="V221" s="14"/>
      <c r="W221" s="14"/>
      <c r="X221" s="14"/>
      <c r="Y221" s="14"/>
      <c r="Z221" s="14"/>
      <c r="AA221" s="14"/>
      <c r="AB221" s="14"/>
    </row>
    <row r="222">
      <c r="A222" s="14" t="s">
        <v>1138</v>
      </c>
      <c r="B222" s="70" t="s">
        <v>12</v>
      </c>
      <c r="C222" s="12">
        <v>1.0</v>
      </c>
      <c r="D222" s="12" t="s">
        <v>778</v>
      </c>
      <c r="E222" s="10" t="s">
        <v>1139</v>
      </c>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Crystal|.*crystal.*bury""),""Empty-Crystal"","""")&amp;IF(REGEXMATCH($E222,""Move|move""),""Move"","""")"),"Ramp ")</f>
        <v>Ramp </v>
      </c>
      <c r="G222" s="13" t="s">
        <v>1140</v>
      </c>
      <c r="H222" s="12">
        <v>6.0</v>
      </c>
      <c r="I222" s="12" t="s">
        <v>1141</v>
      </c>
      <c r="J222" s="12" t="s">
        <v>39</v>
      </c>
      <c r="L222" s="14" t="str">
        <f>IFERROR(__xludf.DUMMYFUNCTION("IF(REGEXMATCH($B222,L$1),$D222,"""")"),"")</f>
        <v/>
      </c>
      <c r="M222" s="14" t="str">
        <f>IFERROR(__xludf.DUMMYFUNCTION("IF(REGEXMATCH($B222,M$1),$D222,"""")"),"Demon Dinosaur")</f>
        <v>Demon Dinosaur</v>
      </c>
      <c r="N222" s="14" t="str">
        <f>IFERROR(__xludf.DUMMYFUNCTION("IF(REGEXMATCH($B222,N$1),$D222,"""")"),"")</f>
        <v/>
      </c>
      <c r="O222" s="14" t="str">
        <f>IFERROR(__xludf.DUMMYFUNCTION("IF(REGEXMATCH($B222,O$1),$D222,"""")"),"")</f>
        <v/>
      </c>
      <c r="P222" s="14" t="str">
        <f>IFERROR(__xludf.DUMMYFUNCTION("IF(REGEXMATCH($B222,P$1),$D222,"""")"),"")</f>
        <v/>
      </c>
      <c r="Q222" s="14">
        <f>IFERROR(__xludf.DUMMYFUNCTION("IF($A222="""","""",LEN(REGEXREPLACE($I222,"",\s?"","""")))"),4.0)</f>
        <v>4</v>
      </c>
      <c r="S222" s="14"/>
      <c r="T222" s="14"/>
      <c r="U222" s="14"/>
      <c r="V222" s="14"/>
      <c r="W222" s="14"/>
      <c r="X222" s="14"/>
      <c r="Y222" s="14"/>
      <c r="Z222" s="14"/>
      <c r="AA222" s="14"/>
      <c r="AB222" s="14"/>
    </row>
    <row r="223" hidden="1">
      <c r="A223" s="20" t="s">
        <v>1142</v>
      </c>
      <c r="B223" s="86" t="s">
        <v>12</v>
      </c>
      <c r="C223" s="19">
        <v>2.0</v>
      </c>
      <c r="D223" s="19" t="s">
        <v>1143</v>
      </c>
      <c r="E223" s="20" t="s">
        <v>1144</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1" t="s">
        <v>223</v>
      </c>
      <c r="H223" s="19">
        <v>3.0</v>
      </c>
      <c r="I223" s="19" t="s">
        <v>1141</v>
      </c>
      <c r="J223" s="19" t="s">
        <v>39</v>
      </c>
      <c r="L223" s="14" t="str">
        <f>IFERROR(__xludf.DUMMYFUNCTION("IF(REGEXMATCH($B223,L$1),$D223,"""")"),"")</f>
        <v/>
      </c>
      <c r="M223" s="14" t="str">
        <f>IFERROR(__xludf.DUMMYFUNCTION("IF(REGEXMATCH($B223,M$1),$D223,"""")"),"Animal Plant")</f>
        <v>Animal Plant</v>
      </c>
      <c r="N223" s="14" t="str">
        <f>IFERROR(__xludf.DUMMYFUNCTION("IF(REGEXMATCH($B223,N$1),$D223,"""")"),"")</f>
        <v/>
      </c>
      <c r="O223" s="14" t="str">
        <f>IFERROR(__xludf.DUMMYFUNCTION("IF(REGEXMATCH($B223,O$1),$D223,"""")"),"")</f>
        <v/>
      </c>
      <c r="P223" s="14" t="str">
        <f>IFERROR(__xludf.DUMMYFUNCTION("IF(REGEXMATCH($B223,P$1),$D223,"""")"),"")</f>
        <v/>
      </c>
      <c r="Q223" s="14">
        <f>IFERROR(__xludf.DUMMYFUNCTION("IF($A223="""","""",LEN(REGEXREPLACE($I223,"",\s?"","""")))"),4.0)</f>
        <v>4</v>
      </c>
      <c r="S223" s="14"/>
      <c r="T223" s="14"/>
      <c r="U223" s="14"/>
      <c r="V223" s="14"/>
      <c r="W223" s="14"/>
      <c r="X223" s="14"/>
      <c r="Y223" s="14"/>
      <c r="Z223" s="14"/>
      <c r="AA223" s="14"/>
      <c r="AB223" s="14"/>
    </row>
    <row r="224" hidden="1">
      <c r="A224" s="25" t="s">
        <v>1145</v>
      </c>
      <c r="B224" s="85" t="s">
        <v>12</v>
      </c>
      <c r="C224" s="12">
        <v>2.0</v>
      </c>
      <c r="D224" s="12" t="s">
        <v>44</v>
      </c>
      <c r="E224" s="10" t="s">
        <v>1146</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Crystal|.*crystal.*bury""),""Empty-Crystal"","""")&amp;IF(REGEXMATCH($E224,""Move|move""),""Move"","""")"),"Insect ")</f>
        <v>Insect </v>
      </c>
      <c r="G224" s="13" t="s">
        <v>1147</v>
      </c>
      <c r="H224" s="12">
        <v>2.0</v>
      </c>
      <c r="I224" s="12" t="s">
        <v>1122</v>
      </c>
      <c r="J224" s="12" t="s">
        <v>69</v>
      </c>
      <c r="L224" s="14" t="str">
        <f>IFERROR(__xludf.DUMMYFUNCTION("IF(REGEXMATCH($B224,L$1),$D224,"""")"),"")</f>
        <v/>
      </c>
      <c r="M224" s="14" t="str">
        <f>IFERROR(__xludf.DUMMYFUNCTION("IF(REGEXMATCH($B224,M$1),$D224,"""")"),"Human")</f>
        <v>Human</v>
      </c>
      <c r="N224" s="14" t="str">
        <f>IFERROR(__xludf.DUMMYFUNCTION("IF(REGEXMATCH($B224,N$1),$D224,"""")"),"")</f>
        <v/>
      </c>
      <c r="O224" s="14" t="str">
        <f>IFERROR(__xludf.DUMMYFUNCTION("IF(REGEXMATCH($B224,O$1),$D224,"""")"),"")</f>
        <v/>
      </c>
      <c r="P224" s="14" t="str">
        <f>IFERROR(__xludf.DUMMYFUNCTION("IF(REGEXMATCH($B224,P$1),$D224,"""")"),"")</f>
        <v/>
      </c>
      <c r="Q224" s="14">
        <f>IFERROR(__xludf.DUMMYFUNCTION("IF($A224="""","""",LEN(REGEXREPLACE($I224,"",\s?"","""")))"),3.0)</f>
        <v>3</v>
      </c>
      <c r="S224" s="14"/>
      <c r="T224" s="14"/>
      <c r="U224" s="14"/>
      <c r="V224" s="14"/>
      <c r="W224" s="14"/>
      <c r="X224" s="14"/>
      <c r="Y224" s="14"/>
      <c r="Z224" s="14"/>
      <c r="AA224" s="14"/>
      <c r="AB224" s="14"/>
    </row>
    <row r="225" hidden="1">
      <c r="A225" s="20" t="s">
        <v>1148</v>
      </c>
      <c r="B225" s="86" t="s">
        <v>12</v>
      </c>
      <c r="C225" s="19">
        <v>2.0</v>
      </c>
      <c r="D225" s="19" t="s">
        <v>1149</v>
      </c>
      <c r="E225" s="20" t="s">
        <v>1150</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Crystal|.*crystal.*bury""),""Empty-Crystal"","""")&amp;IF(REGEXMATCH($E225,""Move|move""),""Move"","""")"),"Insect Ramp ")</f>
        <v>Insect Ramp </v>
      </c>
      <c r="G225" s="21" t="s">
        <v>1151</v>
      </c>
      <c r="H225" s="19">
        <v>5.0</v>
      </c>
      <c r="I225" s="19" t="s">
        <v>1152</v>
      </c>
      <c r="J225" s="19" t="s">
        <v>69</v>
      </c>
      <c r="L225" s="14" t="str">
        <f>IFERROR(__xludf.DUMMYFUNCTION("IF(REGEXMATCH($B225,L$1),$D225,"""")"),"")</f>
        <v/>
      </c>
      <c r="M225" s="14" t="str">
        <f>IFERROR(__xludf.DUMMYFUNCTION("IF(REGEXMATCH($B225,M$1),$D225,"""")"),"Dinosaur Insect")</f>
        <v>Dinosaur Insect</v>
      </c>
      <c r="N225" s="14" t="str">
        <f>IFERROR(__xludf.DUMMYFUNCTION("IF(REGEXMATCH($B225,N$1),$D225,"""")"),"")</f>
        <v/>
      </c>
      <c r="O225" s="14" t="str">
        <f>IFERROR(__xludf.DUMMYFUNCTION("IF(REGEXMATCH($B225,O$1),$D225,"""")"),"")</f>
        <v/>
      </c>
      <c r="P225" s="14" t="str">
        <f>IFERROR(__xludf.DUMMYFUNCTION("IF(REGEXMATCH($B225,P$1),$D225,"""")"),"")</f>
        <v/>
      </c>
      <c r="Q225" s="14">
        <f>IFERROR(__xludf.DUMMYFUNCTION("IF($A225="""","""",LEN(REGEXREPLACE($I225,"",\s?"","""")))"),6.0)</f>
        <v>6</v>
      </c>
      <c r="S225" s="14"/>
      <c r="T225" s="14"/>
      <c r="U225" s="14"/>
      <c r="V225" s="14"/>
      <c r="W225" s="14"/>
      <c r="X225" s="14"/>
      <c r="Y225" s="14"/>
      <c r="Z225" s="14"/>
      <c r="AA225" s="14"/>
      <c r="AB225" s="14"/>
    </row>
    <row r="226" hidden="1">
      <c r="A226" s="20" t="s">
        <v>1153</v>
      </c>
      <c r="B226" s="35" t="s">
        <v>12</v>
      </c>
      <c r="C226" s="19">
        <v>2.0</v>
      </c>
      <c r="D226" s="19" t="s">
        <v>1154</v>
      </c>
      <c r="E226" s="20" t="s">
        <v>1155</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Crystal|.*crystal.*bury""),""Empty-Crystal"","""")&amp;IF(REGEXMATCH($E226,""Move|move""),""Move"","""")"),"Unearth Control Move")</f>
        <v>Unearth Control Move</v>
      </c>
      <c r="G226" s="21" t="s">
        <v>200</v>
      </c>
      <c r="H226" s="19">
        <v>4.0</v>
      </c>
      <c r="I226" s="19" t="s">
        <v>1141</v>
      </c>
      <c r="J226" s="19" t="s">
        <v>33</v>
      </c>
      <c r="L226" s="14" t="str">
        <f>IFERROR(__xludf.DUMMYFUNCTION("IF(REGEXMATCH($B226,L$1),$D226,"""")"),"")</f>
        <v/>
      </c>
      <c r="M226" s="14" t="str">
        <f>IFERROR(__xludf.DUMMYFUNCTION("IF(REGEXMATCH($B226,M$1),$D226,"""")"),"Insect Hunter")</f>
        <v>Insect Hunter</v>
      </c>
      <c r="N226" s="14" t="str">
        <f>IFERROR(__xludf.DUMMYFUNCTION("IF(REGEXMATCH($B226,N$1),$D226,"""")"),"")</f>
        <v/>
      </c>
      <c r="O226" s="14" t="str">
        <f>IFERROR(__xludf.DUMMYFUNCTION("IF(REGEXMATCH($B226,O$1),$D226,"""")"),"")</f>
        <v/>
      </c>
      <c r="P226" s="14" t="str">
        <f>IFERROR(__xludf.DUMMYFUNCTION("IF(REGEXMATCH($B226,P$1),$D226,"""")"),"")</f>
        <v/>
      </c>
      <c r="Q226" s="14">
        <f>IFERROR(__xludf.DUMMYFUNCTION("IF($A226="""","""",LEN(REGEXREPLACE($I226,"",\s?"","""")))"),4.0)</f>
        <v>4</v>
      </c>
      <c r="S226" s="14"/>
      <c r="T226" s="14"/>
      <c r="U226" s="14"/>
      <c r="V226" s="14"/>
      <c r="W226" s="14"/>
      <c r="X226" s="14"/>
      <c r="Y226" s="14"/>
      <c r="Z226" s="14"/>
      <c r="AA226" s="14"/>
      <c r="AB226" s="14"/>
    </row>
    <row r="227">
      <c r="A227" s="10" t="s">
        <v>1156</v>
      </c>
      <c r="B227" s="10" t="s">
        <v>12</v>
      </c>
      <c r="C227" s="12">
        <v>1.0</v>
      </c>
      <c r="D227" s="12" t="s">
        <v>221</v>
      </c>
      <c r="E227" s="10" t="s">
        <v>78</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Crystal|.*crystal.*bury""),""Empty-Crystal"","""")&amp;IF(REGEXMATCH($E227,""Move|move""),""Move"","""")"),"Ramp ")</f>
        <v>Ramp </v>
      </c>
      <c r="G227" s="13" t="s">
        <v>1157</v>
      </c>
      <c r="H227" s="12">
        <v>2.0</v>
      </c>
      <c r="I227" s="12" t="s">
        <v>1158</v>
      </c>
      <c r="J227" s="12" t="s">
        <v>33</v>
      </c>
      <c r="L227" s="14" t="str">
        <f>IFERROR(__xludf.DUMMYFUNCTION("IF(REGEXMATCH($B227,L$1),$D227,"""")"),"")</f>
        <v/>
      </c>
      <c r="M227" s="14" t="str">
        <f>IFERROR(__xludf.DUMMYFUNCTION("IF(REGEXMATCH($B227,M$1),$D227,"""")"),"Animal Spirit")</f>
        <v>Animal Spirit</v>
      </c>
      <c r="N227" s="14" t="str">
        <f>IFERROR(__xludf.DUMMYFUNCTION("IF(REGEXMATCH($B227,N$1),$D227,"""")"),"")</f>
        <v/>
      </c>
      <c r="O227" s="14" t="str">
        <f>IFERROR(__xludf.DUMMYFUNCTION("IF(REGEXMATCH($B227,O$1),$D227,"""")"),"")</f>
        <v/>
      </c>
      <c r="P227" s="14" t="str">
        <f>IFERROR(__xludf.DUMMYFUNCTION("IF(REGEXMATCH($B227,P$1),$D227,"""")"),"")</f>
        <v/>
      </c>
      <c r="Q227" s="14">
        <f>IFERROR(__xludf.DUMMYFUNCTION("IF($A227="""","""",LEN(REGEXREPLACE($I227,"",\s?"","""")))"),1.0)</f>
        <v>1</v>
      </c>
      <c r="S227" s="14"/>
      <c r="T227" s="14"/>
      <c r="U227" s="14"/>
      <c r="V227" s="14"/>
      <c r="W227" s="14"/>
      <c r="X227" s="14"/>
      <c r="Y227" s="14"/>
      <c r="Z227" s="14"/>
      <c r="AA227" s="14"/>
      <c r="AB227" s="14"/>
    </row>
    <row r="228">
      <c r="A228" s="10" t="s">
        <v>1159</v>
      </c>
      <c r="B228" s="10" t="s">
        <v>12</v>
      </c>
      <c r="C228" s="12">
        <v>1.0</v>
      </c>
      <c r="D228" s="12" t="s">
        <v>364</v>
      </c>
      <c r="E228" s="10" t="s">
        <v>1160</v>
      </c>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Crystal|.*crystal.*bury""),""Empty-Crystal"","""")&amp;IF(REGEXMATCH($E228,""Move|move""),""Move"","""")"),"Ramp ")</f>
        <v>Ramp </v>
      </c>
      <c r="G228" s="13" t="s">
        <v>1161</v>
      </c>
      <c r="H228" s="12">
        <v>2.0</v>
      </c>
      <c r="I228" s="12" t="s">
        <v>1122</v>
      </c>
      <c r="J228" s="12" t="s">
        <v>69</v>
      </c>
      <c r="L228" s="14" t="str">
        <f>IFERROR(__xludf.DUMMYFUNCTION("IF(REGEXMATCH($B228,L$1),$D228,"""")"),"")</f>
        <v/>
      </c>
      <c r="M228" s="14" t="str">
        <f>IFERROR(__xludf.DUMMYFUNCTION("IF(REGEXMATCH($B228,M$1),$D228,"""")"),"Dinosaur")</f>
        <v>Dinosaur</v>
      </c>
      <c r="N228" s="14" t="str">
        <f>IFERROR(__xludf.DUMMYFUNCTION("IF(REGEXMATCH($B228,N$1),$D228,"""")"),"")</f>
        <v/>
      </c>
      <c r="O228" s="14" t="str">
        <f>IFERROR(__xludf.DUMMYFUNCTION("IF(REGEXMATCH($B228,O$1),$D228,"""")"),"")</f>
        <v/>
      </c>
      <c r="P228" s="14" t="str">
        <f>IFERROR(__xludf.DUMMYFUNCTION("IF(REGEXMATCH($B228,P$1),$D228,"""")"),"")</f>
        <v/>
      </c>
      <c r="Q228" s="14">
        <f>IFERROR(__xludf.DUMMYFUNCTION("IF($A228="""","""",LEN(REGEXREPLACE($I228,"",\s?"","""")))"),3.0)</f>
        <v>3</v>
      </c>
      <c r="S228" s="14"/>
      <c r="T228" s="14"/>
      <c r="U228" s="14"/>
      <c r="V228" s="14"/>
      <c r="W228" s="14"/>
      <c r="X228" s="14"/>
      <c r="Y228" s="14"/>
      <c r="Z228" s="14"/>
      <c r="AA228" s="14"/>
      <c r="AB228" s="14"/>
    </row>
    <row r="229">
      <c r="A229" s="20" t="s">
        <v>1162</v>
      </c>
      <c r="B229" s="20" t="s">
        <v>12</v>
      </c>
      <c r="C229" s="19">
        <v>1.0</v>
      </c>
      <c r="D229" s="19" t="s">
        <v>1163</v>
      </c>
      <c r="E229" s="20" t="s">
        <v>1164</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Crystal|.*crystal.*bury""),""Empty-Crystal"","""")&amp;IF(REGEXMATCH($E229,""Move|move""),""Move"","""")"),"Hunter Unearth ")</f>
        <v>Hunter Unearth </v>
      </c>
      <c r="G229" s="21" t="s">
        <v>1165</v>
      </c>
      <c r="H229" s="19">
        <v>3.0</v>
      </c>
      <c r="I229" s="19" t="s">
        <v>1122</v>
      </c>
      <c r="J229" s="19" t="s">
        <v>33</v>
      </c>
      <c r="L229" s="14" t="str">
        <f>IFERROR(__xludf.DUMMYFUNCTION("IF(REGEXMATCH($B229,L$1),$D229,"""")"),"")</f>
        <v/>
      </c>
      <c r="M229" s="14" t="str">
        <f>IFERROR(__xludf.DUMMYFUNCTION("IF(REGEXMATCH($B229,M$1),$D229,"""")"),"Plant Hunter")</f>
        <v>Plant Hunter</v>
      </c>
      <c r="N229" s="14" t="str">
        <f>IFERROR(__xludf.DUMMYFUNCTION("IF(REGEXMATCH($B229,N$1),$D229,"""")"),"")</f>
        <v/>
      </c>
      <c r="O229" s="14" t="str">
        <f>IFERROR(__xludf.DUMMYFUNCTION("IF(REGEXMATCH($B229,O$1),$D229,"""")"),"")</f>
        <v/>
      </c>
      <c r="P229" s="14" t="str">
        <f>IFERROR(__xludf.DUMMYFUNCTION("IF(REGEXMATCH($B229,P$1),$D229,"""")"),"")</f>
        <v/>
      </c>
      <c r="Q229" s="14">
        <f>IFERROR(__xludf.DUMMYFUNCTION("IF($A229="""","""",LEN(REGEXREPLACE($I229,"",\s?"","""")))"),3.0)</f>
        <v>3</v>
      </c>
      <c r="S229" s="14"/>
      <c r="T229" s="14"/>
      <c r="U229" s="14"/>
      <c r="V229" s="14"/>
      <c r="W229" s="14"/>
      <c r="X229" s="14"/>
      <c r="Y229" s="14"/>
      <c r="Z229" s="14"/>
      <c r="AA229" s="14"/>
      <c r="AB229" s="14"/>
    </row>
    <row r="230">
      <c r="A230" s="10" t="s">
        <v>1166</v>
      </c>
      <c r="B230" s="10" t="s">
        <v>12</v>
      </c>
      <c r="C230" s="12">
        <v>1.0</v>
      </c>
      <c r="D230" s="33" t="s">
        <v>187</v>
      </c>
      <c r="E230" s="10" t="s">
        <v>1167</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Crystal|.*crystal.*bury""),""Empty-Crystal"","""")&amp;IF(REGEXMATCH($E230,""Move|move""),""Move"","""")"),"Plant ")</f>
        <v>Plant </v>
      </c>
      <c r="G230" s="13" t="s">
        <v>1168</v>
      </c>
      <c r="H230" s="12">
        <v>4.0</v>
      </c>
      <c r="I230" s="12" t="s">
        <v>1126</v>
      </c>
      <c r="J230" s="12" t="s">
        <v>39</v>
      </c>
      <c r="L230" s="14" t="str">
        <f>IFERROR(__xludf.DUMMYFUNCTION("IF(REGEXMATCH($B230,L$1),$D230,"""")"),"")</f>
        <v/>
      </c>
      <c r="M230" s="14" t="str">
        <f>IFERROR(__xludf.DUMMYFUNCTION("IF(REGEXMATCH($B230,M$1),$D230,"""")"),"Angel Plant")</f>
        <v>Angel Plant</v>
      </c>
      <c r="N230" s="14" t="str">
        <f>IFERROR(__xludf.DUMMYFUNCTION("IF(REGEXMATCH($B230,N$1),$D230,"""")"),"")</f>
        <v/>
      </c>
      <c r="O230" s="14" t="str">
        <f>IFERROR(__xludf.DUMMYFUNCTION("IF(REGEXMATCH($B230,O$1),$D230,"""")"),"")</f>
        <v/>
      </c>
      <c r="P230" s="14" t="str">
        <f>IFERROR(__xludf.DUMMYFUNCTION("IF(REGEXMATCH($B230,P$1),$D230,"""")"),"")</f>
        <v/>
      </c>
      <c r="Q230" s="14">
        <f>IFERROR(__xludf.DUMMYFUNCTION("IF($A230="""","""",LEN(REGEXREPLACE($I230,"",\s?"","""")))"),5.0)</f>
        <v>5</v>
      </c>
      <c r="S230" s="14"/>
      <c r="T230" s="14"/>
      <c r="U230" s="14"/>
      <c r="V230" s="14"/>
      <c r="W230" s="14"/>
      <c r="X230" s="14"/>
      <c r="Y230" s="14"/>
      <c r="Z230" s="14"/>
      <c r="AA230" s="14"/>
      <c r="AB230" s="14"/>
    </row>
    <row r="231">
      <c r="A231" s="20" t="s">
        <v>1169</v>
      </c>
      <c r="B231" s="20" t="s">
        <v>12</v>
      </c>
      <c r="C231" s="19">
        <v>1.0</v>
      </c>
      <c r="D231" s="19" t="s">
        <v>276</v>
      </c>
      <c r="E231" s="10" t="s">
        <v>1170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Crystal|.*crystal.*bury""),""Empty-Crystal"","""")&amp;IF(REGEXMATCH($E231,""Move|move""),""Move"","""")"),"Unearth Ramp ")</f>
        <v>Unearth Ramp </v>
      </c>
      <c r="G231" s="13" t="s">
        <v>1171</v>
      </c>
      <c r="H231" s="19">
        <v>3.0</v>
      </c>
      <c r="I231" s="19" t="s">
        <v>1122</v>
      </c>
      <c r="J231" s="19" t="s">
        <v>33</v>
      </c>
      <c r="L231" s="14" t="str">
        <f>IFERROR(__xludf.DUMMYFUNCTION("IF(REGEXMATCH($B231,L$1),$D231,"""")"),"")</f>
        <v/>
      </c>
      <c r="M231" s="14" t="str">
        <f>IFERROR(__xludf.DUMMYFUNCTION("IF(REGEXMATCH($B231,M$1),$D231,"""")"),"Animal Hunter")</f>
        <v>Animal Hunter</v>
      </c>
      <c r="N231" s="14" t="str">
        <f>IFERROR(__xludf.DUMMYFUNCTION("IF(REGEXMATCH($B231,N$1),$D231,"""")"),"")</f>
        <v/>
      </c>
      <c r="O231" s="14" t="str">
        <f>IFERROR(__xludf.DUMMYFUNCTION("IF(REGEXMATCH($B231,O$1),$D231,"""")"),"")</f>
        <v/>
      </c>
      <c r="P231" s="14" t="str">
        <f>IFERROR(__xludf.DUMMYFUNCTION("IF(REGEXMATCH($B231,P$1),$D231,"""")"),"")</f>
        <v/>
      </c>
      <c r="Q231" s="14">
        <f>IFERROR(__xludf.DUMMYFUNCTION("IF($A231="""","""",LEN(REGEXREPLACE($I231,"",\s?"","""")))"),3.0)</f>
        <v>3</v>
      </c>
      <c r="S231" s="14"/>
      <c r="T231" s="14"/>
      <c r="U231" s="14"/>
      <c r="V231" s="14"/>
      <c r="W231" s="14"/>
      <c r="X231" s="14"/>
      <c r="Y231" s="14"/>
      <c r="Z231" s="14"/>
      <c r="AA231" s="14"/>
      <c r="AB231" s="14"/>
    </row>
    <row r="232" hidden="1">
      <c r="A232" s="20" t="s">
        <v>1172</v>
      </c>
      <c r="B232" s="86" t="s">
        <v>12</v>
      </c>
      <c r="C232" s="19">
        <v>2.0</v>
      </c>
      <c r="D232" s="19" t="s">
        <v>1173</v>
      </c>
      <c r="E232" s="20" t="s">
        <v>1174</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Crystal|.*crystal.*bury""),""Empty-Crystal"","""")&amp;IF(REGEXMATCH($E232,""Move|move""),""Move"","""")"),"Insect Plant Unearth ")</f>
        <v>Insect Plant Unearth </v>
      </c>
      <c r="G232" s="60"/>
      <c r="H232" s="19">
        <v>4.0</v>
      </c>
      <c r="I232" s="19" t="s">
        <v>1175</v>
      </c>
      <c r="J232" s="19" t="s">
        <v>33</v>
      </c>
      <c r="L232" s="14" t="str">
        <f>IFERROR(__xludf.DUMMYFUNCTION("IF(REGEXMATCH($B232,L$1),$D232,"""")"),"")</f>
        <v/>
      </c>
      <c r="M232" s="14" t="str">
        <f>IFERROR(__xludf.DUMMYFUNCTION("IF(REGEXMATCH($B232,M$1),$D232,"""")"),"Insect Plant")</f>
        <v>Insect Plant</v>
      </c>
      <c r="N232" s="14" t="str">
        <f>IFERROR(__xludf.DUMMYFUNCTION("IF(REGEXMATCH($B232,N$1),$D232,"""")"),"")</f>
        <v/>
      </c>
      <c r="O232" s="14" t="str">
        <f>IFERROR(__xludf.DUMMYFUNCTION("IF(REGEXMATCH($B232,O$1),$D232,"""")"),"")</f>
        <v/>
      </c>
      <c r="P232" s="14" t="str">
        <f>IFERROR(__xludf.DUMMYFUNCTION("IF(REGEXMATCH($B232,P$1),$D232,"""")"),"")</f>
        <v/>
      </c>
      <c r="Q232" s="14">
        <f>IFERROR(__xludf.DUMMYFUNCTION("IF($A232="""","""",LEN(REGEXREPLACE($I232,"",\s?"","""")))"),4.0)</f>
        <v>4</v>
      </c>
      <c r="S232" s="14"/>
      <c r="T232" s="14"/>
      <c r="U232" s="14"/>
      <c r="V232" s="14"/>
      <c r="W232" s="14"/>
      <c r="X232" s="14"/>
      <c r="Y232" s="14"/>
      <c r="Z232" s="14"/>
      <c r="AA232" s="14"/>
      <c r="AB232" s="14"/>
    </row>
    <row r="233" hidden="1">
      <c r="A233" s="27" t="s">
        <v>1176</v>
      </c>
      <c r="B233" s="85" t="s">
        <v>12</v>
      </c>
      <c r="C233" s="12">
        <v>2.0</v>
      </c>
      <c r="D233" s="12" t="s">
        <v>850</v>
      </c>
      <c r="E233" s="70" t="s">
        <v>1177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Crystal|.*crystal.*bury""),""Empty-Crystal"","""")&amp;IF(REGEXMATCH($E233,""Move|move""),""Move"","""")"),"Plant Ascend ")</f>
        <v>Plant Ascend </v>
      </c>
      <c r="G233" s="13" t="s">
        <v>31</v>
      </c>
      <c r="H233" s="12">
        <v>2.0</v>
      </c>
      <c r="I233" s="12" t="s">
        <v>1134</v>
      </c>
      <c r="J233" s="24" t="s">
        <v>33</v>
      </c>
      <c r="L233" s="14" t="str">
        <f>IFERROR(__xludf.DUMMYFUNCTION("IF(REGEXMATCH($B233,L$1),$D233,"""")"),"")</f>
        <v/>
      </c>
      <c r="M233" s="14" t="str">
        <f>IFERROR(__xludf.DUMMYFUNCTION("IF(REGEXMATCH($B233,M$1),$D233,"""")"),"Human Plant")</f>
        <v>Human Plant</v>
      </c>
      <c r="N233" s="14" t="str">
        <f>IFERROR(__xludf.DUMMYFUNCTION("IF(REGEXMATCH($B233,N$1),$D233,"""")"),"")</f>
        <v/>
      </c>
      <c r="O233" s="14" t="str">
        <f>IFERROR(__xludf.DUMMYFUNCTION("IF(REGEXMATCH($B233,O$1),$D233,"""")"),"")</f>
        <v/>
      </c>
      <c r="P233" s="14" t="str">
        <f>IFERROR(__xludf.DUMMYFUNCTION("IF(REGEXMATCH($B233,P$1),$D233,"""")"),"")</f>
        <v/>
      </c>
      <c r="Q233" s="14">
        <f>IFERROR(__xludf.DUMMYFUNCTION("IF($A233="""","""",LEN(REGEXREPLACE($I233,"",\s?"","""")))"),2.0)</f>
        <v>2</v>
      </c>
      <c r="S233" s="14"/>
      <c r="T233" s="14"/>
      <c r="U233" s="14"/>
      <c r="V233" s="14"/>
      <c r="W233" s="14"/>
      <c r="X233" s="14"/>
      <c r="Y233" s="14"/>
      <c r="Z233" s="14"/>
      <c r="AA233" s="14"/>
      <c r="AB233" s="14"/>
    </row>
    <row r="234" hidden="1">
      <c r="A234" s="25" t="s">
        <v>1178</v>
      </c>
      <c r="B234" s="85" t="s">
        <v>12</v>
      </c>
      <c r="C234" s="12">
        <v>0.0</v>
      </c>
      <c r="D234" s="12" t="s">
        <v>1179</v>
      </c>
      <c r="E234" s="22" t="s">
        <v>1180</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f>
        <v>Ramp </v>
      </c>
      <c r="G234" s="13" t="s">
        <v>1181</v>
      </c>
      <c r="H234" s="12">
        <v>4.0</v>
      </c>
      <c r="I234" s="12" t="s">
        <v>1141</v>
      </c>
      <c r="J234" s="12" t="s">
        <v>69</v>
      </c>
      <c r="L234" s="14" t="str">
        <f>IFERROR(__xludf.DUMMYFUNCTION("IF(REGEXMATCH($B234,L$1),$D234,"""")"),"")</f>
        <v/>
      </c>
      <c r="M234" s="14" t="str">
        <f>IFERROR(__xludf.DUMMYFUNCTION("IF(REGEXMATCH($B234,M$1),$D234,"""")"),"Spirit Construct")</f>
        <v>Spirit Construct</v>
      </c>
      <c r="N234" s="14" t="str">
        <f>IFERROR(__xludf.DUMMYFUNCTION("IF(REGEXMATCH($B234,N$1),$D234,"""")"),"")</f>
        <v/>
      </c>
      <c r="O234" s="14" t="str">
        <f>IFERROR(__xludf.DUMMYFUNCTION("IF(REGEXMATCH($B234,O$1),$D234,"""")"),"")</f>
        <v/>
      </c>
      <c r="P234" s="14" t="str">
        <f>IFERROR(__xludf.DUMMYFUNCTION("IF(REGEXMATCH($B234,P$1),$D234,"""")"),"")</f>
        <v/>
      </c>
      <c r="Q234" s="14">
        <f>IFERROR(__xludf.DUMMYFUNCTION("IF($A234="""","""",LEN(REGEXREPLACE($I234,"",\s?"","""")))"),4.0)</f>
        <v>4</v>
      </c>
      <c r="S234" s="14"/>
      <c r="T234" s="14"/>
      <c r="U234" s="14"/>
      <c r="V234" s="14"/>
      <c r="W234" s="14"/>
      <c r="X234" s="14"/>
      <c r="Y234" s="14"/>
      <c r="Z234" s="14"/>
      <c r="AA234" s="14"/>
      <c r="AB234" s="14"/>
    </row>
    <row r="235">
      <c r="A235" s="10" t="s">
        <v>1182</v>
      </c>
      <c r="B235" s="10" t="s">
        <v>12</v>
      </c>
      <c r="C235" s="12">
        <v>1.0</v>
      </c>
      <c r="D235" s="12" t="s">
        <v>364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f>
        <v/>
      </c>
      <c r="G235" s="46" t="s">
        <v>1183</v>
      </c>
      <c r="H235" s="12">
        <v>8.0</v>
      </c>
      <c r="I235" s="12" t="s">
        <v>1184</v>
      </c>
      <c r="J235" s="12" t="s">
        <v>33</v>
      </c>
      <c r="L235" s="14" t="str">
        <f>IFERROR(__xludf.DUMMYFUNCTION("IF(REGEXMATCH($B235,L$1),$D235,"""")"),"")</f>
        <v/>
      </c>
      <c r="M235" s="14" t="str">
        <f>IFERROR(__xludf.DUMMYFUNCTION("IF(REGEXMATCH($B235,M$1),$D235,"""")"),"Dinosaur")</f>
        <v>Dinosaur</v>
      </c>
      <c r="N235" s="14" t="str">
        <f>IFERROR(__xludf.DUMMYFUNCTION("IF(REGEXMATCH($B235,N$1),$D235,"""")"),"")</f>
        <v/>
      </c>
      <c r="O235" s="14" t="str">
        <f>IFERROR(__xludf.DUMMYFUNCTION("IF(REGEXMATCH($B235,O$1),$D235,"""")"),"")</f>
        <v/>
      </c>
      <c r="P235" s="14" t="str">
        <f>IFERROR(__xludf.DUMMYFUNCTION("IF(REGEXMATCH($B235,P$1),$D235,"""")"),"")</f>
        <v/>
      </c>
      <c r="Q235" s="14">
        <f>IFERROR(__xludf.DUMMYFUNCTION("IF($A235="""","""",LEN(REGEXREPLACE($I235,"",\s?"","""")))"),6.0)</f>
        <v>6</v>
      </c>
      <c r="S235" s="14"/>
      <c r="T235" s="14"/>
      <c r="U235" s="14"/>
      <c r="V235" s="14"/>
      <c r="W235" s="14"/>
      <c r="X235" s="14"/>
      <c r="Y235" s="14"/>
      <c r="Z235" s="14"/>
      <c r="AA235" s="14"/>
      <c r="AB235" s="14"/>
    </row>
    <row r="236" hidden="1">
      <c r="A236" s="20" t="s">
        <v>1185</v>
      </c>
      <c r="B236" s="85" t="s">
        <v>12</v>
      </c>
      <c r="C236" s="12">
        <v>2.0</v>
      </c>
      <c r="D236" s="12" t="s">
        <v>459</v>
      </c>
      <c r="E236" s="27"/>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3" t="s">
        <v>1186</v>
      </c>
      <c r="H236" s="12">
        <v>7.0</v>
      </c>
      <c r="I236" s="12" t="s">
        <v>1187</v>
      </c>
      <c r="J236" s="12" t="s">
        <v>33</v>
      </c>
      <c r="L236" s="14" t="str">
        <f>IFERROR(__xludf.DUMMYFUNCTION("IF(REGEXMATCH($B236,L$1),$D236,"""")"),"")</f>
        <v/>
      </c>
      <c r="M236" s="14" t="str">
        <f>IFERROR(__xludf.DUMMYFUNCTION("IF(REGEXMATCH($B236,M$1),$D236,"""")"),"Insect")</f>
        <v>Insect</v>
      </c>
      <c r="N236" s="14" t="str">
        <f>IFERROR(__xludf.DUMMYFUNCTION("IF(REGEXMATCH($B236,N$1),$D236,"""")"),"")</f>
        <v/>
      </c>
      <c r="O236" s="14" t="str">
        <f>IFERROR(__xludf.DUMMYFUNCTION("IF(REGEXMATCH($B236,O$1),$D236,"""")"),"")</f>
        <v/>
      </c>
      <c r="P236" s="14" t="str">
        <f>IFERROR(__xludf.DUMMYFUNCTION("IF(REGEXMATCH($B236,P$1),$D236,"""")"),"")</f>
        <v/>
      </c>
      <c r="Q236" s="14">
        <f>IFERROR(__xludf.DUMMYFUNCTION("IF($A236="""","""",LEN(REGEXREPLACE($I236,"",\s?"","""")))"),7.0)</f>
        <v>7</v>
      </c>
      <c r="S236" s="14"/>
      <c r="T236" s="14"/>
      <c r="U236" s="14"/>
      <c r="V236" s="14"/>
      <c r="W236" s="14"/>
      <c r="X236" s="14"/>
      <c r="Y236" s="14"/>
      <c r="Z236" s="14"/>
      <c r="AA236" s="14"/>
      <c r="AB236" s="14"/>
    </row>
    <row r="237" hidden="1">
      <c r="A237" s="28" t="s">
        <v>1188</v>
      </c>
      <c r="B237" s="86" t="s">
        <v>12</v>
      </c>
      <c r="C237" s="19">
        <v>2.0</v>
      </c>
      <c r="D237" s="19" t="s">
        <v>1189</v>
      </c>
      <c r="E237" s="20" t="s">
        <v>256</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f>
        <v/>
      </c>
      <c r="G237" s="21" t="s">
        <v>718</v>
      </c>
      <c r="H237" s="19">
        <v>2.0</v>
      </c>
      <c r="I237" s="19" t="s">
        <v>1134</v>
      </c>
      <c r="J237" s="19" t="s">
        <v>33</v>
      </c>
      <c r="L237" s="14" t="str">
        <f>IFERROR(__xludf.DUMMYFUNCTION("IF(REGEXMATCH($B237,L$1),$D237,"""")"),"")</f>
        <v/>
      </c>
      <c r="M237" s="14" t="str">
        <f>IFERROR(__xludf.DUMMYFUNCTION("IF(REGEXMATCH($B237,M$1),$D237,"""")"),"Crusader Warrior")</f>
        <v>Crusader Warrior</v>
      </c>
      <c r="N237" s="14" t="str">
        <f>IFERROR(__xludf.DUMMYFUNCTION("IF(REGEXMATCH($B237,N$1),$D237,"""")"),"")</f>
        <v/>
      </c>
      <c r="O237" s="14" t="str">
        <f>IFERROR(__xludf.DUMMYFUNCTION("IF(REGEXMATCH($B237,O$1),$D237,"""")"),"")</f>
        <v/>
      </c>
      <c r="P237" s="14" t="str">
        <f>IFERROR(__xludf.DUMMYFUNCTION("IF(REGEXMATCH($B237,P$1),$D237,"""")"),"")</f>
        <v/>
      </c>
      <c r="Q237" s="14">
        <f>IFERROR(__xludf.DUMMYFUNCTION("IF($A237="""","""",LEN(REGEXREPLACE($I237,"",\s?"","""")))"),2.0)</f>
        <v>2</v>
      </c>
      <c r="S237" s="14"/>
      <c r="T237" s="14"/>
      <c r="U237" s="14"/>
      <c r="V237" s="14"/>
      <c r="W237" s="14"/>
      <c r="X237" s="14"/>
      <c r="Y237" s="14"/>
      <c r="Z237" s="14"/>
      <c r="AA237" s="14"/>
      <c r="AB237" s="14"/>
    </row>
    <row r="238" hidden="1">
      <c r="A238" s="20" t="s">
        <v>1190</v>
      </c>
      <c r="B238" s="86" t="s">
        <v>12</v>
      </c>
      <c r="C238" s="19">
        <v>2.0</v>
      </c>
      <c r="D238" s="19" t="s">
        <v>127</v>
      </c>
      <c r="E238" s="20" t="s">
        <v>1191</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Crystal|.*crystal.*bury""),""Empty-Crystal"","""")&amp;IF(REGEXMATCH($E238,""Move|move""),""Move"","""")"),"Unearth Control Aggro ")</f>
        <v>Unearth Control Aggro </v>
      </c>
      <c r="G238" s="21" t="s">
        <v>1192</v>
      </c>
      <c r="H238" s="19">
        <v>2.0</v>
      </c>
      <c r="I238" s="12" t="s">
        <v>1187</v>
      </c>
      <c r="J238" s="12" t="s">
        <v>69</v>
      </c>
      <c r="L238" s="14" t="str">
        <f>IFERROR(__xludf.DUMMYFUNCTION("IF(REGEXMATCH($B238,L$1),$D238,"""")"),"")</f>
        <v/>
      </c>
      <c r="M238" s="14" t="str">
        <f>IFERROR(__xludf.DUMMYFUNCTION("IF(REGEXMATCH($B238,M$1),$D238,"""")"),"Animal Construct")</f>
        <v>Animal Construct</v>
      </c>
      <c r="N238" s="14" t="str">
        <f>IFERROR(__xludf.DUMMYFUNCTION("IF(REGEXMATCH($B238,N$1),$D238,"""")"),"")</f>
        <v/>
      </c>
      <c r="O238" s="14" t="str">
        <f>IFERROR(__xludf.DUMMYFUNCTION("IF(REGEXMATCH($B238,O$1),$D238,"""")"),"")</f>
        <v/>
      </c>
      <c r="P238" s="14" t="str">
        <f>IFERROR(__xludf.DUMMYFUNCTION("IF(REGEXMATCH($B238,P$1),$D238,"""")"),"")</f>
        <v/>
      </c>
      <c r="Q238" s="14">
        <f>IFERROR(__xludf.DUMMYFUNCTION("IF($A238="""","""",LEN(REGEXREPLACE($I238,"",\s?"","""")))"),7.0)</f>
        <v>7</v>
      </c>
      <c r="S238" s="14"/>
      <c r="T238" s="14"/>
      <c r="U238" s="14"/>
      <c r="V238" s="14"/>
      <c r="W238" s="14"/>
      <c r="X238" s="14"/>
      <c r="Y238" s="14"/>
      <c r="Z238" s="14"/>
      <c r="AA238" s="14"/>
      <c r="AB238" s="14"/>
    </row>
    <row r="239">
      <c r="A239" s="10" t="s">
        <v>1193</v>
      </c>
      <c r="B239" s="10" t="s">
        <v>12</v>
      </c>
      <c r="C239" s="12">
        <v>1.0</v>
      </c>
      <c r="D239" s="33" t="s">
        <v>360</v>
      </c>
      <c r="E239" s="10" t="s">
        <v>1194</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Crystal|.*crystal.*bury""),""Empty-Crystal"","""")&amp;IF(REGEXMATCH($E239,""Move|move""),""Move"","""")"),"Ramp ")</f>
        <v>Ramp </v>
      </c>
      <c r="G239" s="13" t="s">
        <v>1195</v>
      </c>
      <c r="H239" s="12">
        <v>5.0</v>
      </c>
      <c r="I239" s="12" t="s">
        <v>1126</v>
      </c>
      <c r="J239" s="12" t="s">
        <v>33</v>
      </c>
      <c r="L239" s="14" t="str">
        <f>IFERROR(__xludf.DUMMYFUNCTION("IF(REGEXMATCH($B239,L$1),$D239,"""")"),"")</f>
        <v/>
      </c>
      <c r="M239" s="14" t="str">
        <f>IFERROR(__xludf.DUMMYFUNCTION("IF(REGEXMATCH($B239,M$1),$D239,"""")"),"Construct Dinosaur")</f>
        <v>Construct Dinosaur</v>
      </c>
      <c r="N239" s="14" t="str">
        <f>IFERROR(__xludf.DUMMYFUNCTION("IF(REGEXMATCH($B239,N$1),$D239,"""")"),"")</f>
        <v/>
      </c>
      <c r="O239" s="14" t="str">
        <f>IFERROR(__xludf.DUMMYFUNCTION("IF(REGEXMATCH($B239,O$1),$D239,"""")"),"")</f>
        <v/>
      </c>
      <c r="P239" s="14" t="str">
        <f>IFERROR(__xludf.DUMMYFUNCTION("IF(REGEXMATCH($B239,P$1),$D239,"""")"),"")</f>
        <v/>
      </c>
      <c r="Q239" s="14">
        <f>IFERROR(__xludf.DUMMYFUNCTION("IF($A239="""","""",LEN(REGEXREPLACE($I239,"",\s?"","""")))"),5.0)</f>
        <v>5</v>
      </c>
      <c r="S239" s="14"/>
      <c r="T239" s="14"/>
      <c r="U239" s="14"/>
      <c r="V239" s="14"/>
      <c r="W239" s="14"/>
      <c r="X239" s="14"/>
      <c r="Y239" s="14"/>
      <c r="Z239" s="14"/>
      <c r="AA239" s="14"/>
      <c r="AB239" s="14"/>
    </row>
    <row r="240">
      <c r="A240" s="20" t="s">
        <v>1196</v>
      </c>
      <c r="B240" s="20" t="s">
        <v>12</v>
      </c>
      <c r="C240" s="19">
        <v>1.0</v>
      </c>
      <c r="D240" s="19" t="s">
        <v>110</v>
      </c>
      <c r="E240" s="10" t="s">
        <v>1197</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Crystal|.*crystal.*bury""),""Empty-Crystal"","""")&amp;IF(REGEXMATCH($E240,""Move|move""),""Move"","""")"),"Unearth ")</f>
        <v>Unearth </v>
      </c>
      <c r="G240" s="13" t="s">
        <v>1198</v>
      </c>
      <c r="H240" s="19">
        <v>2.0</v>
      </c>
      <c r="I240" s="19" t="s">
        <v>1134</v>
      </c>
      <c r="J240" s="19" t="s">
        <v>33</v>
      </c>
      <c r="L240" s="14" t="str">
        <f>IFERROR(__xludf.DUMMYFUNCTION("IF(REGEXMATCH($B240,L$1),$D240,"""")"),"")</f>
        <v/>
      </c>
      <c r="M240" s="14" t="str">
        <f>IFERROR(__xludf.DUMMYFUNCTION("IF(REGEXMATCH($B240,M$1),$D240,"""")"),"Animal")</f>
        <v>Animal</v>
      </c>
      <c r="N240" s="14" t="str">
        <f>IFERROR(__xludf.DUMMYFUNCTION("IF(REGEXMATCH($B240,N$1),$D240,"""")"),"")</f>
        <v/>
      </c>
      <c r="O240" s="14" t="str">
        <f>IFERROR(__xludf.DUMMYFUNCTION("IF(REGEXMATCH($B240,O$1),$D240,"""")"),"")</f>
        <v/>
      </c>
      <c r="P240" s="14" t="str">
        <f>IFERROR(__xludf.DUMMYFUNCTION("IF(REGEXMATCH($B240,P$1),$D240,"""")"),"")</f>
        <v/>
      </c>
      <c r="Q240" s="14">
        <f>IFERROR(__xludf.DUMMYFUNCTION("IF($A240="""","""",LEN(REGEXREPLACE($I240,"",\s?"","""")))"),2.0)</f>
        <v>2</v>
      </c>
      <c r="S240" s="14"/>
      <c r="T240" s="14"/>
      <c r="U240" s="14"/>
      <c r="V240" s="14"/>
      <c r="W240" s="14"/>
      <c r="X240" s="14"/>
      <c r="Y240" s="14"/>
      <c r="Z240" s="14"/>
      <c r="AA240" s="14"/>
      <c r="AB240" s="14"/>
    </row>
    <row r="241">
      <c r="A241" s="10" t="s">
        <v>1199</v>
      </c>
      <c r="B241" s="10" t="s">
        <v>12</v>
      </c>
      <c r="C241" s="12">
        <v>1.0</v>
      </c>
      <c r="D241" s="12" t="s">
        <v>459</v>
      </c>
      <c r="E241" s="70" t="s">
        <v>1200</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Crystal|.*crystal.*bury""),""Empty-Crystal"","""")&amp;IF(REGEXMATCH($E241,""Move|move""),""Move"","""")"),"Insect Move")</f>
        <v>Insect Move</v>
      </c>
      <c r="G241" s="13" t="s">
        <v>1201</v>
      </c>
      <c r="H241" s="12">
        <v>3.0</v>
      </c>
      <c r="I241" s="12" t="s">
        <v>1141</v>
      </c>
      <c r="J241" s="12" t="s">
        <v>69</v>
      </c>
      <c r="L241" s="14" t="str">
        <f>IFERROR(__xludf.DUMMYFUNCTION("IF(REGEXMATCH($B241,L$1),$D241,"""")"),"")</f>
        <v/>
      </c>
      <c r="M241" s="14" t="str">
        <f>IFERROR(__xludf.DUMMYFUNCTION("IF(REGEXMATCH($B241,M$1),$D241,"""")"),"Insect")</f>
        <v>Insect</v>
      </c>
      <c r="N241" s="14" t="str">
        <f>IFERROR(__xludf.DUMMYFUNCTION("IF(REGEXMATCH($B241,N$1),$D241,"""")"),"")</f>
        <v/>
      </c>
      <c r="O241" s="14" t="str">
        <f>IFERROR(__xludf.DUMMYFUNCTION("IF(REGEXMATCH($B241,O$1),$D241,"""")"),"")</f>
        <v/>
      </c>
      <c r="P241" s="14" t="str">
        <f>IFERROR(__xludf.DUMMYFUNCTION("IF(REGEXMATCH($B241,P$1),$D241,"""")"),"")</f>
        <v/>
      </c>
      <c r="Q241" s="14">
        <f>IFERROR(__xludf.DUMMYFUNCTION("IF($A241="""","""",LEN(REGEXREPLACE($I241,"",\s?"","""")))"),4.0)</f>
        <v>4</v>
      </c>
      <c r="S241" s="14"/>
      <c r="T241" s="14"/>
      <c r="U241" s="14"/>
      <c r="V241" s="14"/>
      <c r="W241" s="14"/>
      <c r="X241" s="14"/>
      <c r="Y241" s="14"/>
      <c r="Z241" s="14"/>
      <c r="AA241" s="14"/>
      <c r="AB241" s="14"/>
    </row>
    <row r="242" hidden="1">
      <c r="A242" s="20" t="s">
        <v>1202</v>
      </c>
      <c r="B242" s="86" t="s">
        <v>12</v>
      </c>
      <c r="C242" s="19">
        <v>2.0</v>
      </c>
      <c r="D242" s="19" t="s">
        <v>110</v>
      </c>
      <c r="E242" s="20" t="s">
        <v>1203</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Crystal|.*crystal.*bury""),""Empty-Crystal"","""")&amp;IF(REGEXMATCH($E242,""Move|move""),""Move"","""")"),"Animal Ascend ")</f>
        <v>Animal Ascend </v>
      </c>
      <c r="G242" s="21" t="s">
        <v>31</v>
      </c>
      <c r="H242" s="19">
        <v>1.0</v>
      </c>
      <c r="I242" s="19" t="s">
        <v>1134</v>
      </c>
      <c r="J242" s="19" t="s">
        <v>33</v>
      </c>
      <c r="L242" s="14" t="str">
        <f>IFERROR(__xludf.DUMMYFUNCTION("IF(REGEXMATCH($B242,L$1),$D242,"""")"),"")</f>
        <v/>
      </c>
      <c r="M242" s="14" t="str">
        <f>IFERROR(__xludf.DUMMYFUNCTION("IF(REGEXMATCH($B242,M$1),$D242,"""")"),"Animal")</f>
        <v>Animal</v>
      </c>
      <c r="N242" s="14" t="str">
        <f>IFERROR(__xludf.DUMMYFUNCTION("IF(REGEXMATCH($B242,N$1),$D242,"""")"),"")</f>
        <v/>
      </c>
      <c r="O242" s="14" t="str">
        <f>IFERROR(__xludf.DUMMYFUNCTION("IF(REGEXMATCH($B242,O$1),$D242,"""")"),"")</f>
        <v/>
      </c>
      <c r="P242" s="14" t="str">
        <f>IFERROR(__xludf.DUMMYFUNCTION("IF(REGEXMATCH($B242,P$1),$D242,"""")"),"")</f>
        <v/>
      </c>
      <c r="Q242" s="14">
        <f>IFERROR(__xludf.DUMMYFUNCTION("IF($A242="""","""",LEN(REGEXREPLACE($I242,"",\s?"","""")))"),2.0)</f>
        <v>2</v>
      </c>
      <c r="S242" s="14"/>
      <c r="T242" s="14"/>
      <c r="U242" s="14"/>
      <c r="V242" s="14"/>
      <c r="W242" s="14"/>
      <c r="X242" s="14"/>
      <c r="Y242" s="14"/>
      <c r="Z242" s="14"/>
      <c r="AA242" s="14"/>
      <c r="AB242" s="14"/>
    </row>
    <row r="243">
      <c r="A243" s="10" t="s">
        <v>1204</v>
      </c>
      <c r="B243" s="10" t="s">
        <v>12</v>
      </c>
      <c r="C243" s="12">
        <v>1.0</v>
      </c>
      <c r="D243" s="12" t="s">
        <v>1205</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f>
        <v/>
      </c>
      <c r="G243" s="13" t="s">
        <v>1206</v>
      </c>
      <c r="H243" s="12">
        <v>4.0</v>
      </c>
      <c r="I243" s="12" t="s">
        <v>1207</v>
      </c>
      <c r="J243" s="12" t="s">
        <v>33</v>
      </c>
      <c r="L243" s="14" t="str">
        <f>IFERROR(__xludf.DUMMYFUNCTION("IF(REGEXMATCH($B243,L$1),$D243,"""")"),"")</f>
        <v/>
      </c>
      <c r="M243" s="14" t="str">
        <f>IFERROR(__xludf.DUMMYFUNCTION("IF(REGEXMATCH($B243,M$1),$D243,"""")"),"Plant Spirit")</f>
        <v>Plant Spirit</v>
      </c>
      <c r="N243" s="14" t="str">
        <f>IFERROR(__xludf.DUMMYFUNCTION("IF(REGEXMATCH($B243,N$1),$D243,"""")"),"")</f>
        <v/>
      </c>
      <c r="O243" s="14" t="str">
        <f>IFERROR(__xludf.DUMMYFUNCTION("IF(REGEXMATCH($B243,O$1),$D243,"""")"),"")</f>
        <v/>
      </c>
      <c r="P243" s="14" t="str">
        <f>IFERROR(__xludf.DUMMYFUNCTION("IF(REGEXMATCH($B243,P$1),$D243,"""")"),"")</f>
        <v/>
      </c>
      <c r="Q243" s="14">
        <f>IFERROR(__xludf.DUMMYFUNCTION("IF($A243="""","""",LEN(REGEXREPLACE($I243,"",\s?"","""")))"),3.0)</f>
        <v>3</v>
      </c>
      <c r="S243" s="14"/>
      <c r="T243" s="14"/>
      <c r="U243" s="14"/>
      <c r="V243" s="14"/>
      <c r="W243" s="14"/>
      <c r="X243" s="14"/>
      <c r="Y243" s="14"/>
      <c r="Z243" s="14"/>
      <c r="AA243" s="14"/>
      <c r="AB243" s="14"/>
    </row>
    <row r="244" hidden="1">
      <c r="A244" s="20" t="s">
        <v>1208</v>
      </c>
      <c r="B244" s="20" t="s">
        <v>12</v>
      </c>
      <c r="C244" s="19">
        <v>2.0</v>
      </c>
      <c r="D244" s="19" t="s">
        <v>1209</v>
      </c>
      <c r="E244" s="20" t="s">
        <v>1210</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Crystal|.*crystal.*bury""),""Empty-Crystal"","""")&amp;IF(REGEXMATCH($E244,""Move|move""),""Move"","""")"),"Hunter Unearth ")</f>
        <v>Hunter Unearth </v>
      </c>
      <c r="G244" s="21" t="s">
        <v>1211</v>
      </c>
      <c r="H244" s="19">
        <v>5.0</v>
      </c>
      <c r="I244" s="19" t="s">
        <v>1126</v>
      </c>
      <c r="J244" s="19" t="s">
        <v>39</v>
      </c>
      <c r="L244" s="14" t="str">
        <f>IFERROR(__xludf.DUMMYFUNCTION("IF(REGEXMATCH($B244,L$1),$D244,"""")"),"")</f>
        <v/>
      </c>
      <c r="M244" s="14" t="str">
        <f>IFERROR(__xludf.DUMMYFUNCTION("IF(REGEXMATCH($B244,M$1),$D244,"""")"),"Hunter Insect")</f>
        <v>Hunter Insect</v>
      </c>
      <c r="N244" s="14" t="str">
        <f>IFERROR(__xludf.DUMMYFUNCTION("IF(REGEXMATCH($B244,N$1),$D244,"""")"),"")</f>
        <v/>
      </c>
      <c r="O244" s="14" t="str">
        <f>IFERROR(__xludf.DUMMYFUNCTION("IF(REGEXMATCH($B244,O$1),$D244,"""")"),"")</f>
        <v/>
      </c>
      <c r="P244" s="14" t="str">
        <f>IFERROR(__xludf.DUMMYFUNCTION("IF(REGEXMATCH($B244,P$1),$D244,"""")"),"")</f>
        <v/>
      </c>
      <c r="Q244" s="14">
        <f>IFERROR(__xludf.DUMMYFUNCTION("IF($A244="""","""",LEN(REGEXREPLACE($I244,"",\s?"","""")))"),5.0)</f>
        <v>5</v>
      </c>
      <c r="S244" s="14"/>
      <c r="T244" s="14"/>
      <c r="U244" s="14"/>
      <c r="V244" s="14"/>
      <c r="W244" s="14"/>
      <c r="X244" s="14"/>
      <c r="Y244" s="14"/>
      <c r="Z244" s="14"/>
      <c r="AA244" s="14"/>
      <c r="AB244" s="14"/>
    </row>
    <row r="245">
      <c r="A245" s="10" t="s">
        <v>1212</v>
      </c>
      <c r="B245" s="10" t="s">
        <v>12</v>
      </c>
      <c r="C245" s="12">
        <v>1.0</v>
      </c>
      <c r="D245" s="12" t="s">
        <v>1077</v>
      </c>
      <c r="E245" s="20" t="s">
        <v>1213</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Crystal|.*crystal.*bury""),""Empty-Crystal"","""")&amp;IF(REGEXMATCH($E245,""Move|move""),""Move"","""")"),"Plant ")</f>
        <v>Plant </v>
      </c>
      <c r="G245" s="13" t="s">
        <v>1214</v>
      </c>
      <c r="H245" s="12">
        <v>3.0</v>
      </c>
      <c r="I245" s="12" t="s">
        <v>1207</v>
      </c>
      <c r="J245" s="12" t="s">
        <v>33</v>
      </c>
      <c r="L245" s="14" t="str">
        <f>IFERROR(__xludf.DUMMYFUNCTION("IF(REGEXMATCH($B245,L$1),$D245,"""")"),"")</f>
        <v/>
      </c>
      <c r="M245" s="14" t="str">
        <f>IFERROR(__xludf.DUMMYFUNCTION("IF(REGEXMATCH($B245,M$1),$D245,"""")"),"Plant")</f>
        <v>Plant</v>
      </c>
      <c r="N245" s="14" t="str">
        <f>IFERROR(__xludf.DUMMYFUNCTION("IF(REGEXMATCH($B245,N$1),$D245,"""")"),"")</f>
        <v/>
      </c>
      <c r="O245" s="14" t="str">
        <f>IFERROR(__xludf.DUMMYFUNCTION("IF(REGEXMATCH($B245,O$1),$D245,"""")"),"")</f>
        <v/>
      </c>
      <c r="P245" s="14" t="str">
        <f>IFERROR(__xludf.DUMMYFUNCTION("IF(REGEXMATCH($B245,P$1),$D245,"""")"),"")</f>
        <v/>
      </c>
      <c r="Q245" s="14">
        <f>IFERROR(__xludf.DUMMYFUNCTION("IF($A245="""","""",LEN(REGEXREPLACE($I245,"",\s?"","""")))"),3.0)</f>
        <v>3</v>
      </c>
      <c r="S245" s="14"/>
      <c r="T245" s="14"/>
      <c r="U245" s="14"/>
      <c r="V245" s="14"/>
      <c r="W245" s="14"/>
      <c r="X245" s="14"/>
      <c r="Y245" s="14"/>
      <c r="Z245" s="14"/>
      <c r="AA245" s="14"/>
      <c r="AB245" s="14"/>
    </row>
    <row r="246">
      <c r="A246" s="14" t="s">
        <v>1215</v>
      </c>
      <c r="B246" s="10" t="s">
        <v>12</v>
      </c>
      <c r="C246" s="12">
        <v>1.0</v>
      </c>
      <c r="D246" s="12" t="s">
        <v>1216</v>
      </c>
      <c r="E246" s="10" t="s">
        <v>1217</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Crystal|.*crystal.*bury""),""Empty-Crystal"","""")&amp;IF(REGEXMATCH($E246,""Move|move""),""Move"","""")"),"Ramp ")</f>
        <v>Ramp </v>
      </c>
      <c r="G246" s="13" t="s">
        <v>1218</v>
      </c>
      <c r="H246" s="12">
        <v>2.0</v>
      </c>
      <c r="I246" s="12" t="s">
        <v>1158</v>
      </c>
      <c r="J246" s="24" t="s">
        <v>33</v>
      </c>
      <c r="L246" s="14" t="str">
        <f>IFERROR(__xludf.DUMMYFUNCTION("IF(REGEXMATCH($B246,L$1),$D246,"""")"),"")</f>
        <v/>
      </c>
      <c r="M246" s="14" t="str">
        <f>IFERROR(__xludf.DUMMYFUNCTION("IF(REGEXMATCH($B246,M$1),$D246,"""")"),"Dinosaur Plant")</f>
        <v>Dinosaur Plant</v>
      </c>
      <c r="N246" s="14" t="str">
        <f>IFERROR(__xludf.DUMMYFUNCTION("IF(REGEXMATCH($B246,N$1),$D246,"""")"),"")</f>
        <v/>
      </c>
      <c r="O246" s="14" t="str">
        <f>IFERROR(__xludf.DUMMYFUNCTION("IF(REGEXMATCH($B246,O$1),$D246,"""")"),"")</f>
        <v/>
      </c>
      <c r="P246" s="14" t="str">
        <f>IFERROR(__xludf.DUMMYFUNCTION("IF(REGEXMATCH($B246,P$1),$D246,"""")"),"")</f>
        <v/>
      </c>
      <c r="Q246" s="14">
        <f>IFERROR(__xludf.DUMMYFUNCTION("IF($A246="""","""",LEN(REGEXREPLACE($I246,"",\s?"","""")))"),1.0)</f>
        <v>1</v>
      </c>
      <c r="S246" s="14"/>
      <c r="T246" s="14"/>
      <c r="U246" s="14"/>
      <c r="V246" s="14"/>
      <c r="W246" s="14"/>
      <c r="X246" s="14"/>
      <c r="Y246" s="14"/>
      <c r="Z246" s="14"/>
      <c r="AA246" s="14"/>
      <c r="AB246" s="14"/>
    </row>
    <row r="247">
      <c r="A247" s="10" t="s">
        <v>1219</v>
      </c>
      <c r="B247" s="10" t="s">
        <v>12</v>
      </c>
      <c r="C247" s="12">
        <v>1.0</v>
      </c>
      <c r="D247" s="12" t="s">
        <v>1077</v>
      </c>
      <c r="E247" s="20" t="s">
        <v>1220</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Crystal|.*crystal.*bury""),""Empty-Crystal"","""")&amp;IF(REGEXMATCH($E247,""Move|move""),""Move"","""")"),"Plant ")</f>
        <v>Plant </v>
      </c>
      <c r="G247" s="21" t="s">
        <v>1221</v>
      </c>
      <c r="H247" s="12">
        <v>2.0</v>
      </c>
      <c r="I247" s="12" t="s">
        <v>1134</v>
      </c>
      <c r="J247" s="12" t="s">
        <v>33</v>
      </c>
      <c r="L247" s="14" t="str">
        <f>IFERROR(__xludf.DUMMYFUNCTION("IF(REGEXMATCH($B247,L$1),$D247,"""")"),"")</f>
        <v/>
      </c>
      <c r="M247" s="14" t="str">
        <f>IFERROR(__xludf.DUMMYFUNCTION("IF(REGEXMATCH($B247,M$1),$D247,"""")"),"Plant")</f>
        <v>Plant</v>
      </c>
      <c r="N247" s="14" t="str">
        <f>IFERROR(__xludf.DUMMYFUNCTION("IF(REGEXMATCH($B247,N$1),$D247,"""")"),"")</f>
        <v/>
      </c>
      <c r="O247" s="14" t="str">
        <f>IFERROR(__xludf.DUMMYFUNCTION("IF(REGEXMATCH($B247,O$1),$D247,"""")"),"")</f>
        <v/>
      </c>
      <c r="P247" s="14" t="str">
        <f>IFERROR(__xludf.DUMMYFUNCTION("IF(REGEXMATCH($B247,P$1),$D247,"""")"),"")</f>
        <v/>
      </c>
      <c r="Q247" s="14">
        <f>IFERROR(__xludf.DUMMYFUNCTION("IF($A247="""","""",LEN(REGEXREPLACE($I247,"",\s?"","""")))"),2.0)</f>
        <v>2</v>
      </c>
      <c r="S247" s="14"/>
      <c r="T247" s="14"/>
      <c r="U247" s="14"/>
      <c r="V247" s="14"/>
      <c r="W247" s="14"/>
      <c r="X247" s="14"/>
      <c r="Y247" s="14"/>
      <c r="Z247" s="14"/>
      <c r="AA247" s="14"/>
      <c r="AB247" s="14"/>
    </row>
    <row r="248">
      <c r="A248" s="72" t="s">
        <v>1222</v>
      </c>
      <c r="B248" s="10" t="s">
        <v>12</v>
      </c>
      <c r="C248" s="12">
        <v>1.0</v>
      </c>
      <c r="D248" s="12" t="s">
        <v>1223</v>
      </c>
      <c r="E248" s="10" t="s">
        <v>1224</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21" t="s">
        <v>1225</v>
      </c>
      <c r="H248" s="12">
        <v>5.0</v>
      </c>
      <c r="I248" s="12" t="s">
        <v>1226</v>
      </c>
      <c r="J248" s="12" t="s">
        <v>69</v>
      </c>
      <c r="L248" s="14" t="str">
        <f>IFERROR(__xludf.DUMMYFUNCTION("IF(REGEXMATCH($B248,L$1),$D248,"""")"),"")</f>
        <v/>
      </c>
      <c r="M248" s="14" t="str">
        <f>IFERROR(__xludf.DUMMYFUNCTION("IF(REGEXMATCH($B248,M$1),$D248,"""")"),"Dinosaur Demon")</f>
        <v>Dinosaur Demon</v>
      </c>
      <c r="N248" s="14" t="str">
        <f>IFERROR(__xludf.DUMMYFUNCTION("IF(REGEXMATCH($B248,N$1),$D248,"""")"),"")</f>
        <v/>
      </c>
      <c r="O248" s="14" t="str">
        <f>IFERROR(__xludf.DUMMYFUNCTION("IF(REGEXMATCH($B248,O$1),$D248,"""")"),"")</f>
        <v/>
      </c>
      <c r="P248" s="14" t="str">
        <f>IFERROR(__xludf.DUMMYFUNCTION("IF(REGEXMATCH($B248,P$1),$D248,"""")"),"")</f>
        <v/>
      </c>
      <c r="Q248" s="14">
        <f>IFERROR(__xludf.DUMMYFUNCTION("IF($A248="""","""",LEN(REGEXREPLACE($I248,"",\s?"","""")))"),5.0)</f>
        <v>5</v>
      </c>
      <c r="S248" s="14"/>
      <c r="T248" s="14"/>
      <c r="U248" s="14"/>
      <c r="V248" s="14"/>
      <c r="W248" s="14"/>
      <c r="X248" s="14"/>
      <c r="Y248" s="14"/>
      <c r="Z248" s="14"/>
      <c r="AA248" s="14"/>
      <c r="AB248" s="14"/>
    </row>
    <row r="249" hidden="1">
      <c r="A249" s="20" t="s">
        <v>1227</v>
      </c>
      <c r="B249" s="86" t="s">
        <v>12</v>
      </c>
      <c r="C249" s="19">
        <v>2.0</v>
      </c>
      <c r="D249" s="19" t="s">
        <v>1228</v>
      </c>
      <c r="E249" s="20" t="s">
        <v>1229</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Copy ")</f>
        <v>Dinosaur Copy </v>
      </c>
      <c r="G249" s="21" t="s">
        <v>865</v>
      </c>
      <c r="H249" s="19">
        <v>4.0</v>
      </c>
      <c r="I249" s="19" t="s">
        <v>1126</v>
      </c>
      <c r="J249" s="19" t="s">
        <v>33</v>
      </c>
      <c r="L249" s="14" t="str">
        <f>IFERROR(__xludf.DUMMYFUNCTION("IF(REGEXMATCH($B249,L$1),$D249,"""")"),"")</f>
        <v/>
      </c>
      <c r="M249" s="14" t="str">
        <f>IFERROR(__xludf.DUMMYFUNCTION("IF(REGEXMATCH($B249,M$1),$D249,"""")"),"Dinosaur Hunter")</f>
        <v>Dinosaur Hunter</v>
      </c>
      <c r="N249" s="14" t="str">
        <f>IFERROR(__xludf.DUMMYFUNCTION("IF(REGEXMATCH($B249,N$1),$D249,"""")"),"")</f>
        <v/>
      </c>
      <c r="O249" s="14" t="str">
        <f>IFERROR(__xludf.DUMMYFUNCTION("IF(REGEXMATCH($B249,O$1),$D249,"""")"),"")</f>
        <v/>
      </c>
      <c r="P249" s="14" t="str">
        <f>IFERROR(__xludf.DUMMYFUNCTION("IF(REGEXMATCH($B249,P$1),$D249,"""")"),"")</f>
        <v/>
      </c>
      <c r="Q249" s="14">
        <f>IFERROR(__xludf.DUMMYFUNCTION("IF($A249="""","""",LEN(REGEXREPLACE($I249,"",\s?"","""")))"),5.0)</f>
        <v>5</v>
      </c>
      <c r="S249" s="14"/>
      <c r="T249" s="14"/>
      <c r="U249" s="14"/>
      <c r="V249" s="14"/>
      <c r="W249" s="14"/>
      <c r="X249" s="14"/>
      <c r="Y249" s="14"/>
      <c r="Z249" s="14"/>
      <c r="AA249" s="14"/>
      <c r="AB249" s="14"/>
    </row>
    <row r="250" hidden="1">
      <c r="A250" s="25" t="s">
        <v>1230</v>
      </c>
      <c r="B250" s="85" t="s">
        <v>12</v>
      </c>
      <c r="C250" s="12">
        <v>0.0</v>
      </c>
      <c r="D250" s="12" t="s">
        <v>1143</v>
      </c>
      <c r="E250" s="10" t="s">
        <v>1231</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Crystal|.*crystal.*bury""),""Empty-Crystal"","""")&amp;IF(REGEXMATCH($E250,""Move|move""),""Move"","""")"),"Ramp ")</f>
        <v>Ramp </v>
      </c>
      <c r="G250" s="13" t="s">
        <v>1232</v>
      </c>
      <c r="H250" s="12">
        <v>5.0</v>
      </c>
      <c r="I250" s="12" t="s">
        <v>1126</v>
      </c>
      <c r="J250" s="12" t="s">
        <v>33</v>
      </c>
      <c r="L250" s="14" t="str">
        <f>IFERROR(__xludf.DUMMYFUNCTION("IF(REGEXMATCH($B250,L$1),$D250,"""")"),"")</f>
        <v/>
      </c>
      <c r="M250" s="14" t="str">
        <f>IFERROR(__xludf.DUMMYFUNCTION("IF(REGEXMATCH($B250,M$1),$D250,"""")"),"Animal Plant")</f>
        <v>Animal Plant</v>
      </c>
      <c r="N250" s="14" t="str">
        <f>IFERROR(__xludf.DUMMYFUNCTION("IF(REGEXMATCH($B250,N$1),$D250,"""")"),"")</f>
        <v/>
      </c>
      <c r="O250" s="14" t="str">
        <f>IFERROR(__xludf.DUMMYFUNCTION("IF(REGEXMATCH($B250,O$1),$D250,"""")"),"")</f>
        <v/>
      </c>
      <c r="P250" s="14" t="str">
        <f>IFERROR(__xludf.DUMMYFUNCTION("IF(REGEXMATCH($B250,P$1),$D250,"""")"),"")</f>
        <v/>
      </c>
      <c r="Q250" s="14">
        <f>IFERROR(__xludf.DUMMYFUNCTION("IF($A250="""","""",LEN(REGEXREPLACE($I250,"",\s?"","""")))"),5.0)</f>
        <v>5</v>
      </c>
      <c r="S250" s="14"/>
      <c r="T250" s="14"/>
      <c r="U250" s="14"/>
      <c r="V250" s="14"/>
      <c r="W250" s="14"/>
      <c r="X250" s="14"/>
      <c r="Y250" s="14"/>
      <c r="Z250" s="14"/>
      <c r="AA250" s="14"/>
      <c r="AB250" s="14"/>
    </row>
    <row r="251" ht="14.25" hidden="1" customHeight="1">
      <c r="A251" s="10" t="s">
        <v>1233</v>
      </c>
      <c r="B251" s="70" t="s">
        <v>12</v>
      </c>
      <c r="C251" s="12">
        <v>2.0</v>
      </c>
      <c r="D251" s="12" t="s">
        <v>459</v>
      </c>
      <c r="E251" s="10" t="s">
        <v>1234</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Crystal|.*crystal.*bury""),""Empty-Crystal"","""")&amp;IF(REGEXMATCH($E251,""Move|move""),""Move"","""")"),"Nature ")</f>
        <v>Nature </v>
      </c>
      <c r="G251" s="13" t="s">
        <v>1235</v>
      </c>
      <c r="H251" s="12">
        <v>1.0</v>
      </c>
      <c r="I251" s="12" t="s">
        <v>1122</v>
      </c>
      <c r="J251" s="12" t="s">
        <v>69</v>
      </c>
      <c r="L251" s="14" t="str">
        <f>IFERROR(__xludf.DUMMYFUNCTION("IF(REGEXMATCH($B251,L$1),$D251,"""")"),"")</f>
        <v/>
      </c>
      <c r="M251" s="14" t="str">
        <f>IFERROR(__xludf.DUMMYFUNCTION("IF(REGEXMATCH($B251,M$1),$D251,"""")"),"Insect")</f>
        <v>Insect</v>
      </c>
      <c r="N251" s="14" t="str">
        <f>IFERROR(__xludf.DUMMYFUNCTION("IF(REGEXMATCH($B251,N$1),$D251,"""")"),"")</f>
        <v/>
      </c>
      <c r="O251" s="14" t="str">
        <f>IFERROR(__xludf.DUMMYFUNCTION("IF(REGEXMATCH($B251,O$1),$D251,"""")"),"")</f>
        <v/>
      </c>
      <c r="P251" s="14" t="str">
        <f>IFERROR(__xludf.DUMMYFUNCTION("IF(REGEXMATCH($B251,P$1),$D251,"""")"),"")</f>
        <v/>
      </c>
      <c r="Q251" s="14">
        <f>IFERROR(__xludf.DUMMYFUNCTION("IF($A251="""","""",LEN(REGEXREPLACE($I251,"",\s?"","""")))"),3.0)</f>
        <v>3</v>
      </c>
      <c r="S251" s="14"/>
      <c r="T251" s="14"/>
      <c r="U251" s="14"/>
      <c r="V251" s="14"/>
      <c r="W251" s="14"/>
      <c r="X251" s="14"/>
      <c r="Y251" s="14"/>
      <c r="Z251" s="14"/>
      <c r="AA251" s="14"/>
      <c r="AB251" s="14"/>
    </row>
    <row r="252">
      <c r="A252" s="10" t="s">
        <v>1236</v>
      </c>
      <c r="B252" s="10" t="s">
        <v>12</v>
      </c>
      <c r="C252" s="12">
        <v>1.0</v>
      </c>
      <c r="D252" s="12" t="s">
        <v>459</v>
      </c>
      <c r="E252" s="35" t="s">
        <v>1237</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Crystal|.*crystal.*bury""),""Empty-Crystal"","""")&amp;IF(REGEXMATCH($E252,""Move|move""),""Move"","""")"),"Insect Move")</f>
        <v>Insect Move</v>
      </c>
      <c r="G252" s="21" t="s">
        <v>1238</v>
      </c>
      <c r="H252" s="12">
        <v>2.0</v>
      </c>
      <c r="I252" s="12" t="s">
        <v>1134</v>
      </c>
      <c r="J252" s="12" t="s">
        <v>33</v>
      </c>
      <c r="L252" s="14" t="str">
        <f>IFERROR(__xludf.DUMMYFUNCTION("IF(REGEXMATCH($B252,L$1),$D252,"""")"),"")</f>
        <v/>
      </c>
      <c r="M252" s="14" t="str">
        <f>IFERROR(__xludf.DUMMYFUNCTION("IF(REGEXMATCH($B252,M$1),$D252,"""")"),"Insect")</f>
        <v>Insect</v>
      </c>
      <c r="N252" s="14" t="str">
        <f>IFERROR(__xludf.DUMMYFUNCTION("IF(REGEXMATCH($B252,N$1),$D252,"""")"),"")</f>
        <v/>
      </c>
      <c r="O252" s="14" t="str">
        <f>IFERROR(__xludf.DUMMYFUNCTION("IF(REGEXMATCH($B252,O$1),$D252,"""")"),"")</f>
        <v/>
      </c>
      <c r="P252" s="14" t="str">
        <f>IFERROR(__xludf.DUMMYFUNCTION("IF(REGEXMATCH($B252,P$1),$D252,"""")"),"")</f>
        <v/>
      </c>
      <c r="Q252" s="14">
        <f>IFERROR(__xludf.DUMMYFUNCTION("IF($A252="""","""",LEN(REGEXREPLACE($I252,"",\s?"","""")))"),2.0)</f>
        <v>2</v>
      </c>
      <c r="S252" s="14"/>
      <c r="T252" s="14"/>
      <c r="U252" s="14"/>
      <c r="V252" s="14"/>
      <c r="W252" s="14"/>
      <c r="X252" s="14"/>
      <c r="Y252" s="14"/>
      <c r="Z252" s="14"/>
      <c r="AA252" s="14"/>
      <c r="AB252" s="14"/>
    </row>
    <row r="253">
      <c r="A253" s="28" t="s">
        <v>1239</v>
      </c>
      <c r="B253" s="20" t="s">
        <v>12</v>
      </c>
      <c r="C253" s="19">
        <v>1.0</v>
      </c>
      <c r="D253" s="19" t="s">
        <v>1173</v>
      </c>
      <c r="E253" s="20" t="s">
        <v>1240</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Crystal|.*crystal.*bury""),""Empty-Crystal"","""")&amp;IF(REGEXMATCH($E253,""Move|move""),""Move"","""")"),"Nature ")</f>
        <v>Nature </v>
      </c>
      <c r="G253" s="21" t="s">
        <v>1241</v>
      </c>
      <c r="H253" s="19">
        <v>4.0</v>
      </c>
      <c r="I253" s="19" t="s">
        <v>1152</v>
      </c>
      <c r="J253" s="19" t="s">
        <v>69</v>
      </c>
      <c r="L253" s="14" t="str">
        <f>IFERROR(__xludf.DUMMYFUNCTION("IF(REGEXMATCH($B253,L$1),$D253,"""")"),"")</f>
        <v/>
      </c>
      <c r="M253" s="14" t="str">
        <f>IFERROR(__xludf.DUMMYFUNCTION("IF(REGEXMATCH($B253,M$1),$D253,"""")"),"Insect Plant")</f>
        <v>Insect Plant</v>
      </c>
      <c r="N253" s="14" t="str">
        <f>IFERROR(__xludf.DUMMYFUNCTION("IF(REGEXMATCH($B253,N$1),$D253,"""")"),"")</f>
        <v/>
      </c>
      <c r="O253" s="14" t="str">
        <f>IFERROR(__xludf.DUMMYFUNCTION("IF(REGEXMATCH($B253,O$1),$D253,"""")"),"")</f>
        <v/>
      </c>
      <c r="P253" s="14" t="str">
        <f>IFERROR(__xludf.DUMMYFUNCTION("IF(REGEXMATCH($B253,P$1),$D253,"""")"),"")</f>
        <v/>
      </c>
      <c r="Q253" s="14">
        <f>IFERROR(__xludf.DUMMYFUNCTION("IF($A253="""","""",LEN(REGEXREPLACE($I253,"",\s?"","""")))"),6.0)</f>
        <v>6</v>
      </c>
      <c r="S253" s="14"/>
      <c r="T253" s="14"/>
      <c r="U253" s="14"/>
      <c r="V253" s="14"/>
      <c r="W253" s="14"/>
      <c r="X253" s="14"/>
      <c r="Y253" s="14"/>
      <c r="Z253" s="14"/>
      <c r="AA253" s="14"/>
      <c r="AB253" s="14"/>
    </row>
    <row r="254" hidden="1">
      <c r="A254" s="20" t="s">
        <v>1242</v>
      </c>
      <c r="B254" s="20" t="s">
        <v>12</v>
      </c>
      <c r="C254" s="19">
        <v>2.0</v>
      </c>
      <c r="D254" s="19" t="s">
        <v>110</v>
      </c>
      <c r="E254" s="20" t="s">
        <v>1243</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Crystal|.*crystal.*bury""),""Empty-Crystal"","""")&amp;IF(REGEXMATCH($E254,""Move|move""),""Move"","""")"),"Animal Ramp ")</f>
        <v>Animal Ramp </v>
      </c>
      <c r="G254" s="21" t="s">
        <v>1244</v>
      </c>
      <c r="H254" s="19">
        <v>6.0</v>
      </c>
      <c r="I254" s="19" t="s">
        <v>1184</v>
      </c>
      <c r="J254" s="19" t="s">
        <v>39</v>
      </c>
      <c r="L254" s="14" t="str">
        <f>IFERROR(__xludf.DUMMYFUNCTION("IF(REGEXMATCH($B254,L$1),$D254,"""")"),"")</f>
        <v/>
      </c>
      <c r="M254" s="14" t="str">
        <f>IFERROR(__xludf.DUMMYFUNCTION("IF(REGEXMATCH($B254,M$1),$D254,"""")"),"Animal")</f>
        <v>Animal</v>
      </c>
      <c r="N254" s="14" t="str">
        <f>IFERROR(__xludf.DUMMYFUNCTION("IF(REGEXMATCH($B254,N$1),$D254,"""")"),"")</f>
        <v/>
      </c>
      <c r="O254" s="14" t="str">
        <f>IFERROR(__xludf.DUMMYFUNCTION("IF(REGEXMATCH($B254,O$1),$D254,"""")"),"")</f>
        <v/>
      </c>
      <c r="P254" s="14" t="str">
        <f>IFERROR(__xludf.DUMMYFUNCTION("IF(REGEXMATCH($B254,P$1),$D254,"""")"),"")</f>
        <v/>
      </c>
      <c r="Q254" s="14">
        <f>IFERROR(__xludf.DUMMYFUNCTION("IF($A254="""","""",LEN(REGEXREPLACE($I254,"",\s?"","""")))"),6.0)</f>
        <v>6</v>
      </c>
      <c r="S254" s="14"/>
      <c r="T254" s="14"/>
      <c r="U254" s="14"/>
      <c r="V254" s="14"/>
      <c r="W254" s="14"/>
      <c r="X254" s="14"/>
      <c r="Y254" s="14"/>
      <c r="Z254" s="14"/>
      <c r="AA254" s="14"/>
      <c r="AB254" s="14"/>
    </row>
    <row r="255" hidden="1">
      <c r="A255" s="20" t="s">
        <v>1245</v>
      </c>
      <c r="B255" s="86" t="s">
        <v>12</v>
      </c>
      <c r="C255" s="19">
        <v>2.0</v>
      </c>
      <c r="D255" s="19" t="s">
        <v>276</v>
      </c>
      <c r="E255" s="20" t="s">
        <v>1246</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Crystal|.*crystal.*bury""),""Empty-Crystal"","""")&amp;IF(REGEXMATCH($E255,""Move|move""),""Move"","""")"),"Animal ")</f>
        <v>Animal </v>
      </c>
      <c r="G255" s="21" t="s">
        <v>980</v>
      </c>
      <c r="H255" s="19">
        <v>3.0</v>
      </c>
      <c r="I255" s="19" t="s">
        <v>1126</v>
      </c>
      <c r="J255" s="19" t="s">
        <v>69</v>
      </c>
      <c r="L255" s="14" t="str">
        <f>IFERROR(__xludf.DUMMYFUNCTION("IF(REGEXMATCH($B255,L$1),$D255,"""")"),"")</f>
        <v/>
      </c>
      <c r="M255" s="14" t="str">
        <f>IFERROR(__xludf.DUMMYFUNCTION("IF(REGEXMATCH($B255,M$1),$D255,"""")"),"Animal Hunter")</f>
        <v>Animal Hunter</v>
      </c>
      <c r="N255" s="14" t="str">
        <f>IFERROR(__xludf.DUMMYFUNCTION("IF(REGEXMATCH($B255,N$1),$D255,"""")"),"")</f>
        <v/>
      </c>
      <c r="O255" s="14" t="str">
        <f>IFERROR(__xludf.DUMMYFUNCTION("IF(REGEXMATCH($B255,O$1),$D255,"""")"),"")</f>
        <v/>
      </c>
      <c r="P255" s="14" t="str">
        <f>IFERROR(__xludf.DUMMYFUNCTION("IF(REGEXMATCH($B255,P$1),$D255,"""")"),"")</f>
        <v/>
      </c>
      <c r="Q255" s="14">
        <f>IFERROR(__xludf.DUMMYFUNCTION("IF($A255="""","""",LEN(REGEXREPLACE($I255,"",\s?"","""")))"),5.0)</f>
        <v>5</v>
      </c>
      <c r="S255" s="14"/>
      <c r="T255" s="14"/>
      <c r="U255" s="14"/>
      <c r="V255" s="14"/>
      <c r="W255" s="14"/>
      <c r="X255" s="14"/>
      <c r="Y255" s="14"/>
      <c r="Z255" s="14"/>
      <c r="AA255" s="14"/>
      <c r="AB255" s="14"/>
    </row>
    <row r="256" hidden="1">
      <c r="A256" s="20" t="s">
        <v>1247</v>
      </c>
      <c r="B256" s="86" t="s">
        <v>12</v>
      </c>
      <c r="C256" s="19">
        <v>0.0</v>
      </c>
      <c r="D256" s="19" t="s">
        <v>141</v>
      </c>
      <c r="E256" s="20" t="s">
        <v>1248</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Crystal|.*crystal.*bury""),""Empty-Crystal"","""")&amp;IF(REGEXMATCH($E256,""Move|move""),""Move"","""")"),"Ramp Aggro ")</f>
        <v>Ramp Aggro </v>
      </c>
      <c r="G256" s="21" t="s">
        <v>1249</v>
      </c>
      <c r="H256" s="12">
        <v>3.0</v>
      </c>
      <c r="I256" s="12" t="s">
        <v>1207</v>
      </c>
      <c r="J256" s="12" t="s">
        <v>39</v>
      </c>
      <c r="L256" s="14" t="str">
        <f>IFERROR(__xludf.DUMMYFUNCTION("IF(REGEXMATCH($B256,L$1),$D256,"""")"),"")</f>
        <v/>
      </c>
      <c r="M256" s="14" t="str">
        <f>IFERROR(__xludf.DUMMYFUNCTION("IF(REGEXMATCH($B256,M$1),$D256,"""")"),"Human Hunter")</f>
        <v>Human Hunter</v>
      </c>
      <c r="N256" s="14" t="str">
        <f>IFERROR(__xludf.DUMMYFUNCTION("IF(REGEXMATCH($B256,N$1),$D256,"""")"),"")</f>
        <v/>
      </c>
      <c r="O256" s="14" t="str">
        <f>IFERROR(__xludf.DUMMYFUNCTION("IF(REGEXMATCH($B256,O$1),$D256,"""")"),"")</f>
        <v/>
      </c>
      <c r="P256" s="14" t="str">
        <f>IFERROR(__xludf.DUMMYFUNCTION("IF(REGEXMATCH($B256,P$1),$D256,"""")"),"")</f>
        <v/>
      </c>
      <c r="Q256" s="14">
        <f>IFERROR(__xludf.DUMMYFUNCTION("IF($A256="""","""",LEN(REGEXREPLACE($I256,"",\s?"","""")))"),3.0)</f>
        <v>3</v>
      </c>
      <c r="S256" s="14"/>
      <c r="T256" s="14"/>
      <c r="U256" s="14"/>
      <c r="V256" s="14"/>
      <c r="W256" s="14"/>
      <c r="X256" s="14"/>
      <c r="Y256" s="14"/>
      <c r="Z256" s="14"/>
      <c r="AA256" s="14"/>
      <c r="AB256" s="14"/>
    </row>
    <row r="257">
      <c r="A257" s="27" t="s">
        <v>1250</v>
      </c>
      <c r="B257" s="10" t="s">
        <v>12</v>
      </c>
      <c r="C257" s="19">
        <v>1.0</v>
      </c>
      <c r="D257" s="12" t="s">
        <v>1228</v>
      </c>
      <c r="E257" s="10" t="s">
        <v>1251</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13" t="s">
        <v>1252</v>
      </c>
      <c r="H257" s="24">
        <v>7.0</v>
      </c>
      <c r="I257" s="12" t="s">
        <v>1187</v>
      </c>
      <c r="J257" s="12" t="s">
        <v>69</v>
      </c>
      <c r="L257" s="14" t="str">
        <f>IFERROR(__xludf.DUMMYFUNCTION("IF(REGEXMATCH($B257,L$1),$D257,"""")"),"")</f>
        <v/>
      </c>
      <c r="M257" s="14" t="str">
        <f>IFERROR(__xludf.DUMMYFUNCTION("IF(REGEXMATCH($B257,M$1),$D257,"""")"),"Dinosaur Hunter")</f>
        <v>Dinosaur Hunter</v>
      </c>
      <c r="N257" s="14" t="str">
        <f>IFERROR(__xludf.DUMMYFUNCTION("IF(REGEXMATCH($B257,N$1),$D257,"""")"),"")</f>
        <v/>
      </c>
      <c r="O257" s="14" t="str">
        <f>IFERROR(__xludf.DUMMYFUNCTION("IF(REGEXMATCH($B257,O$1),$D257,"""")"),"")</f>
        <v/>
      </c>
      <c r="P257" s="14" t="str">
        <f>IFERROR(__xludf.DUMMYFUNCTION("IF(REGEXMATCH($B257,P$1),$D257,"""")"),"")</f>
        <v/>
      </c>
      <c r="Q257" s="14">
        <f>IFERROR(__xludf.DUMMYFUNCTION("IF($A257="""","""",LEN(REGEXREPLACE($I257,"",\s?"","""")))"),7.0)</f>
        <v>7</v>
      </c>
      <c r="S257" s="14"/>
      <c r="T257" s="14"/>
      <c r="U257" s="14"/>
      <c r="V257" s="14"/>
      <c r="W257" s="14"/>
      <c r="X257" s="14"/>
      <c r="Y257" s="14"/>
      <c r="Z257" s="14"/>
      <c r="AA257" s="14"/>
      <c r="AB257" s="14"/>
    </row>
    <row r="258" hidden="1">
      <c r="A258" s="20" t="s">
        <v>1253</v>
      </c>
      <c r="B258" s="20" t="s">
        <v>12</v>
      </c>
      <c r="C258" s="19">
        <v>2.0</v>
      </c>
      <c r="D258" s="19" t="s">
        <v>1254</v>
      </c>
      <c r="E258" s="20" t="s">
        <v>1255</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Crystal|.*crystal.*bury""),""Empty-Crystal"","""")&amp;IF(REGEXMATCH($E258,""Move|move""),""Move"","""")"),"Dinosaur Nature Ramp ")</f>
        <v>Dinosaur Nature Ramp </v>
      </c>
      <c r="G258" s="21" t="s">
        <v>1256</v>
      </c>
      <c r="H258" s="19">
        <v>6.0</v>
      </c>
      <c r="I258" s="19" t="s">
        <v>1184</v>
      </c>
      <c r="J258" s="19" t="s">
        <v>39</v>
      </c>
      <c r="L258" s="14" t="str">
        <f>IFERROR(__xludf.DUMMYFUNCTION("IF(REGEXMATCH($B258,L$1),$D258,"""")"),"")</f>
        <v/>
      </c>
      <c r="M258" s="14" t="str">
        <f>IFERROR(__xludf.DUMMYFUNCTION("IF(REGEXMATCH($B258,M$1),$D258,"""")"),"Dinosaur Spirit")</f>
        <v>Dinosaur Spirit</v>
      </c>
      <c r="N258" s="14" t="str">
        <f>IFERROR(__xludf.DUMMYFUNCTION("IF(REGEXMATCH($B258,N$1),$D258,"""")"),"")</f>
        <v/>
      </c>
      <c r="O258" s="14" t="str">
        <f>IFERROR(__xludf.DUMMYFUNCTION("IF(REGEXMATCH($B258,O$1),$D258,"""")"),"")</f>
        <v/>
      </c>
      <c r="P258" s="14" t="str">
        <f>IFERROR(__xludf.DUMMYFUNCTION("IF(REGEXMATCH($B258,P$1),$D258,"""")"),"")</f>
        <v/>
      </c>
      <c r="Q258" s="14">
        <f>IFERROR(__xludf.DUMMYFUNCTION("IF($A258="""","""",LEN(REGEXREPLACE($I258,"",\s?"","""")))"),6.0)</f>
        <v>6</v>
      </c>
      <c r="S258" s="14"/>
      <c r="T258" s="14"/>
      <c r="U258" s="14"/>
      <c r="V258" s="14"/>
      <c r="W258" s="14"/>
      <c r="X258" s="14"/>
      <c r="Y258" s="14"/>
      <c r="Z258" s="14"/>
      <c r="AA258" s="14"/>
      <c r="AB258" s="14"/>
    </row>
    <row r="259" hidden="1">
      <c r="A259" s="20" t="s">
        <v>1257</v>
      </c>
      <c r="B259" s="86" t="s">
        <v>12</v>
      </c>
      <c r="C259" s="19">
        <v>2.0</v>
      </c>
      <c r="D259" s="19" t="s">
        <v>855</v>
      </c>
      <c r="E259" s="20" t="s">
        <v>1258</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f>
        <v/>
      </c>
      <c r="G259" s="21" t="s">
        <v>1259</v>
      </c>
      <c r="H259" s="19">
        <v>3.0</v>
      </c>
      <c r="I259" s="19" t="s">
        <v>1175</v>
      </c>
      <c r="J259" s="19" t="s">
        <v>33</v>
      </c>
      <c r="L259" s="14" t="str">
        <f>IFERROR(__xludf.DUMMYFUNCTION("IF(REGEXMATCH($B259,L$1),$D259,"""")"),"")</f>
        <v/>
      </c>
      <c r="M259" s="14" t="str">
        <f>IFERROR(__xludf.DUMMYFUNCTION("IF(REGEXMATCH($B259,M$1),$D259,"""")"),"Dragon Plant")</f>
        <v>Dragon Plant</v>
      </c>
      <c r="N259" s="14" t="str">
        <f>IFERROR(__xludf.DUMMYFUNCTION("IF(REGEXMATCH($B259,N$1),$D259,"""")"),"")</f>
        <v/>
      </c>
      <c r="O259" s="14" t="str">
        <f>IFERROR(__xludf.DUMMYFUNCTION("IF(REGEXMATCH($B259,O$1),$D259,"""")"),"")</f>
        <v/>
      </c>
      <c r="P259" s="14" t="str">
        <f>IFERROR(__xludf.DUMMYFUNCTION("IF(REGEXMATCH($B259,P$1),$D259,"""")"),"")</f>
        <v/>
      </c>
      <c r="Q259" s="14">
        <f>IFERROR(__xludf.DUMMYFUNCTION("IF($A259="""","""",LEN(REGEXREPLACE($I259,"",\s?"","""")))"),4.0)</f>
        <v>4</v>
      </c>
      <c r="S259" s="14"/>
      <c r="T259" s="14"/>
      <c r="U259" s="14"/>
      <c r="V259" s="14"/>
      <c r="W259" s="14"/>
      <c r="X259" s="14"/>
      <c r="Y259" s="14"/>
      <c r="Z259" s="14"/>
      <c r="AA259" s="14"/>
      <c r="AB259" s="14"/>
    </row>
    <row r="260">
      <c r="A260" s="27" t="s">
        <v>1260</v>
      </c>
      <c r="B260" s="10" t="s">
        <v>12</v>
      </c>
      <c r="C260" s="12">
        <v>1.0</v>
      </c>
      <c r="D260" s="12" t="s">
        <v>1254</v>
      </c>
      <c r="E260" s="10" t="s">
        <v>1261</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Crystal|.*crystal.*bury""),""Empty-Crystal"","""")&amp;IF(REGEXMATCH($E260,""Move|move""),""Move"","""")"),"Dinosaur ")</f>
        <v>Dinosaur </v>
      </c>
      <c r="G260" s="13" t="s">
        <v>1262</v>
      </c>
      <c r="H260" s="12">
        <v>4.0</v>
      </c>
      <c r="I260" s="12" t="s">
        <v>1126</v>
      </c>
      <c r="J260" s="12" t="s">
        <v>33</v>
      </c>
      <c r="L260" s="14" t="str">
        <f>IFERROR(__xludf.DUMMYFUNCTION("IF(REGEXMATCH($B260,L$1),$D260,"""")"),"")</f>
        <v/>
      </c>
      <c r="M260" s="14" t="str">
        <f>IFERROR(__xludf.DUMMYFUNCTION("IF(REGEXMATCH($B260,M$1),$D260,"""")"),"Dinosaur Spirit")</f>
        <v>Dinosaur Spirit</v>
      </c>
      <c r="N260" s="14" t="str">
        <f>IFERROR(__xludf.DUMMYFUNCTION("IF(REGEXMATCH($B260,N$1),$D260,"""")"),"")</f>
        <v/>
      </c>
      <c r="O260" s="14" t="str">
        <f>IFERROR(__xludf.DUMMYFUNCTION("IF(REGEXMATCH($B260,O$1),$D260,"""")"),"")</f>
        <v/>
      </c>
      <c r="P260" s="14" t="str">
        <f>IFERROR(__xludf.DUMMYFUNCTION("IF(REGEXMATCH($B260,P$1),$D260,"""")"),"")</f>
        <v/>
      </c>
      <c r="Q260" s="14">
        <f>IFERROR(__xludf.DUMMYFUNCTION("IF($A260="""","""",LEN(REGEXREPLACE($I260,"",\s?"","""")))"),5.0)</f>
        <v>5</v>
      </c>
      <c r="S260" s="14"/>
      <c r="T260" s="14"/>
      <c r="U260" s="14"/>
      <c r="V260" s="14"/>
      <c r="W260" s="14"/>
      <c r="X260" s="14"/>
      <c r="Y260" s="14"/>
      <c r="Z260" s="14"/>
      <c r="AA260" s="14"/>
      <c r="AB260" s="14"/>
    </row>
    <row r="261">
      <c r="A261" s="10" t="s">
        <v>1263</v>
      </c>
      <c r="B261" s="10" t="s">
        <v>12</v>
      </c>
      <c r="C261" s="12">
        <v>1.0</v>
      </c>
      <c r="D261" s="12" t="s">
        <v>276</v>
      </c>
      <c r="E261" s="10" t="s">
        <v>1264</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Crystal|.*crystal.*bury""),""Empty-Crystal"","""")&amp;IF(REGEXMATCH($E261,""Move|move""),""Move"","""")"),"Unearth Move")</f>
        <v>Unearth Move</v>
      </c>
      <c r="G261" s="13" t="s">
        <v>1265</v>
      </c>
      <c r="H261" s="12">
        <v>5.0</v>
      </c>
      <c r="I261" s="12" t="s">
        <v>1126</v>
      </c>
      <c r="J261" s="12" t="s">
        <v>33</v>
      </c>
      <c r="L261" s="14" t="str">
        <f>IFERROR(__xludf.DUMMYFUNCTION("IF(REGEXMATCH($B261,L$1),$D261,"""")"),"")</f>
        <v/>
      </c>
      <c r="M261" s="14" t="str">
        <f>IFERROR(__xludf.DUMMYFUNCTION("IF(REGEXMATCH($B261,M$1),$D261,"""")"),"Animal Hunter")</f>
        <v>Animal Hunter</v>
      </c>
      <c r="N261" s="14" t="str">
        <f>IFERROR(__xludf.DUMMYFUNCTION("IF(REGEXMATCH($B261,N$1),$D261,"""")"),"")</f>
        <v/>
      </c>
      <c r="O261" s="14" t="str">
        <f>IFERROR(__xludf.DUMMYFUNCTION("IF(REGEXMATCH($B261,O$1),$D261,"""")"),"")</f>
        <v/>
      </c>
      <c r="P261" s="14" t="str">
        <f>IFERROR(__xludf.DUMMYFUNCTION("IF(REGEXMATCH($B261,P$1),$D261,"""")"),"")</f>
        <v/>
      </c>
      <c r="Q261" s="14">
        <f>IFERROR(__xludf.DUMMYFUNCTION("IF($A261="""","""",LEN(REGEXREPLACE($I261,"",\s?"","""")))"),5.0)</f>
        <v>5</v>
      </c>
      <c r="S261" s="14"/>
      <c r="T261" s="14"/>
      <c r="U261" s="14"/>
      <c r="V261" s="14"/>
      <c r="W261" s="14"/>
      <c r="X261" s="14"/>
      <c r="Y261" s="14"/>
      <c r="Z261" s="14"/>
      <c r="AA261" s="14"/>
      <c r="AB261" s="14"/>
    </row>
    <row r="262">
      <c r="A262" s="20" t="s">
        <v>1266</v>
      </c>
      <c r="B262" s="20" t="s">
        <v>12</v>
      </c>
      <c r="C262" s="19">
        <v>1.0</v>
      </c>
      <c r="D262" s="19" t="s">
        <v>364</v>
      </c>
      <c r="E262" s="20" t="s">
        <v>1267</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Crystal|.*crystal.*bury""),""Empty-Crystal"","""")&amp;IF(REGEXMATCH($E262,""Move|move""),""Move"","""")"),"Unearth ")</f>
        <v>Unearth </v>
      </c>
      <c r="G262" s="60"/>
      <c r="H262" s="19">
        <v>4.0</v>
      </c>
      <c r="I262" s="19" t="s">
        <v>1126</v>
      </c>
      <c r="J262" s="19" t="s">
        <v>69</v>
      </c>
      <c r="L262" s="14" t="str">
        <f>IFERROR(__xludf.DUMMYFUNCTION("IF(REGEXMATCH($B262,L$1),$D262,"""")"),"")</f>
        <v/>
      </c>
      <c r="M262" s="14" t="str">
        <f>IFERROR(__xludf.DUMMYFUNCTION("IF(REGEXMATCH($B262,M$1),$D262,"""")"),"Dinosaur")</f>
        <v>Dinosaur</v>
      </c>
      <c r="N262" s="14" t="str">
        <f>IFERROR(__xludf.DUMMYFUNCTION("IF(REGEXMATCH($B262,N$1),$D262,"""")"),"")</f>
        <v/>
      </c>
      <c r="O262" s="14" t="str">
        <f>IFERROR(__xludf.DUMMYFUNCTION("IF(REGEXMATCH($B262,O$1),$D262,"""")"),"")</f>
        <v/>
      </c>
      <c r="P262" s="14" t="str">
        <f>IFERROR(__xludf.DUMMYFUNCTION("IF(REGEXMATCH($B262,P$1),$D262,"""")"),"")</f>
        <v/>
      </c>
      <c r="Q262" s="14">
        <f>IFERROR(__xludf.DUMMYFUNCTION("IF($A262="""","""",LEN(REGEXREPLACE($I262,"",\s?"","""")))"),5.0)</f>
        <v>5</v>
      </c>
      <c r="S262" s="14"/>
      <c r="T262" s="14"/>
      <c r="U262" s="14"/>
      <c r="V262" s="14"/>
      <c r="W262" s="14"/>
      <c r="X262" s="14"/>
      <c r="Y262" s="14"/>
      <c r="Z262" s="14"/>
      <c r="AA262" s="14"/>
      <c r="AB262" s="14"/>
    </row>
    <row r="263" hidden="1">
      <c r="A263" s="25" t="s">
        <v>1268</v>
      </c>
      <c r="B263" s="85" t="s">
        <v>12</v>
      </c>
      <c r="C263" s="12">
        <v>2.0</v>
      </c>
      <c r="D263" s="12" t="s">
        <v>1173</v>
      </c>
      <c r="E263" s="20" t="s">
        <v>1269</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Crystal|.*crystal.*bury""),""Empty-Crystal"","""")&amp;IF(REGEXMATCH($E263,""Move|move""),""Move"","""")"),"Insect ")</f>
        <v>Insect </v>
      </c>
      <c r="G263" s="13" t="s">
        <v>1270</v>
      </c>
      <c r="H263" s="12">
        <v>3.0</v>
      </c>
      <c r="I263" s="12" t="s">
        <v>1175</v>
      </c>
      <c r="J263" s="12" t="s">
        <v>33</v>
      </c>
      <c r="L263" s="14" t="str">
        <f>IFERROR(__xludf.DUMMYFUNCTION("IF(REGEXMATCH($B263,L$1),$D263,"""")"),"")</f>
        <v/>
      </c>
      <c r="M263" s="14" t="str">
        <f>IFERROR(__xludf.DUMMYFUNCTION("IF(REGEXMATCH($B263,M$1),$D263,"""")"),"Insect Plant")</f>
        <v>Insect Plant</v>
      </c>
      <c r="N263" s="14" t="str">
        <f>IFERROR(__xludf.DUMMYFUNCTION("IF(REGEXMATCH($B263,N$1),$D263,"""")"),"")</f>
        <v/>
      </c>
      <c r="O263" s="14" t="str">
        <f>IFERROR(__xludf.DUMMYFUNCTION("IF(REGEXMATCH($B263,O$1),$D263,"""")"),"")</f>
        <v/>
      </c>
      <c r="P263" s="14" t="str">
        <f>IFERROR(__xludf.DUMMYFUNCTION("IF(REGEXMATCH($B263,P$1),$D263,"""")"),"")</f>
        <v/>
      </c>
      <c r="Q263" s="14">
        <f>IFERROR(__xludf.DUMMYFUNCTION("IF($A263="""","""",LEN(REGEXREPLACE($I263,"",\s?"","""")))"),4.0)</f>
        <v>4</v>
      </c>
      <c r="S263" s="14"/>
      <c r="T263" s="14"/>
      <c r="U263" s="14"/>
      <c r="V263" s="14"/>
      <c r="W263" s="14"/>
      <c r="X263" s="14"/>
      <c r="Y263" s="14"/>
      <c r="Z263" s="14"/>
      <c r="AA263" s="14"/>
      <c r="AB263" s="14"/>
    </row>
    <row r="264">
      <c r="A264" s="10" t="s">
        <v>1271</v>
      </c>
      <c r="B264" s="10" t="s">
        <v>12</v>
      </c>
      <c r="C264" s="12">
        <v>1.0</v>
      </c>
      <c r="D264" s="12" t="s">
        <v>1205</v>
      </c>
      <c r="E264" s="10" t="s">
        <v>1272</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Crystal|.*crystal.*bury""),""Empty-Crystal"","""")&amp;IF(REGEXMATCH($E264,""Move|move""),""Move"","""")"),"Nature ")</f>
        <v>Nature </v>
      </c>
      <c r="G264" s="13" t="s">
        <v>1273</v>
      </c>
      <c r="H264" s="12">
        <v>1.0</v>
      </c>
      <c r="I264" s="12" t="s">
        <v>1134</v>
      </c>
      <c r="J264" s="12" t="s">
        <v>33</v>
      </c>
      <c r="L264" s="14" t="str">
        <f>IFERROR(__xludf.DUMMYFUNCTION("IF(REGEXMATCH($B264,L$1),$D264,"""")"),"")</f>
        <v/>
      </c>
      <c r="M264" s="14" t="str">
        <f>IFERROR(__xludf.DUMMYFUNCTION("IF(REGEXMATCH($B264,M$1),$D264,"""")"),"Plant Spirit")</f>
        <v>Plant Spirit</v>
      </c>
      <c r="N264" s="14" t="str">
        <f>IFERROR(__xludf.DUMMYFUNCTION("IF(REGEXMATCH($B264,N$1),$D264,"""")"),"")</f>
        <v/>
      </c>
      <c r="O264" s="14" t="str">
        <f>IFERROR(__xludf.DUMMYFUNCTION("IF(REGEXMATCH($B264,O$1),$D264,"""")"),"")</f>
        <v/>
      </c>
      <c r="P264" s="14" t="str">
        <f>IFERROR(__xludf.DUMMYFUNCTION("IF(REGEXMATCH($B264,P$1),$D264,"""")"),"")</f>
        <v/>
      </c>
      <c r="Q264" s="14">
        <f>IFERROR(__xludf.DUMMYFUNCTION("IF($A264="""","""",LEN(REGEXREPLACE($I264,"",\s?"","""")))"),2.0)</f>
        <v>2</v>
      </c>
      <c r="S264" s="14"/>
      <c r="T264" s="14"/>
      <c r="U264" s="14"/>
      <c r="V264" s="14"/>
      <c r="W264" s="14"/>
      <c r="X264" s="14"/>
      <c r="Y264" s="14"/>
      <c r="Z264" s="14"/>
      <c r="AA264" s="14"/>
      <c r="AB264" s="14"/>
    </row>
    <row r="265" hidden="1">
      <c r="A265" s="20" t="s">
        <v>1274</v>
      </c>
      <c r="B265" s="86" t="s">
        <v>12</v>
      </c>
      <c r="C265" s="19">
        <v>2.0</v>
      </c>
      <c r="D265" s="19" t="s">
        <v>1275</v>
      </c>
      <c r="E265" s="20" t="s">
        <v>1276</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Crystal|.*crystal.*bury""),""Empty-Crystal"","""")&amp;IF(REGEXMATCH($E265,""Move|move""),""Move"","""")"),"Hunter Unearth ")</f>
        <v>Hunter Unearth </v>
      </c>
      <c r="G265" s="21" t="s">
        <v>1020</v>
      </c>
      <c r="H265" s="19">
        <v>4.0</v>
      </c>
      <c r="I265" s="19" t="s">
        <v>1175</v>
      </c>
      <c r="J265" s="19" t="s">
        <v>33</v>
      </c>
      <c r="L265" s="14" t="str">
        <f>IFERROR(__xludf.DUMMYFUNCTION("IF(REGEXMATCH($B265,L$1),$D265,"""")"),"")</f>
        <v/>
      </c>
      <c r="M265" s="14" t="str">
        <f>IFERROR(__xludf.DUMMYFUNCTION("IF(REGEXMATCH($B265,M$1),$D265,"""")"),"Hunter Plant")</f>
        <v>Hunter Plant</v>
      </c>
      <c r="N265" s="14" t="str">
        <f>IFERROR(__xludf.DUMMYFUNCTION("IF(REGEXMATCH($B265,N$1),$D265,"""")"),"")</f>
        <v/>
      </c>
      <c r="O265" s="14" t="str">
        <f>IFERROR(__xludf.DUMMYFUNCTION("IF(REGEXMATCH($B265,O$1),$D265,"""")"),"")</f>
        <v/>
      </c>
      <c r="P265" s="14" t="str">
        <f>IFERROR(__xludf.DUMMYFUNCTION("IF(REGEXMATCH($B265,P$1),$D265,"""")"),"")</f>
        <v/>
      </c>
      <c r="Q265" s="14">
        <f>IFERROR(__xludf.DUMMYFUNCTION("IF($A265="""","""",LEN(REGEXREPLACE($I265,"",\s?"","""")))"),4.0)</f>
        <v>4</v>
      </c>
      <c r="S265" s="14"/>
      <c r="T265" s="14"/>
      <c r="U265" s="14"/>
      <c r="V265" s="14"/>
      <c r="W265" s="14"/>
      <c r="X265" s="14"/>
      <c r="Y265" s="14"/>
      <c r="Z265" s="14"/>
      <c r="AA265" s="14"/>
      <c r="AB265" s="14"/>
    </row>
    <row r="266" hidden="1">
      <c r="A266" s="25" t="s">
        <v>1277</v>
      </c>
      <c r="B266" s="10" t="s">
        <v>12</v>
      </c>
      <c r="C266" s="12">
        <v>2.0</v>
      </c>
      <c r="D266" s="12" t="s">
        <v>1216</v>
      </c>
      <c r="E266" s="70" t="s">
        <v>1278</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Crystal|.*crystal.*bury""),""Empty-Crystal"","""")&amp;IF(REGEXMATCH($E266,""Move|move""),""Move"","""")"),"Ramp Control ")</f>
        <v>Ramp Control </v>
      </c>
      <c r="G266" s="13" t="s">
        <v>1279</v>
      </c>
      <c r="H266" s="12">
        <v>6.0</v>
      </c>
      <c r="I266" s="12" t="s">
        <v>1280</v>
      </c>
      <c r="J266" s="12" t="s">
        <v>39</v>
      </c>
      <c r="L266" s="14" t="str">
        <f>IFERROR(__xludf.DUMMYFUNCTION("IF(REGEXMATCH($B266,L$1),$D266,"""")"),"")</f>
        <v/>
      </c>
      <c r="M266" s="14" t="str">
        <f>IFERROR(__xludf.DUMMYFUNCTION("IF(REGEXMATCH($B266,M$1),$D266,"""")"),"Dinosaur Plant")</f>
        <v>Dinosaur Plant</v>
      </c>
      <c r="N266" s="14" t="str">
        <f>IFERROR(__xludf.DUMMYFUNCTION("IF(REGEXMATCH($B266,N$1),$D266,"""")"),"")</f>
        <v/>
      </c>
      <c r="O266" s="14" t="str">
        <f>IFERROR(__xludf.DUMMYFUNCTION("IF(REGEXMATCH($B266,O$1),$D266,"""")"),"")</f>
        <v/>
      </c>
      <c r="P266" s="14" t="str">
        <f>IFERROR(__xludf.DUMMYFUNCTION("IF(REGEXMATCH($B266,P$1),$D266,"""")"),"")</f>
        <v/>
      </c>
      <c r="Q266" s="14">
        <f>IFERROR(__xludf.DUMMYFUNCTION("IF($A266="""","""",LEN(REGEXREPLACE($I266,"",\s?"","""")))"),7.0)</f>
        <v>7</v>
      </c>
      <c r="S266" s="14"/>
      <c r="T266" s="14"/>
      <c r="U266" s="14"/>
      <c r="V266" s="14"/>
      <c r="W266" s="14"/>
      <c r="X266" s="14"/>
      <c r="Y266" s="14"/>
      <c r="Z266" s="14"/>
      <c r="AA266" s="14"/>
      <c r="AB266" s="14"/>
    </row>
    <row r="267" hidden="1">
      <c r="A267" s="20" t="s">
        <v>1281</v>
      </c>
      <c r="B267" s="70" t="s">
        <v>12</v>
      </c>
      <c r="C267" s="12">
        <v>2.0</v>
      </c>
      <c r="D267" s="19" t="s">
        <v>850</v>
      </c>
      <c r="E267" s="20" t="s">
        <v>1282</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Crystal|.*crystal.*bury""),""Empty-Crystal"","""")&amp;IF(REGEXMATCH($E267,""Move|move""),""Move"","""")"),"Insect Plant Control ")</f>
        <v>Insect Plant Control </v>
      </c>
      <c r="G267" s="21" t="s">
        <v>1283</v>
      </c>
      <c r="H267" s="19">
        <v>3.0</v>
      </c>
      <c r="I267" s="19" t="s">
        <v>1141</v>
      </c>
      <c r="J267" s="19" t="s">
        <v>69</v>
      </c>
      <c r="L267" s="14" t="str">
        <f>IFERROR(__xludf.DUMMYFUNCTION("IF(REGEXMATCH($B267,L$1),$D267,"""")"),"")</f>
        <v/>
      </c>
      <c r="M267" s="14" t="str">
        <f>IFERROR(__xludf.DUMMYFUNCTION("IF(REGEXMATCH($B267,M$1),$D267,"""")"),"Human Plant")</f>
        <v>Human Plant</v>
      </c>
      <c r="N267" s="14" t="str">
        <f>IFERROR(__xludf.DUMMYFUNCTION("IF(REGEXMATCH($B267,N$1),$D267,"""")"),"")</f>
        <v/>
      </c>
      <c r="O267" s="14" t="str">
        <f>IFERROR(__xludf.DUMMYFUNCTION("IF(REGEXMATCH($B267,O$1),$D267,"""")"),"")</f>
        <v/>
      </c>
      <c r="P267" s="14" t="str">
        <f>IFERROR(__xludf.DUMMYFUNCTION("IF(REGEXMATCH($B267,P$1),$D267,"""")"),"")</f>
        <v/>
      </c>
      <c r="Q267" s="14">
        <f>IFERROR(__xludf.DUMMYFUNCTION("IF($A267="""","""",LEN(REGEXREPLACE($I267,"",\s?"","""")))"),4.0)</f>
        <v>4</v>
      </c>
      <c r="S267" s="14"/>
      <c r="T267" s="14"/>
      <c r="U267" s="14"/>
      <c r="V267" s="14"/>
      <c r="W267" s="14"/>
      <c r="X267" s="14"/>
      <c r="Y267" s="14"/>
      <c r="Z267" s="14"/>
      <c r="AA267" s="14"/>
      <c r="AB267" s="14"/>
    </row>
    <row r="268" ht="15.75" customHeight="1">
      <c r="A268" s="25" t="s">
        <v>1284</v>
      </c>
      <c r="B268" s="10" t="s">
        <v>12</v>
      </c>
      <c r="C268" s="12">
        <v>1.0</v>
      </c>
      <c r="D268" s="12" t="s">
        <v>276</v>
      </c>
      <c r="E268" s="10" t="s">
        <v>1285</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Crystal|.*crystal.*bury""),""Empty-Crystal"","""")&amp;IF(REGEXMATCH($E268,""Move|move""),""Move"","""")"),"Nature ")</f>
        <v>Nature </v>
      </c>
      <c r="G268" s="13" t="s">
        <v>1286</v>
      </c>
      <c r="H268" s="12">
        <v>1.0</v>
      </c>
      <c r="I268" s="12" t="s">
        <v>1122</v>
      </c>
      <c r="J268" s="12" t="s">
        <v>33</v>
      </c>
      <c r="L268" s="14" t="str">
        <f>IFERROR(__xludf.DUMMYFUNCTION("IF(REGEXMATCH($B268,L$1),$D268,"""")"),"")</f>
        <v/>
      </c>
      <c r="M268" s="14" t="str">
        <f>IFERROR(__xludf.DUMMYFUNCTION("IF(REGEXMATCH($B268,M$1),$D268,"""")"),"Animal Hunter")</f>
        <v>Animal Hunter</v>
      </c>
      <c r="N268" s="14" t="str">
        <f>IFERROR(__xludf.DUMMYFUNCTION("IF(REGEXMATCH($B268,N$1),$D268,"""")"),"")</f>
        <v/>
      </c>
      <c r="O268" s="14" t="str">
        <f>IFERROR(__xludf.DUMMYFUNCTION("IF(REGEXMATCH($B268,O$1),$D268,"""")"),"")</f>
        <v/>
      </c>
      <c r="P268" s="14" t="str">
        <f>IFERROR(__xludf.DUMMYFUNCTION("IF(REGEXMATCH($B268,P$1),$D268,"""")"),"")</f>
        <v/>
      </c>
      <c r="Q268" s="14">
        <f>IFERROR(__xludf.DUMMYFUNCTION("IF($A268="""","""",LEN(REGEXREPLACE($I268,"",\s?"","""")))"),3.0)</f>
        <v>3</v>
      </c>
      <c r="S268" s="14"/>
      <c r="T268" s="14"/>
      <c r="U268" s="14"/>
      <c r="V268" s="14"/>
      <c r="W268" s="14"/>
      <c r="X268" s="14"/>
      <c r="Y268" s="14"/>
      <c r="Z268" s="14"/>
      <c r="AA268" s="14"/>
      <c r="AB268" s="14"/>
    </row>
    <row r="269" hidden="1">
      <c r="A269" s="20" t="s">
        <v>1287</v>
      </c>
      <c r="B269" s="86" t="s">
        <v>12</v>
      </c>
      <c r="C269" s="19">
        <v>2.0</v>
      </c>
      <c r="D269" s="19" t="s">
        <v>493</v>
      </c>
      <c r="E269" s="20" t="s">
        <v>1288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Crystal|.*crystal.*bury""),""Empty-Crystal"","""")&amp;IF(REGEXMATCH($E269,""Move|move""),""Move"","""")"),"Copy ")</f>
        <v>Copy </v>
      </c>
      <c r="G269" s="21" t="s">
        <v>117</v>
      </c>
      <c r="H269" s="19">
        <v>2.0</v>
      </c>
      <c r="I269" s="19" t="s">
        <v>1122</v>
      </c>
      <c r="J269" s="19" t="s">
        <v>33</v>
      </c>
      <c r="L269" s="14" t="str">
        <f>IFERROR(__xludf.DUMMYFUNCTION("IF(REGEXMATCH($B269,L$1),$D269,"""")"),"")</f>
        <v/>
      </c>
      <c r="M269" s="14" t="str">
        <f>IFERROR(__xludf.DUMMYFUNCTION("IF(REGEXMATCH($B269,M$1),$D269,"""")"),"Spirit Wizard")</f>
        <v>Spirit Wizard</v>
      </c>
      <c r="N269" s="14" t="str">
        <f>IFERROR(__xludf.DUMMYFUNCTION("IF(REGEXMATCH($B269,N$1),$D269,"""")"),"")</f>
        <v/>
      </c>
      <c r="O269" s="14" t="str">
        <f>IFERROR(__xludf.DUMMYFUNCTION("IF(REGEXMATCH($B269,O$1),$D269,"""")"),"")</f>
        <v/>
      </c>
      <c r="P269" s="14" t="str">
        <f>IFERROR(__xludf.DUMMYFUNCTION("IF(REGEXMATCH($B269,P$1),$D269,"""")"),"")</f>
        <v/>
      </c>
      <c r="Q269" s="14">
        <f>IFERROR(__xludf.DUMMYFUNCTION("IF($A269="""","""",LEN(REGEXREPLACE($I269,"",\s?"","""")))"),3.0)</f>
        <v>3</v>
      </c>
      <c r="S269" s="14"/>
      <c r="T269" s="14"/>
      <c r="U269" s="14"/>
      <c r="V269" s="14"/>
      <c r="W269" s="14"/>
      <c r="X269" s="14"/>
      <c r="Y269" s="14"/>
      <c r="Z269" s="14"/>
      <c r="AA269" s="14"/>
      <c r="AB269" s="14"/>
    </row>
    <row r="270" hidden="1">
      <c r="A270" s="10" t="s">
        <v>1289</v>
      </c>
      <c r="B270" s="70" t="s">
        <v>12</v>
      </c>
      <c r="C270" s="12">
        <v>2.0</v>
      </c>
      <c r="D270" s="12" t="s">
        <v>1143</v>
      </c>
      <c r="E270" s="10" t="s">
        <v>1290</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Crystal|.*crystal.*bury""),""Empty-Crystal"","""")&amp;IF(REGEXMATCH($E270,""Move|move""),""Move"","""")"),"Plant ")</f>
        <v>Plant </v>
      </c>
      <c r="G270" s="13" t="s">
        <v>1291</v>
      </c>
      <c r="H270" s="12">
        <v>5.0</v>
      </c>
      <c r="I270" s="12" t="s">
        <v>1152</v>
      </c>
      <c r="J270" s="12" t="s">
        <v>33</v>
      </c>
      <c r="L270" s="14" t="str">
        <f>IFERROR(__xludf.DUMMYFUNCTION("IF(REGEXMATCH($B270,L$1),$D270,"""")"),"")</f>
        <v/>
      </c>
      <c r="M270" s="14" t="str">
        <f>IFERROR(__xludf.DUMMYFUNCTION("IF(REGEXMATCH($B270,M$1),$D270,"""")"),"Animal Plant")</f>
        <v>Animal Plant</v>
      </c>
      <c r="N270" s="14" t="str">
        <f>IFERROR(__xludf.DUMMYFUNCTION("IF(REGEXMATCH($B270,N$1),$D270,"""")"),"")</f>
        <v/>
      </c>
      <c r="O270" s="14" t="str">
        <f>IFERROR(__xludf.DUMMYFUNCTION("IF(REGEXMATCH($B270,O$1),$D270,"""")"),"")</f>
        <v/>
      </c>
      <c r="P270" s="14" t="str">
        <f>IFERROR(__xludf.DUMMYFUNCTION("IF(REGEXMATCH($B270,P$1),$D270,"""")"),"")</f>
        <v/>
      </c>
      <c r="Q270" s="14">
        <f>IFERROR(__xludf.DUMMYFUNCTION("IF($A270="""","""",LEN(REGEXREPLACE($I270,"",\s?"","""")))"),6.0)</f>
        <v>6</v>
      </c>
      <c r="S270" s="14"/>
      <c r="T270" s="14"/>
      <c r="U270" s="14"/>
      <c r="V270" s="14"/>
      <c r="W270" s="14"/>
      <c r="X270" s="14"/>
      <c r="Y270" s="14"/>
      <c r="Z270" s="14"/>
      <c r="AA270" s="14"/>
      <c r="AB270" s="14"/>
    </row>
    <row r="271">
      <c r="A271" s="72" t="s">
        <v>1292</v>
      </c>
      <c r="B271" s="10" t="s">
        <v>12</v>
      </c>
      <c r="C271" s="12">
        <v>1.0</v>
      </c>
      <c r="D271" s="12" t="s">
        <v>1275</v>
      </c>
      <c r="E271" s="10" t="s">
        <v>1293</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Crystal|.*crystal.*bury""),""Empty-Crystal"","""")&amp;IF(REGEXMATCH($E271,""Move|move""),""Move"","""")"),"Unearth Control ")</f>
        <v>Unearth Control </v>
      </c>
      <c r="G271" s="13" t="s">
        <v>1294</v>
      </c>
      <c r="H271" s="12">
        <v>2.0</v>
      </c>
      <c r="I271" s="12" t="s">
        <v>1141</v>
      </c>
      <c r="J271" s="24" t="s">
        <v>69</v>
      </c>
      <c r="L271" s="14" t="str">
        <f>IFERROR(__xludf.DUMMYFUNCTION("IF(REGEXMATCH($B271,L$1),$D271,"""")"),"")</f>
        <v/>
      </c>
      <c r="M271" s="14" t="str">
        <f>IFERROR(__xludf.DUMMYFUNCTION("IF(REGEXMATCH($B271,M$1),$D271,"""")"),"Hunter Plant")</f>
        <v>Hunter Plant</v>
      </c>
      <c r="N271" s="14" t="str">
        <f>IFERROR(__xludf.DUMMYFUNCTION("IF(REGEXMATCH($B271,N$1),$D271,"""")"),"")</f>
        <v/>
      </c>
      <c r="O271" s="14" t="str">
        <f>IFERROR(__xludf.DUMMYFUNCTION("IF(REGEXMATCH($B271,O$1),$D271,"""")"),"")</f>
        <v/>
      </c>
      <c r="P271" s="14" t="str">
        <f>IFERROR(__xludf.DUMMYFUNCTION("IF(REGEXMATCH($B271,P$1),$D271,"""")"),"")</f>
        <v/>
      </c>
      <c r="Q271" s="14">
        <f>IFERROR(__xludf.DUMMYFUNCTION("IF($A271="""","""",LEN(REGEXREPLACE($I271,"",\s?"","""")))"),4.0)</f>
        <v>4</v>
      </c>
      <c r="S271" s="14"/>
      <c r="T271" s="14"/>
      <c r="U271" s="14"/>
      <c r="V271" s="14"/>
      <c r="W271" s="14"/>
      <c r="X271" s="14"/>
      <c r="Y271" s="14"/>
      <c r="Z271" s="14"/>
      <c r="AA271" s="14"/>
      <c r="AB271" s="14"/>
    </row>
    <row r="272" hidden="1">
      <c r="A272" s="25" t="s">
        <v>1295</v>
      </c>
      <c r="B272" s="85" t="s">
        <v>12</v>
      </c>
      <c r="C272" s="12">
        <v>2.0</v>
      </c>
      <c r="D272" s="12" t="s">
        <v>1077</v>
      </c>
      <c r="E272" s="10" t="s">
        <v>1296</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Crystal|.*crystal.*bury""),""Empty-Crystal"","""")&amp;IF(REGEXMATCH($E272,""Move|move""),""Move"","""")"),"Plant Ramp ")</f>
        <v>Plant Ramp </v>
      </c>
      <c r="G272" s="13" t="s">
        <v>1297</v>
      </c>
      <c r="H272" s="12">
        <v>1.0</v>
      </c>
      <c r="I272" s="12" t="s">
        <v>1134</v>
      </c>
      <c r="J272" s="19" t="s">
        <v>33</v>
      </c>
      <c r="L272" s="14" t="str">
        <f>IFERROR(__xludf.DUMMYFUNCTION("IF(REGEXMATCH($B272,L$1),$D272,"""")"),"")</f>
        <v/>
      </c>
      <c r="M272" s="14" t="str">
        <f>IFERROR(__xludf.DUMMYFUNCTION("IF(REGEXMATCH($B272,M$1),$D272,"""")"),"Plant")</f>
        <v>Plant</v>
      </c>
      <c r="N272" s="14" t="str">
        <f>IFERROR(__xludf.DUMMYFUNCTION("IF(REGEXMATCH($B272,N$1),$D272,"""")"),"")</f>
        <v/>
      </c>
      <c r="O272" s="14" t="str">
        <f>IFERROR(__xludf.DUMMYFUNCTION("IF(REGEXMATCH($B272,O$1),$D272,"""")"),"")</f>
        <v/>
      </c>
      <c r="P272" s="14" t="str">
        <f>IFERROR(__xludf.DUMMYFUNCTION("IF(REGEXMATCH($B272,P$1),$D272,"""")"),"")</f>
        <v/>
      </c>
      <c r="Q272" s="14">
        <f>IFERROR(__xludf.DUMMYFUNCTION("IF($A272="""","""",LEN(REGEXREPLACE($I272,"",\s?"","""")))"),2.0)</f>
        <v>2</v>
      </c>
      <c r="S272" s="14"/>
      <c r="T272" s="14"/>
      <c r="U272" s="14"/>
      <c r="V272" s="14"/>
      <c r="W272" s="14"/>
      <c r="X272" s="14"/>
      <c r="Y272" s="14"/>
      <c r="Z272" s="14"/>
      <c r="AA272" s="14"/>
      <c r="AB272" s="14"/>
    </row>
    <row r="273" hidden="1">
      <c r="A273" s="20" t="s">
        <v>1298</v>
      </c>
      <c r="B273" s="20" t="s">
        <v>1299</v>
      </c>
      <c r="C273" s="19">
        <v>0.0</v>
      </c>
      <c r="D273" s="19" t="s">
        <v>1300</v>
      </c>
      <c r="E273" s="20" t="s">
        <v>1301</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Crystal|.*crystal.*bury""),""Empty-Crystal"","""")&amp;IF(REGEXMATCH($E273,""Move|move""),""Move"","""")"),"Unearth Aggro ")</f>
        <v>Unearth Aggro </v>
      </c>
      <c r="G273" s="73" t="s">
        <v>1302</v>
      </c>
      <c r="H273" s="19">
        <v>7.0</v>
      </c>
      <c r="I273" s="19" t="s">
        <v>1303</v>
      </c>
      <c r="J273" s="12" t="s">
        <v>39</v>
      </c>
      <c r="L273" s="14" t="str">
        <f>IFERROR(__xludf.DUMMYFUNCTION("IF(REGEXMATCH($B273,L$1),$D273,"""")"),"")</f>
        <v/>
      </c>
      <c r="M273" s="14" t="str">
        <f>IFERROR(__xludf.DUMMYFUNCTION("IF(REGEXMATCH($B273,M$1),$D273,"""")"),"Dinosaur Undead")</f>
        <v>Dinosaur Undead</v>
      </c>
      <c r="N273" s="14" t="str">
        <f>IFERROR(__xludf.DUMMYFUNCTION("IF(REGEXMATCH($B273,N$1),$D273,"""")"),"Dinosaur Undead")</f>
        <v>Dinosaur Undead</v>
      </c>
      <c r="O273" s="14" t="str">
        <f>IFERROR(__xludf.DUMMYFUNCTION("IF(REGEXMATCH($B273,O$1),$D273,"""")"),"")</f>
        <v/>
      </c>
      <c r="P273" s="14" t="str">
        <f>IFERROR(__xludf.DUMMYFUNCTION("IF(REGEXMATCH($B273,P$1),$D273,"""")"),"")</f>
        <v/>
      </c>
      <c r="Q273" s="14">
        <f>IFERROR(__xludf.DUMMYFUNCTION("IF($A273="""","""",LEN(REGEXREPLACE($I273,"",\s?"","""")))"),7.0)</f>
        <v>7</v>
      </c>
      <c r="S273" s="14"/>
      <c r="T273" s="14"/>
      <c r="U273" s="14"/>
      <c r="V273" s="14"/>
      <c r="W273" s="14"/>
      <c r="X273" s="14"/>
      <c r="Y273" s="14"/>
      <c r="Z273" s="14"/>
      <c r="AA273" s="14"/>
      <c r="AB273" s="14"/>
    </row>
    <row r="274" hidden="1">
      <c r="A274" s="10" t="s">
        <v>1304</v>
      </c>
      <c r="B274" s="10" t="s">
        <v>1299</v>
      </c>
      <c r="C274" s="12">
        <v>2.0</v>
      </c>
      <c r="D274" s="12" t="s">
        <v>1305</v>
      </c>
      <c r="E274" s="10" t="s">
        <v>1306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Crystal|.*crystal.*bury""),""Empty-Crystal"","""")&amp;IF(REGEXMATCH($E274,""Move|move""),""Move"","""")"),"Insect ")</f>
        <v>Insect </v>
      </c>
      <c r="G274" s="13" t="s">
        <v>1307</v>
      </c>
      <c r="H274" s="12">
        <v>3.0</v>
      </c>
      <c r="I274" s="12" t="s">
        <v>1308</v>
      </c>
      <c r="J274" s="12" t="s">
        <v>69</v>
      </c>
      <c r="L274" s="14" t="str">
        <f>IFERROR(__xludf.DUMMYFUNCTION("IF(REGEXMATCH($B274,L$1),$D274,"""")"),"")</f>
        <v/>
      </c>
      <c r="M274" s="14" t="str">
        <f>IFERROR(__xludf.DUMMYFUNCTION("IF(REGEXMATCH($B274,M$1),$D274,"""")"),"Demon Insect")</f>
        <v>Demon Insect</v>
      </c>
      <c r="N274" s="14" t="str">
        <f>IFERROR(__xludf.DUMMYFUNCTION("IF(REGEXMATCH($B274,N$1),$D274,"""")"),"Demon Insect")</f>
        <v>Demon Insect</v>
      </c>
      <c r="O274" s="14" t="str">
        <f>IFERROR(__xludf.DUMMYFUNCTION("IF(REGEXMATCH($B274,O$1),$D274,"""")"),"")</f>
        <v/>
      </c>
      <c r="P274" s="14" t="str">
        <f>IFERROR(__xludf.DUMMYFUNCTION("IF(REGEXMATCH($B274,P$1),$D274,"""")"),"")</f>
        <v/>
      </c>
      <c r="Q274" s="14">
        <f>IFERROR(__xludf.DUMMYFUNCTION("IF($A274="""","""",LEN(REGEXREPLACE($I274,"",\s?"","""")))"),4.0)</f>
        <v>4</v>
      </c>
      <c r="S274" s="14"/>
      <c r="T274" s="14"/>
      <c r="U274" s="14"/>
      <c r="V274" s="14"/>
      <c r="W274" s="14"/>
      <c r="X274" s="14"/>
      <c r="Y274" s="14"/>
      <c r="Z274" s="14"/>
      <c r="AA274" s="14"/>
      <c r="AB274" s="14"/>
    </row>
    <row r="275">
      <c r="A275" s="35" t="s">
        <v>1309</v>
      </c>
      <c r="B275" s="20" t="s">
        <v>1299</v>
      </c>
      <c r="C275" s="19">
        <v>1.0</v>
      </c>
      <c r="D275" s="67" t="s">
        <v>1305</v>
      </c>
      <c r="E275" s="35" t="s">
        <v>1310</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f>
        <v/>
      </c>
      <c r="G275" s="73" t="s">
        <v>1311</v>
      </c>
      <c r="H275" s="19">
        <v>0.0</v>
      </c>
      <c r="I275" s="19" t="s">
        <v>1312</v>
      </c>
      <c r="J275" s="19" t="s">
        <v>69</v>
      </c>
      <c r="L275" s="14" t="str">
        <f>IFERROR(__xludf.DUMMYFUNCTION("IF(REGEXMATCH($B275,L$1),$D275,"""")"),"")</f>
        <v/>
      </c>
      <c r="M275" s="14" t="str">
        <f>IFERROR(__xludf.DUMMYFUNCTION("IF(REGEXMATCH($B275,M$1),$D275,"""")"),"Demon Insect")</f>
        <v>Demon Insect</v>
      </c>
      <c r="N275" s="14" t="str">
        <f>IFERROR(__xludf.DUMMYFUNCTION("IF(REGEXMATCH($B275,N$1),$D275,"""")"),"Demon Insect")</f>
        <v>Demon Insect</v>
      </c>
      <c r="O275" s="14" t="str">
        <f>IFERROR(__xludf.DUMMYFUNCTION("IF(REGEXMATCH($B275,O$1),$D275,"""")"),"")</f>
        <v/>
      </c>
      <c r="P275" s="14" t="str">
        <f>IFERROR(__xludf.DUMMYFUNCTION("IF(REGEXMATCH($B275,P$1),$D275,"""")"),"")</f>
        <v/>
      </c>
      <c r="Q275" s="14">
        <f>IFERROR(__xludf.DUMMYFUNCTION("IF($A275="""","""",LEN(REGEXREPLACE($I275,"",\s?"","""")))"),4.0)</f>
        <v>4</v>
      </c>
      <c r="S275" s="14"/>
      <c r="T275" s="14"/>
      <c r="U275" s="14"/>
      <c r="V275" s="14"/>
      <c r="W275" s="14"/>
      <c r="X275" s="14"/>
      <c r="Y275" s="14"/>
      <c r="Z275" s="14"/>
      <c r="AA275" s="14"/>
      <c r="AB275" s="14"/>
    </row>
    <row r="276">
      <c r="A276" s="10" t="s">
        <v>1313</v>
      </c>
      <c r="B276" s="10" t="s">
        <v>1299</v>
      </c>
      <c r="C276" s="12">
        <v>1.0</v>
      </c>
      <c r="D276" s="12" t="s">
        <v>895</v>
      </c>
      <c r="E276" s="10" t="s">
        <v>1314</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Crystal|.*crystal.*bury""),""Empty-Crystal"","""")&amp;IF(REGEXMATCH($E276,""Move|move""),""Move"","""")"),"Copy ")</f>
        <v>Copy </v>
      </c>
      <c r="G276" s="13" t="s">
        <v>1315</v>
      </c>
      <c r="H276" s="12">
        <v>1.0</v>
      </c>
      <c r="I276" s="12" t="s">
        <v>1316</v>
      </c>
      <c r="J276" s="12" t="s">
        <v>39</v>
      </c>
      <c r="L276" s="14" t="str">
        <f>IFERROR(__xludf.DUMMYFUNCTION("IF(REGEXMATCH($B276,L$1),$D276,"""")"),"")</f>
        <v/>
      </c>
      <c r="M276" s="14" t="str">
        <f>IFERROR(__xludf.DUMMYFUNCTION("IF(REGEXMATCH($B276,M$1),$D276,"""")"),"Animal Demon")</f>
        <v>Animal Demon</v>
      </c>
      <c r="N276" s="14" t="str">
        <f>IFERROR(__xludf.DUMMYFUNCTION("IF(REGEXMATCH($B276,N$1),$D276,"""")"),"Animal Demon")</f>
        <v>Animal Demon</v>
      </c>
      <c r="O276" s="14" t="str">
        <f>IFERROR(__xludf.DUMMYFUNCTION("IF(REGEXMATCH($B276,O$1),$D276,"""")"),"")</f>
        <v/>
      </c>
      <c r="P276" s="14" t="str">
        <f>IFERROR(__xludf.DUMMYFUNCTION("IF(REGEXMATCH($B276,P$1),$D276,"""")"),"")</f>
        <v/>
      </c>
      <c r="Q276" s="14">
        <f>IFERROR(__xludf.DUMMYFUNCTION("IF($A276="""","""",LEN(REGEXREPLACE($I276,"",\s?"","""")))"),4.0)</f>
        <v>4</v>
      </c>
      <c r="S276" s="14"/>
      <c r="T276" s="14"/>
      <c r="U276" s="14"/>
      <c r="V276" s="14"/>
      <c r="W276" s="14"/>
      <c r="X276" s="14"/>
      <c r="Y276" s="14"/>
      <c r="Z276" s="14"/>
      <c r="AA276" s="14"/>
      <c r="AB276" s="14"/>
    </row>
    <row r="277">
      <c r="A277" s="10" t="s">
        <v>1317</v>
      </c>
      <c r="B277" s="10" t="s">
        <v>1299</v>
      </c>
      <c r="C277" s="12">
        <v>1.0</v>
      </c>
      <c r="D277" s="12" t="s">
        <v>1318</v>
      </c>
      <c r="E277" s="10"/>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f>
        <v/>
      </c>
      <c r="G277" s="13" t="s">
        <v>1319</v>
      </c>
      <c r="H277" s="12">
        <v>2.0</v>
      </c>
      <c r="I277" s="12" t="s">
        <v>1320</v>
      </c>
      <c r="J277" s="12" t="s">
        <v>33</v>
      </c>
      <c r="L277" s="14" t="str">
        <f>IFERROR(__xludf.DUMMYFUNCTION("IF(REGEXMATCH($B277,L$1),$D277,"""")"),"")</f>
        <v/>
      </c>
      <c r="M277" s="14" t="str">
        <f>IFERROR(__xludf.DUMMYFUNCTION("IF(REGEXMATCH($B277,M$1),$D277,"""")"),"Bannerbearer Plant Undead")</f>
        <v>Bannerbearer Plant Undead</v>
      </c>
      <c r="N277" s="14" t="str">
        <f>IFERROR(__xludf.DUMMYFUNCTION("IF(REGEXMATCH($B277,N$1),$D277,"""")"),"Bannerbearer Plant Undead")</f>
        <v>Bannerbearer Plant Undead</v>
      </c>
      <c r="O277" s="14" t="str">
        <f>IFERROR(__xludf.DUMMYFUNCTION("IF(REGEXMATCH($B277,O$1),$D277,"""")"),"")</f>
        <v/>
      </c>
      <c r="P277" s="14" t="str">
        <f>IFERROR(__xludf.DUMMYFUNCTION("IF(REGEXMATCH($B277,P$1),$D277,"""")"),"")</f>
        <v/>
      </c>
      <c r="Q277" s="14">
        <f>IFERROR(__xludf.DUMMYFUNCTION("IF($A277="""","""",LEN(REGEXREPLACE($I277,"",\s?"","""")))"),2.0)</f>
        <v>2</v>
      </c>
      <c r="S277" s="14"/>
      <c r="T277" s="14"/>
      <c r="U277" s="14"/>
      <c r="V277" s="14"/>
      <c r="W277" s="14"/>
      <c r="X277" s="14"/>
      <c r="Y277" s="14"/>
      <c r="Z277" s="14"/>
      <c r="AA277" s="14"/>
      <c r="AB277" s="14"/>
    </row>
    <row r="278">
      <c r="A278" s="10" t="s">
        <v>1321</v>
      </c>
      <c r="B278" s="10" t="s">
        <v>13</v>
      </c>
      <c r="C278" s="12">
        <v>1.0</v>
      </c>
      <c r="D278" s="12" t="s">
        <v>1322</v>
      </c>
      <c r="E278" s="10" t="s">
        <v>1323</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Crystal|.*crystal.*bury""),""Empty-Crystal"","""")&amp;IF(REGEXMATCH($E278,""Move|move""),""Move"","""")"),"Control ")</f>
        <v>Control </v>
      </c>
      <c r="G278" s="13" t="s">
        <v>1324</v>
      </c>
      <c r="H278" s="12">
        <v>4.0</v>
      </c>
      <c r="I278" s="47" t="s">
        <v>1325</v>
      </c>
      <c r="J278" s="12" t="s">
        <v>69</v>
      </c>
      <c r="L278" s="14" t="str">
        <f>IFERROR(__xludf.DUMMYFUNCTION("IF(REGEXMATCH($B278,L$1),$D278,"""")"),"")</f>
        <v/>
      </c>
      <c r="M278" s="14" t="str">
        <f>IFERROR(__xludf.DUMMYFUNCTION("IF(REGEXMATCH($B278,M$1),$D278,"""")"),"")</f>
        <v/>
      </c>
      <c r="N278" s="14" t="str">
        <f>IFERROR(__xludf.DUMMYFUNCTION("IF(REGEXMATCH($B278,N$1),$D278,"""")"),"Demon Hunter")</f>
        <v>Demon Hunter</v>
      </c>
      <c r="O278" s="14" t="str">
        <f>IFERROR(__xludf.DUMMYFUNCTION("IF(REGEXMATCH($B278,O$1),$D278,"""")"),"")</f>
        <v/>
      </c>
      <c r="P278" s="14" t="str">
        <f>IFERROR(__xludf.DUMMYFUNCTION("IF(REGEXMATCH($B278,P$1),$D278,"""")"),"")</f>
        <v/>
      </c>
      <c r="Q278" s="14">
        <f>IFERROR(__xludf.DUMMYFUNCTION("IF($A278="""","""",LEN(REGEXREPLACE($I278,"",\s?"","""")))"),4.0)</f>
        <v>4</v>
      </c>
      <c r="S278" s="14"/>
      <c r="T278" s="14"/>
      <c r="U278" s="14"/>
      <c r="V278" s="14"/>
      <c r="W278" s="14"/>
      <c r="X278" s="14"/>
      <c r="Y278" s="14"/>
      <c r="Z278" s="14"/>
      <c r="AA278" s="14"/>
      <c r="AB278" s="14"/>
    </row>
    <row r="279">
      <c r="A279" s="25" t="s">
        <v>1326</v>
      </c>
      <c r="B279" s="10" t="s">
        <v>13</v>
      </c>
      <c r="C279" s="12">
        <v>1.0</v>
      </c>
      <c r="D279" s="12" t="s">
        <v>1327</v>
      </c>
      <c r="E279" s="10" t="s">
        <v>1328</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Crystal|.*crystal.*bury""),""Empty-Crystal"","""")&amp;IF(REGEXMATCH($E279,""Move|move""),""Move"","""")"),"Unearth ")</f>
        <v>Unearth </v>
      </c>
      <c r="G279" s="21" t="s">
        <v>1329</v>
      </c>
      <c r="H279" s="12">
        <v>2.0</v>
      </c>
      <c r="I279" s="12" t="s">
        <v>1330</v>
      </c>
      <c r="J279" s="12" t="s">
        <v>69</v>
      </c>
      <c r="L279" s="14" t="str">
        <f>IFERROR(__xludf.DUMMYFUNCTION("IF(REGEXMATCH($B279,L$1),$D279,"""")"),"")</f>
        <v/>
      </c>
      <c r="M279" s="14" t="str">
        <f>IFERROR(__xludf.DUMMYFUNCTION("IF(REGEXMATCH($B279,M$1),$D279,"""")"),"")</f>
        <v/>
      </c>
      <c r="N279" s="14" t="str">
        <f>IFERROR(__xludf.DUMMYFUNCTION("IF(REGEXMATCH($B279,N$1),$D279,"""")"),"Undead Wizard")</f>
        <v>Undead Wizard</v>
      </c>
      <c r="O279" s="14" t="str">
        <f>IFERROR(__xludf.DUMMYFUNCTION("IF(REGEXMATCH($B279,O$1),$D279,"""")"),"")</f>
        <v/>
      </c>
      <c r="P279" s="14" t="str">
        <f>IFERROR(__xludf.DUMMYFUNCTION("IF(REGEXMATCH($B279,P$1),$D279,"""")"),"")</f>
        <v/>
      </c>
      <c r="Q279" s="14">
        <f>IFERROR(__xludf.DUMMYFUNCTION("IF($A279="""","""",LEN(REGEXREPLACE($I279,"",\s?"","""")))"),3.0)</f>
        <v>3</v>
      </c>
      <c r="S279" s="14"/>
      <c r="T279" s="14"/>
      <c r="U279" s="14"/>
      <c r="V279" s="14"/>
      <c r="W279" s="14"/>
      <c r="X279" s="14"/>
      <c r="Y279" s="14"/>
      <c r="Z279" s="14"/>
      <c r="AA279" s="14"/>
      <c r="AB279" s="14"/>
    </row>
    <row r="280">
      <c r="A280" s="20" t="s">
        <v>1331</v>
      </c>
      <c r="B280" s="10" t="s">
        <v>13</v>
      </c>
      <c r="C280" s="12">
        <v>1.0</v>
      </c>
      <c r="D280" s="19" t="s">
        <v>891</v>
      </c>
      <c r="E280" s="20" t="s">
        <v>1332</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Crystal|.*crystal.*bury""),""Empty-Crystal"","""")&amp;IF(REGEXMATCH($E280,""Move|move""),""Move"","""")"),"Unearth ")</f>
        <v>Unearth </v>
      </c>
      <c r="G280" s="21" t="s">
        <v>1020</v>
      </c>
      <c r="H280" s="19">
        <v>2.0</v>
      </c>
      <c r="I280" s="19" t="s">
        <v>1333</v>
      </c>
      <c r="J280" s="19" t="s">
        <v>33</v>
      </c>
      <c r="L280" s="14" t="str">
        <f>IFERROR(__xludf.DUMMYFUNCTION("IF(REGEXMATCH($B280,L$1),$D280,"""")"),"")</f>
        <v/>
      </c>
      <c r="M280" s="14" t="str">
        <f>IFERROR(__xludf.DUMMYFUNCTION("IF(REGEXMATCH($B280,M$1),$D280,"""")"),"")</f>
        <v/>
      </c>
      <c r="N280" s="14" t="str">
        <f>IFERROR(__xludf.DUMMYFUNCTION("IF(REGEXMATCH($B280,N$1),$D280,"""")"),"Undead")</f>
        <v>Undead</v>
      </c>
      <c r="O280" s="14" t="str">
        <f>IFERROR(__xludf.DUMMYFUNCTION("IF(REGEXMATCH($B280,O$1),$D280,"""")"),"")</f>
        <v/>
      </c>
      <c r="P280" s="14" t="str">
        <f>IFERROR(__xludf.DUMMYFUNCTION("IF(REGEXMATCH($B280,P$1),$D280,"""")"),"")</f>
        <v/>
      </c>
      <c r="Q280" s="14">
        <f>IFERROR(__xludf.DUMMYFUNCTION("IF($A280="""","""",LEN(REGEXREPLACE($I280,"",\s?"","""")))"),2.0)</f>
        <v>2</v>
      </c>
      <c r="S280" s="14"/>
      <c r="T280" s="14"/>
      <c r="U280" s="14"/>
      <c r="V280" s="14"/>
      <c r="W280" s="14"/>
      <c r="X280" s="14"/>
      <c r="Y280" s="14"/>
      <c r="Z280" s="14"/>
      <c r="AA280" s="14"/>
      <c r="AB280" s="14"/>
    </row>
    <row r="281" hidden="1">
      <c r="A281" s="10" t="s">
        <v>1334</v>
      </c>
      <c r="B281" s="87" t="s">
        <v>13</v>
      </c>
      <c r="C281" s="12">
        <v>2.0</v>
      </c>
      <c r="D281" s="12" t="s">
        <v>120</v>
      </c>
      <c r="E281" s="10" t="s">
        <v>1335</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Crystal|.*crystal.*bury""),""Empty-Crystal"","""")&amp;IF(REGEXMATCH($E281,""Move|move""),""Move"","""")"),"Undead Unearth Ramp ")</f>
        <v>Undead Unearth Ramp </v>
      </c>
      <c r="G281" s="21" t="s">
        <v>1336</v>
      </c>
      <c r="H281" s="12">
        <v>1.0</v>
      </c>
      <c r="I281" s="12" t="s">
        <v>1337</v>
      </c>
      <c r="J281" s="19" t="s">
        <v>69</v>
      </c>
      <c r="L281" s="14" t="str">
        <f>IFERROR(__xludf.DUMMYFUNCTION("IF(REGEXMATCH($B281,L$1),$D281,"""")"),"")</f>
        <v/>
      </c>
      <c r="M281" s="14" t="str">
        <f>IFERROR(__xludf.DUMMYFUNCTION("IF(REGEXMATCH($B281,M$1),$D281,"""")"),"")</f>
        <v/>
      </c>
      <c r="N281" s="14" t="str">
        <f>IFERROR(__xludf.DUMMYFUNCTION("IF(REGEXMATCH($B281,N$1),$D281,"""")"),"Animal Undead")</f>
        <v>Animal Undead</v>
      </c>
      <c r="O281" s="14" t="str">
        <f>IFERROR(__xludf.DUMMYFUNCTION("IF(REGEXMATCH($B281,O$1),$D281,"""")"),"")</f>
        <v/>
      </c>
      <c r="P281" s="14" t="str">
        <f>IFERROR(__xludf.DUMMYFUNCTION("IF(REGEXMATCH($B281,P$1),$D281,"""")"),"")</f>
        <v/>
      </c>
      <c r="Q281" s="14">
        <f>IFERROR(__xludf.DUMMYFUNCTION("IF($A281="""","""",LEN(REGEXREPLACE($I281,"",\s?"","""")))"),1.0)</f>
        <v>1</v>
      </c>
      <c r="S281" s="14"/>
      <c r="T281" s="14"/>
      <c r="U281" s="14"/>
      <c r="V281" s="14"/>
      <c r="W281" s="14"/>
      <c r="X281" s="14"/>
      <c r="Y281" s="14"/>
      <c r="Z281" s="14"/>
      <c r="AA281" s="14"/>
      <c r="AB281" s="14"/>
    </row>
    <row r="282">
      <c r="A282" s="10" t="s">
        <v>1338</v>
      </c>
      <c r="B282" s="10" t="s">
        <v>13</v>
      </c>
      <c r="C282" s="12">
        <v>1.0</v>
      </c>
      <c r="D282" s="19" t="s">
        <v>1339</v>
      </c>
      <c r="E282" s="20" t="s">
        <v>1340</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Crystal|.*crystal.*bury""),""Empty-Crystal"","""")&amp;IF(REGEXMATCH($E282,""Move|move""),""Move"","""")"),"Unearth ")</f>
        <v>Unearth </v>
      </c>
      <c r="G282" s="21" t="s">
        <v>1341</v>
      </c>
      <c r="H282" s="19">
        <v>2.0</v>
      </c>
      <c r="I282" s="19" t="s">
        <v>1342</v>
      </c>
      <c r="J282" s="12" t="s">
        <v>69</v>
      </c>
      <c r="L282" s="14" t="str">
        <f>IFERROR(__xludf.DUMMYFUNCTION("IF(REGEXMATCH($B282,L$1),$D282,"""")"),"")</f>
        <v/>
      </c>
      <c r="M282" s="14" t="str">
        <f>IFERROR(__xludf.DUMMYFUNCTION("IF(REGEXMATCH($B282,M$1),$D282,"""")"),"")</f>
        <v/>
      </c>
      <c r="N282" s="14" t="str">
        <f>IFERROR(__xludf.DUMMYFUNCTION("IF(REGEXMATCH($B282,N$1),$D282,"""")"),"Hunter Undead")</f>
        <v>Hunter Undead</v>
      </c>
      <c r="O282" s="14" t="str">
        <f>IFERROR(__xludf.DUMMYFUNCTION("IF(REGEXMATCH($B282,O$1),$D282,"""")"),"")</f>
        <v/>
      </c>
      <c r="P282" s="14" t="str">
        <f>IFERROR(__xludf.DUMMYFUNCTION("IF(REGEXMATCH($B282,P$1),$D282,"""")"),"")</f>
        <v/>
      </c>
      <c r="Q282" s="14">
        <f>IFERROR(__xludf.DUMMYFUNCTION("IF($A282="""","""",LEN(REGEXREPLACE($I282,"",\s?"","""")))"),4.0)</f>
        <v>4</v>
      </c>
      <c r="S282" s="14"/>
      <c r="T282" s="14"/>
      <c r="U282" s="14"/>
      <c r="V282" s="14"/>
      <c r="W282" s="14"/>
      <c r="X282" s="14"/>
      <c r="Y282" s="14"/>
      <c r="Z282" s="14"/>
      <c r="AA282" s="14"/>
      <c r="AB282" s="14"/>
    </row>
    <row r="283" hidden="1">
      <c r="A283" s="25" t="s">
        <v>1343</v>
      </c>
      <c r="B283" s="87" t="s">
        <v>13</v>
      </c>
      <c r="C283" s="12">
        <v>2.0</v>
      </c>
      <c r="D283" s="12" t="s">
        <v>1209</v>
      </c>
      <c r="E283" s="10" t="s">
        <v>1344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Crystal|.*crystal.*bury""),""Empty-Crystal"","""")&amp;IF(REGEXMATCH($E283,""Move|move""),""Move"","""")"),"Unearth Control ")</f>
        <v>Unearth Control </v>
      </c>
      <c r="G283" s="13" t="s">
        <v>1345</v>
      </c>
      <c r="H283" s="12">
        <v>4.0</v>
      </c>
      <c r="I283" s="12" t="s">
        <v>1346</v>
      </c>
      <c r="J283" s="12" t="s">
        <v>39</v>
      </c>
      <c r="L283" s="14" t="str">
        <f>IFERROR(__xludf.DUMMYFUNCTION("IF(REGEXMATCH($B283,L$1),$D283,"""")"),"")</f>
        <v/>
      </c>
      <c r="M283" s="14" t="str">
        <f>IFERROR(__xludf.DUMMYFUNCTION("IF(REGEXMATCH($B283,M$1),$D283,"""")"),"")</f>
        <v/>
      </c>
      <c r="N283" s="14" t="str">
        <f>IFERROR(__xludf.DUMMYFUNCTION("IF(REGEXMATCH($B283,N$1),$D283,"""")"),"Hunter Insect")</f>
        <v>Hunter Insect</v>
      </c>
      <c r="O283" s="14" t="str">
        <f>IFERROR(__xludf.DUMMYFUNCTION("IF(REGEXMATCH($B283,O$1),$D283,"""")"),"")</f>
        <v/>
      </c>
      <c r="P283" s="14" t="str">
        <f>IFERROR(__xludf.DUMMYFUNCTION("IF(REGEXMATCH($B283,P$1),$D283,"""")"),"")</f>
        <v/>
      </c>
      <c r="Q283" s="14">
        <f>IFERROR(__xludf.DUMMYFUNCTION("IF($A283="""","""",LEN(REGEXREPLACE($I283,"",\s?"","""")))"),5.0)</f>
        <v>5</v>
      </c>
      <c r="S283" s="14"/>
      <c r="T283" s="14"/>
      <c r="U283" s="14"/>
      <c r="V283" s="14"/>
      <c r="W283" s="14"/>
      <c r="X283" s="14"/>
      <c r="Y283" s="14"/>
      <c r="Z283" s="14"/>
      <c r="AA283" s="14"/>
      <c r="AB283" s="14"/>
    </row>
    <row r="284" hidden="1">
      <c r="A284" s="20" t="s">
        <v>1347</v>
      </c>
      <c r="B284" s="88" t="s">
        <v>13</v>
      </c>
      <c r="C284" s="19">
        <v>2.0</v>
      </c>
      <c r="D284" s="19" t="s">
        <v>1348</v>
      </c>
      <c r="E284" s="35" t="s">
        <v>1349</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Crystal|.*crystal.*bury""),""Empty-Crystal"","""")&amp;IF(REGEXMATCH($E284,""Move|move""),""Move"","""")"),"Control ")</f>
        <v>Control </v>
      </c>
      <c r="G284" s="21" t="s">
        <v>1350</v>
      </c>
      <c r="H284" s="19">
        <v>4.0</v>
      </c>
      <c r="I284" s="19" t="s">
        <v>1351</v>
      </c>
      <c r="J284" s="12" t="s">
        <v>39</v>
      </c>
      <c r="L284" s="14" t="str">
        <f>IFERROR(__xludf.DUMMYFUNCTION("IF(REGEXMATCH($B284,L$1),$D284,"""")"),"")</f>
        <v/>
      </c>
      <c r="M284" s="14" t="str">
        <f>IFERROR(__xludf.DUMMYFUNCTION("IF(REGEXMATCH($B284,M$1),$D284,"""")"),"")</f>
        <v/>
      </c>
      <c r="N284" s="14" t="str">
        <f>IFERROR(__xludf.DUMMYFUNCTION("IF(REGEXMATCH($B284,N$1),$D284,"""")"),"Demon Warrior")</f>
        <v>Demon Warrior</v>
      </c>
      <c r="O284" s="14" t="str">
        <f>IFERROR(__xludf.DUMMYFUNCTION("IF(REGEXMATCH($B284,O$1),$D284,"""")"),"")</f>
        <v/>
      </c>
      <c r="P284" s="14" t="str">
        <f>IFERROR(__xludf.DUMMYFUNCTION("IF(REGEXMATCH($B284,P$1),$D284,"""")"),"")</f>
        <v/>
      </c>
      <c r="Q284" s="14">
        <f>IFERROR(__xludf.DUMMYFUNCTION("IF($A284="""","""",LEN(REGEXREPLACE($I284,"",\s?"","""")))"),7.0)</f>
        <v>7</v>
      </c>
      <c r="S284" s="14"/>
      <c r="T284" s="14"/>
      <c r="U284" s="14"/>
      <c r="V284" s="14"/>
      <c r="W284" s="14"/>
      <c r="X284" s="14"/>
      <c r="Y284" s="14"/>
      <c r="Z284" s="14"/>
      <c r="AA284" s="14"/>
      <c r="AB284" s="14"/>
    </row>
    <row r="285" hidden="1">
      <c r="A285" s="10" t="s">
        <v>1352</v>
      </c>
      <c r="B285" s="87" t="s">
        <v>13</v>
      </c>
      <c r="C285" s="12">
        <v>2.0</v>
      </c>
      <c r="D285" s="12" t="s">
        <v>1353</v>
      </c>
      <c r="E285" s="20" t="s">
        <v>1354</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Crystal|.*crystal.*bury""),""Empty-Crystal"","""")&amp;IF(REGEXMATCH($E285,""Move|move""),""Move"","""")"),"Demon Ramp Demon Control ")</f>
        <v>Demon Ramp Demon Control </v>
      </c>
      <c r="G285" s="13" t="s">
        <v>1355</v>
      </c>
      <c r="H285" s="12">
        <v>3.0</v>
      </c>
      <c r="I285" s="12" t="s">
        <v>1330</v>
      </c>
      <c r="J285" s="19" t="s">
        <v>69</v>
      </c>
      <c r="L285" s="14" t="str">
        <f>IFERROR(__xludf.DUMMYFUNCTION("IF(REGEXMATCH($B285,L$1),$D285,"""")"),"")</f>
        <v/>
      </c>
      <c r="M285" s="14" t="str">
        <f>IFERROR(__xludf.DUMMYFUNCTION("IF(REGEXMATCH($B285,M$1),$D285,"""")"),"")</f>
        <v/>
      </c>
      <c r="N285" s="14" t="str">
        <f>IFERROR(__xludf.DUMMYFUNCTION("IF(REGEXMATCH($B285,N$1),$D285,"""")"),"Demon")</f>
        <v>Demon</v>
      </c>
      <c r="O285" s="14" t="str">
        <f>IFERROR(__xludf.DUMMYFUNCTION("IF(REGEXMATCH($B285,O$1),$D285,"""")"),"")</f>
        <v/>
      </c>
      <c r="P285" s="14" t="str">
        <f>IFERROR(__xludf.DUMMYFUNCTION("IF(REGEXMATCH($B285,P$1),$D285,"""")"),"")</f>
        <v/>
      </c>
      <c r="Q285" s="14">
        <f>IFERROR(__xludf.DUMMYFUNCTION("IF($A285="""","""",LEN(REGEXREPLACE($I285,"",\s?"","""")))"),3.0)</f>
        <v>3</v>
      </c>
      <c r="S285" s="14"/>
      <c r="T285" s="14"/>
      <c r="U285" s="14"/>
      <c r="V285" s="14"/>
      <c r="W285" s="14"/>
      <c r="X285" s="14"/>
      <c r="Y285" s="14"/>
      <c r="Z285" s="14"/>
      <c r="AA285" s="14"/>
      <c r="AB285" s="14"/>
    </row>
    <row r="286" hidden="1">
      <c r="A286" s="10" t="s">
        <v>1356</v>
      </c>
      <c r="B286" s="87" t="s">
        <v>13</v>
      </c>
      <c r="C286" s="12">
        <v>2.0</v>
      </c>
      <c r="D286" s="12" t="s">
        <v>168</v>
      </c>
      <c r="E286" s="89" t="s">
        <v>1357</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3" t="s">
        <v>1358</v>
      </c>
      <c r="H286" s="12">
        <v>0.0</v>
      </c>
      <c r="I286" s="12" t="s">
        <v>1333</v>
      </c>
      <c r="J286" s="19" t="s">
        <v>69</v>
      </c>
      <c r="L286" s="14" t="str">
        <f>IFERROR(__xludf.DUMMYFUNCTION("IF(REGEXMATCH($B286,L$1),$D286,"""")"),"")</f>
        <v/>
      </c>
      <c r="M286" s="14" t="str">
        <f>IFERROR(__xludf.DUMMYFUNCTION("IF(REGEXMATCH($B286,M$1),$D286,"""")"),"")</f>
        <v/>
      </c>
      <c r="N286" s="14" t="str">
        <f>IFERROR(__xludf.DUMMYFUNCTION("IF(REGEXMATCH($B286,N$1),$D286,"""")"),"Construct Demon")</f>
        <v>Construct Demon</v>
      </c>
      <c r="O286" s="14" t="str">
        <f>IFERROR(__xludf.DUMMYFUNCTION("IF(REGEXMATCH($B286,O$1),$D286,"""")"),"")</f>
        <v/>
      </c>
      <c r="P286" s="14" t="str">
        <f>IFERROR(__xludf.DUMMYFUNCTION("IF(REGEXMATCH($B286,P$1),$D286,"""")"),"")</f>
        <v/>
      </c>
      <c r="Q286" s="14">
        <f>IFERROR(__xludf.DUMMYFUNCTION("IF($A286="""","""",LEN(REGEXREPLACE($I286,"",\s?"","""")))"),2.0)</f>
        <v>2</v>
      </c>
      <c r="S286" s="14"/>
      <c r="T286" s="14"/>
      <c r="U286" s="14"/>
      <c r="V286" s="14"/>
      <c r="W286" s="14"/>
      <c r="X286" s="14"/>
      <c r="Y286" s="14"/>
      <c r="Z286" s="14"/>
      <c r="AA286" s="14"/>
      <c r="AB286" s="14"/>
    </row>
    <row r="287" hidden="1">
      <c r="A287" s="20" t="s">
        <v>1359</v>
      </c>
      <c r="B287" s="87" t="s">
        <v>13</v>
      </c>
      <c r="C287" s="12">
        <v>2.0</v>
      </c>
      <c r="D287" s="12" t="s">
        <v>120</v>
      </c>
      <c r="E287" s="10" t="s">
        <v>1360</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Crystal|.*crystal.*bury""),""Empty-Crystal"","""")&amp;IF(REGEXMATCH($E287,""Move|move""),""Move"","""")"),"Control ")</f>
        <v>Control </v>
      </c>
      <c r="G287" s="13" t="s">
        <v>1361</v>
      </c>
      <c r="H287" s="12">
        <v>3.0</v>
      </c>
      <c r="I287" s="12" t="s">
        <v>1330</v>
      </c>
      <c r="J287" s="12" t="s">
        <v>33</v>
      </c>
      <c r="L287" s="14" t="str">
        <f>IFERROR(__xludf.DUMMYFUNCTION("IF(REGEXMATCH($B287,L$1),$D287,"""")"),"")</f>
        <v/>
      </c>
      <c r="M287" s="14" t="str">
        <f>IFERROR(__xludf.DUMMYFUNCTION("IF(REGEXMATCH($B287,M$1),$D287,"""")"),"")</f>
        <v/>
      </c>
      <c r="N287" s="14" t="str">
        <f>IFERROR(__xludf.DUMMYFUNCTION("IF(REGEXMATCH($B287,N$1),$D287,"""")"),"Animal Undead")</f>
        <v>Animal Undead</v>
      </c>
      <c r="O287" s="14" t="str">
        <f>IFERROR(__xludf.DUMMYFUNCTION("IF(REGEXMATCH($B287,O$1),$D287,"""")"),"")</f>
        <v/>
      </c>
      <c r="P287" s="14" t="str">
        <f>IFERROR(__xludf.DUMMYFUNCTION("IF(REGEXMATCH($B287,P$1),$D287,"""")"),"")</f>
        <v/>
      </c>
      <c r="Q287" s="14">
        <f>IFERROR(__xludf.DUMMYFUNCTION("IF($A287="""","""",LEN(REGEXREPLACE($I287,"",\s?"","""")))"),3.0)</f>
        <v>3</v>
      </c>
      <c r="S287" s="14"/>
      <c r="T287" s="14"/>
      <c r="U287" s="14"/>
      <c r="V287" s="14"/>
      <c r="W287" s="14"/>
      <c r="X287" s="14"/>
      <c r="Y287" s="14"/>
      <c r="Z287" s="14"/>
      <c r="AA287" s="14"/>
      <c r="AB287" s="14"/>
    </row>
    <row r="288" hidden="1">
      <c r="A288" s="20" t="s">
        <v>1362</v>
      </c>
      <c r="B288" s="88" t="s">
        <v>13</v>
      </c>
      <c r="C288" s="19">
        <v>2.0</v>
      </c>
      <c r="D288" s="19" t="s">
        <v>895</v>
      </c>
      <c r="E288" s="20" t="s">
        <v>1363</v>
      </c>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21" t="s">
        <v>1364</v>
      </c>
      <c r="H288" s="19">
        <v>0.0</v>
      </c>
      <c r="I288" s="19" t="s">
        <v>1333</v>
      </c>
      <c r="J288" s="19" t="s">
        <v>69</v>
      </c>
      <c r="L288" s="14" t="str">
        <f>IFERROR(__xludf.DUMMYFUNCTION("IF(REGEXMATCH($B288,L$1),$D288,"""")"),"")</f>
        <v/>
      </c>
      <c r="M288" s="14" t="str">
        <f>IFERROR(__xludf.DUMMYFUNCTION("IF(REGEXMATCH($B288,M$1),$D288,"""")"),"")</f>
        <v/>
      </c>
      <c r="N288" s="14" t="str">
        <f>IFERROR(__xludf.DUMMYFUNCTION("IF(REGEXMATCH($B288,N$1),$D288,"""")"),"Animal Demon")</f>
        <v>Animal Demon</v>
      </c>
      <c r="O288" s="14" t="str">
        <f>IFERROR(__xludf.DUMMYFUNCTION("IF(REGEXMATCH($B288,O$1),$D288,"""")"),"")</f>
        <v/>
      </c>
      <c r="P288" s="14" t="str">
        <f>IFERROR(__xludf.DUMMYFUNCTION("IF(REGEXMATCH($B288,P$1),$D288,"""")"),"")</f>
        <v/>
      </c>
      <c r="Q288" s="14">
        <f>IFERROR(__xludf.DUMMYFUNCTION("IF($A288="""","""",LEN(REGEXREPLACE($I288,"",\s?"","""")))"),2.0)</f>
        <v>2</v>
      </c>
      <c r="S288" s="14"/>
      <c r="T288" s="14"/>
      <c r="U288" s="14"/>
      <c r="V288" s="14"/>
      <c r="W288" s="14"/>
      <c r="X288" s="14"/>
      <c r="Y288" s="14"/>
      <c r="Z288" s="14"/>
      <c r="AA288" s="14"/>
      <c r="AB288" s="14"/>
    </row>
    <row r="289" hidden="1">
      <c r="A289" s="20" t="s">
        <v>1365</v>
      </c>
      <c r="B289" s="88" t="s">
        <v>13</v>
      </c>
      <c r="C289" s="19">
        <v>2.0</v>
      </c>
      <c r="D289" s="19" t="s">
        <v>120</v>
      </c>
      <c r="E289" s="20" t="s">
        <v>1366</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Crystal|.*crystal.*bury""),""Empty-Crystal"","""")&amp;IF(REGEXMATCH($E289,""Move|move""),""Move"","""")"),"Ramp Control ")</f>
        <v>Ramp Control </v>
      </c>
      <c r="G289" s="21" t="s">
        <v>703</v>
      </c>
      <c r="H289" s="19">
        <v>4.0</v>
      </c>
      <c r="I289" s="19" t="s">
        <v>1367</v>
      </c>
      <c r="J289" s="12" t="s">
        <v>33</v>
      </c>
      <c r="L289" s="14" t="str">
        <f>IFERROR(__xludf.DUMMYFUNCTION("IF(REGEXMATCH($B289,L$1),$D289,"""")"),"")</f>
        <v/>
      </c>
      <c r="M289" s="14" t="str">
        <f>IFERROR(__xludf.DUMMYFUNCTION("IF(REGEXMATCH($B289,M$1),$D289,"""")"),"")</f>
        <v/>
      </c>
      <c r="N289" s="14" t="str">
        <f>IFERROR(__xludf.DUMMYFUNCTION("IF(REGEXMATCH($B289,N$1),$D289,"""")"),"Animal Undead")</f>
        <v>Animal Undead</v>
      </c>
      <c r="O289" s="14" t="str">
        <f>IFERROR(__xludf.DUMMYFUNCTION("IF(REGEXMATCH($B289,O$1),$D289,"""")"),"")</f>
        <v/>
      </c>
      <c r="P289" s="14" t="str">
        <f>IFERROR(__xludf.DUMMYFUNCTION("IF(REGEXMATCH($B289,P$1),$D289,"""")"),"")</f>
        <v/>
      </c>
      <c r="Q289" s="14">
        <f>IFERROR(__xludf.DUMMYFUNCTION("IF($A289="""","""",LEN(REGEXREPLACE($I289,"",\s?"","""")))"),5.0)</f>
        <v>5</v>
      </c>
      <c r="S289" s="14"/>
      <c r="T289" s="14"/>
      <c r="U289" s="14"/>
      <c r="V289" s="14"/>
      <c r="W289" s="14"/>
      <c r="X289" s="14"/>
      <c r="Y289" s="14"/>
      <c r="Z289" s="14"/>
      <c r="AA289" s="14"/>
      <c r="AB289" s="14"/>
    </row>
    <row r="290" hidden="1">
      <c r="A290" s="10" t="s">
        <v>1368</v>
      </c>
      <c r="B290" s="87" t="s">
        <v>13</v>
      </c>
      <c r="C290" s="12">
        <v>2.0</v>
      </c>
      <c r="D290" s="12" t="s">
        <v>1353</v>
      </c>
      <c r="E290" s="10" t="s">
        <v>1369</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3" t="s">
        <v>703</v>
      </c>
      <c r="H290" s="12">
        <v>1.0</v>
      </c>
      <c r="I290" s="12" t="s">
        <v>1370</v>
      </c>
      <c r="J290" s="12" t="s">
        <v>39</v>
      </c>
      <c r="L290" s="14" t="str">
        <f>IFERROR(__xludf.DUMMYFUNCTION("IF(REGEXMATCH($B290,L$1),$D290,"""")"),"")</f>
        <v/>
      </c>
      <c r="M290" s="14" t="str">
        <f>IFERROR(__xludf.DUMMYFUNCTION("IF(REGEXMATCH($B290,M$1),$D290,"""")"),"")</f>
        <v/>
      </c>
      <c r="N290" s="14" t="str">
        <f>IFERROR(__xludf.DUMMYFUNCTION("IF(REGEXMATCH($B290,N$1),$D290,"""")"),"Demon")</f>
        <v>Demon</v>
      </c>
      <c r="O290" s="14" t="str">
        <f>IFERROR(__xludf.DUMMYFUNCTION("IF(REGEXMATCH($B290,O$1),$D290,"""")"),"")</f>
        <v/>
      </c>
      <c r="P290" s="14" t="str">
        <f>IFERROR(__xludf.DUMMYFUNCTION("IF(REGEXMATCH($B290,P$1),$D290,"""")"),"")</f>
        <v/>
      </c>
      <c r="Q290" s="14">
        <f>IFERROR(__xludf.DUMMYFUNCTION("IF($A290="""","""",LEN(REGEXREPLACE($I290,"",\s?"","""")))"),6.0)</f>
        <v>6</v>
      </c>
      <c r="S290" s="14"/>
      <c r="T290" s="14"/>
      <c r="U290" s="14"/>
      <c r="V290" s="14"/>
      <c r="W290" s="14"/>
      <c r="X290" s="14"/>
      <c r="Y290" s="14"/>
      <c r="Z290" s="14"/>
      <c r="AA290" s="14"/>
      <c r="AB290" s="14"/>
    </row>
    <row r="291" hidden="1">
      <c r="A291" s="10" t="s">
        <v>1371</v>
      </c>
      <c r="B291" s="87" t="s">
        <v>13</v>
      </c>
      <c r="C291" s="12">
        <v>2.0</v>
      </c>
      <c r="D291" s="12" t="s">
        <v>193</v>
      </c>
      <c r="E291" s="10" t="s">
        <v>1372</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Crystal|.*crystal.*bury""),""Empty-Crystal"","""")&amp;IF(REGEXMATCH($E291,""Move|move""),""Move"","""")"),"Undead Control ")</f>
        <v>Undead Control </v>
      </c>
      <c r="G291" s="13" t="s">
        <v>1361</v>
      </c>
      <c r="H291" s="12">
        <v>5.0</v>
      </c>
      <c r="I291" s="12" t="s">
        <v>1346</v>
      </c>
      <c r="J291" s="12" t="s">
        <v>69</v>
      </c>
      <c r="L291" s="14" t="str">
        <f>IFERROR(__xludf.DUMMYFUNCTION("IF(REGEXMATCH($B291,L$1),$D291,"""")"),"")</f>
        <v/>
      </c>
      <c r="M291" s="14" t="str">
        <f>IFERROR(__xludf.DUMMYFUNCTION("IF(REGEXMATCH($B291,M$1),$D291,"""")"),"")</f>
        <v/>
      </c>
      <c r="N291" s="14" t="str">
        <f>IFERROR(__xludf.DUMMYFUNCTION("IF(REGEXMATCH($B291,N$1),$D291,"""")"),"Undead Warrior")</f>
        <v>Undead Warrior</v>
      </c>
      <c r="O291" s="14" t="str">
        <f>IFERROR(__xludf.DUMMYFUNCTION("IF(REGEXMATCH($B291,O$1),$D291,"""")"),"")</f>
        <v/>
      </c>
      <c r="P291" s="14" t="str">
        <f>IFERROR(__xludf.DUMMYFUNCTION("IF(REGEXMATCH($B291,P$1),$D291,"""")"),"")</f>
        <v/>
      </c>
      <c r="Q291" s="14">
        <f>IFERROR(__xludf.DUMMYFUNCTION("IF($A291="""","""",LEN(REGEXREPLACE($I291,"",\s?"","""")))"),5.0)</f>
        <v>5</v>
      </c>
      <c r="S291" s="14"/>
      <c r="T291" s="14"/>
      <c r="U291" s="14"/>
      <c r="V291" s="14"/>
      <c r="W291" s="14"/>
      <c r="X291" s="14"/>
      <c r="Y291" s="14"/>
      <c r="Z291" s="14"/>
      <c r="AA291" s="14"/>
      <c r="AB291" s="14"/>
    </row>
    <row r="292">
      <c r="A292" s="10" t="s">
        <v>1373</v>
      </c>
      <c r="B292" s="10" t="s">
        <v>13</v>
      </c>
      <c r="C292" s="12">
        <v>1.0</v>
      </c>
      <c r="D292" s="12" t="s">
        <v>312</v>
      </c>
      <c r="E292" s="10" t="s">
        <v>1374</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Crystal|.*crystal.*bury""),""Empty-Crystal"","""")&amp;IF(REGEXMATCH($E292,""Move|move""),""Move"","""")"),"Demon Demon ")</f>
        <v>Demon Demon </v>
      </c>
      <c r="G292" s="13" t="s">
        <v>1375</v>
      </c>
      <c r="H292" s="12">
        <v>3.0</v>
      </c>
      <c r="I292" s="12" t="s">
        <v>1342</v>
      </c>
      <c r="J292" s="12" t="s">
        <v>69</v>
      </c>
      <c r="L292" s="14" t="str">
        <f>IFERROR(__xludf.DUMMYFUNCTION("IF(REGEXMATCH($B292,L$1),$D292,"""")"),"")</f>
        <v/>
      </c>
      <c r="M292" s="14" t="str">
        <f>IFERROR(__xludf.DUMMYFUNCTION("IF(REGEXMATCH($B292,M$1),$D292,"""")"),"")</f>
        <v/>
      </c>
      <c r="N292" s="14" t="str">
        <f>IFERROR(__xludf.DUMMYFUNCTION("IF(REGEXMATCH($B292,N$1),$D292,"""")"),"Human Wizard")</f>
        <v>Human Wizard</v>
      </c>
      <c r="O292" s="14" t="str">
        <f>IFERROR(__xludf.DUMMYFUNCTION("IF(REGEXMATCH($B292,O$1),$D292,"""")"),"")</f>
        <v/>
      </c>
      <c r="P292" s="14" t="str">
        <f>IFERROR(__xludf.DUMMYFUNCTION("IF(REGEXMATCH($B292,P$1),$D292,"""")"),"")</f>
        <v/>
      </c>
      <c r="Q292" s="14">
        <f>IFERROR(__xludf.DUMMYFUNCTION("IF($A292="""","""",LEN(REGEXREPLACE($I292,"",\s?"","""")))"),4.0)</f>
        <v>4</v>
      </c>
      <c r="S292" s="14"/>
      <c r="T292" s="14"/>
      <c r="U292" s="14"/>
      <c r="V292" s="14"/>
      <c r="W292" s="14"/>
      <c r="X292" s="14"/>
      <c r="Y292" s="14"/>
      <c r="Z292" s="14"/>
      <c r="AA292" s="14"/>
      <c r="AB292" s="14"/>
    </row>
    <row r="293" hidden="1">
      <c r="A293" s="10" t="s">
        <v>1376</v>
      </c>
      <c r="B293" s="87" t="s">
        <v>13</v>
      </c>
      <c r="C293" s="12">
        <v>2.0</v>
      </c>
      <c r="D293" s="12" t="s">
        <v>1353</v>
      </c>
      <c r="E293" s="10" t="s">
        <v>1377</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13" t="s">
        <v>703</v>
      </c>
      <c r="H293" s="12">
        <v>1.0</v>
      </c>
      <c r="I293" s="12" t="s">
        <v>1337</v>
      </c>
      <c r="J293" s="12" t="s">
        <v>33</v>
      </c>
      <c r="L293" s="14" t="str">
        <f>IFERROR(__xludf.DUMMYFUNCTION("IF(REGEXMATCH($B293,L$1),$D293,"""")"),"")</f>
        <v/>
      </c>
      <c r="M293" s="14" t="str">
        <f>IFERROR(__xludf.DUMMYFUNCTION("IF(REGEXMATCH($B293,M$1),$D293,"""")"),"")</f>
        <v/>
      </c>
      <c r="N293" s="14" t="str">
        <f>IFERROR(__xludf.DUMMYFUNCTION("IF(REGEXMATCH($B293,N$1),$D293,"""")"),"Demon")</f>
        <v>Demon</v>
      </c>
      <c r="O293" s="14" t="str">
        <f>IFERROR(__xludf.DUMMYFUNCTION("IF(REGEXMATCH($B293,O$1),$D293,"""")"),"")</f>
        <v/>
      </c>
      <c r="P293" s="14" t="str">
        <f>IFERROR(__xludf.DUMMYFUNCTION("IF(REGEXMATCH($B293,P$1),$D293,"""")"),"")</f>
        <v/>
      </c>
      <c r="Q293" s="14">
        <f>IFERROR(__xludf.DUMMYFUNCTION("IF($A293="""","""",LEN(REGEXREPLACE($I293,"",\s?"","""")))"),1.0)</f>
        <v>1</v>
      </c>
      <c r="S293" s="14"/>
      <c r="T293" s="14"/>
      <c r="U293" s="14"/>
      <c r="V293" s="14"/>
      <c r="W293" s="14"/>
      <c r="X293" s="14"/>
      <c r="Y293" s="14"/>
      <c r="Z293" s="14"/>
      <c r="AA293" s="14"/>
      <c r="AB293" s="14"/>
    </row>
    <row r="294">
      <c r="A294" s="10" t="s">
        <v>1378</v>
      </c>
      <c r="B294" s="10" t="s">
        <v>13</v>
      </c>
      <c r="C294" s="12">
        <v>1.0</v>
      </c>
      <c r="D294" s="12" t="s">
        <v>891</v>
      </c>
      <c r="E294" s="20" t="s">
        <v>1379</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f>
        <v/>
      </c>
      <c r="G294" s="13" t="s">
        <v>1380</v>
      </c>
      <c r="H294" s="12">
        <v>3.0</v>
      </c>
      <c r="I294" s="12" t="s">
        <v>1330</v>
      </c>
      <c r="J294" s="12" t="s">
        <v>33</v>
      </c>
      <c r="L294" s="14" t="str">
        <f>IFERROR(__xludf.DUMMYFUNCTION("IF(REGEXMATCH($B294,L$1),$D294,"""")"),"")</f>
        <v/>
      </c>
      <c r="M294" s="14" t="str">
        <f>IFERROR(__xludf.DUMMYFUNCTION("IF(REGEXMATCH($B294,M$1),$D294,"""")"),"")</f>
        <v/>
      </c>
      <c r="N294" s="14" t="str">
        <f>IFERROR(__xludf.DUMMYFUNCTION("IF(REGEXMATCH($B294,N$1),$D294,"""")"),"Undead")</f>
        <v>Undead</v>
      </c>
      <c r="O294" s="14" t="str">
        <f>IFERROR(__xludf.DUMMYFUNCTION("IF(REGEXMATCH($B294,O$1),$D294,"""")"),"")</f>
        <v/>
      </c>
      <c r="P294" s="14" t="str">
        <f>IFERROR(__xludf.DUMMYFUNCTION("IF(REGEXMATCH($B294,P$1),$D294,"""")"),"")</f>
        <v/>
      </c>
      <c r="Q294" s="14">
        <f>IFERROR(__xludf.DUMMYFUNCTION("IF($A294="""","""",LEN(REGEXREPLACE($I294,"",\s?"","""")))"),3.0)</f>
        <v>3</v>
      </c>
      <c r="S294" s="14"/>
      <c r="T294" s="14"/>
      <c r="U294" s="14"/>
      <c r="V294" s="14"/>
      <c r="W294" s="14"/>
      <c r="X294" s="14"/>
      <c r="Y294" s="14"/>
      <c r="Z294" s="14"/>
      <c r="AA294" s="14"/>
      <c r="AB294" s="14"/>
    </row>
    <row r="295">
      <c r="A295" s="20" t="s">
        <v>1381</v>
      </c>
      <c r="B295" s="10" t="s">
        <v>13</v>
      </c>
      <c r="C295" s="12">
        <v>1.0</v>
      </c>
      <c r="D295" s="19" t="s">
        <v>891</v>
      </c>
      <c r="E295" s="20" t="s">
        <v>1382</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Crystal|.*crystal.*bury""),""Empty-Crystal"","""")&amp;IF(REGEXMATCH($E295,""Move|move""),""Move"","""")"),"Void ")</f>
        <v>Void </v>
      </c>
      <c r="G295" s="21" t="s">
        <v>1383</v>
      </c>
      <c r="H295" s="19">
        <v>3.0</v>
      </c>
      <c r="I295" s="19" t="s">
        <v>1330</v>
      </c>
      <c r="J295" s="19" t="s">
        <v>33</v>
      </c>
      <c r="L295" s="14" t="str">
        <f>IFERROR(__xludf.DUMMYFUNCTION("IF(REGEXMATCH($B295,L$1),$D295,"""")"),"")</f>
        <v/>
      </c>
      <c r="M295" s="14" t="str">
        <f>IFERROR(__xludf.DUMMYFUNCTION("IF(REGEXMATCH($B295,M$1),$D295,"""")"),"")</f>
        <v/>
      </c>
      <c r="N295" s="14" t="str">
        <f>IFERROR(__xludf.DUMMYFUNCTION("IF(REGEXMATCH($B295,N$1),$D295,"""")"),"Undead")</f>
        <v>Undead</v>
      </c>
      <c r="O295" s="14" t="str">
        <f>IFERROR(__xludf.DUMMYFUNCTION("IF(REGEXMATCH($B295,O$1),$D295,"""")"),"")</f>
        <v/>
      </c>
      <c r="P295" s="14" t="str">
        <f>IFERROR(__xludf.DUMMYFUNCTION("IF(REGEXMATCH($B295,P$1),$D295,"""")"),"")</f>
        <v/>
      </c>
      <c r="Q295" s="14">
        <f>IFERROR(__xludf.DUMMYFUNCTION("IF($A295="""","""",LEN(REGEXREPLACE($I295,"",\s?"","""")))"),3.0)</f>
        <v>3</v>
      </c>
      <c r="S295" s="14"/>
      <c r="T295" s="14"/>
      <c r="U295" s="14"/>
      <c r="V295" s="14"/>
      <c r="W295" s="14"/>
      <c r="X295" s="14"/>
      <c r="Y295" s="14"/>
      <c r="Z295" s="14"/>
      <c r="AA295" s="14"/>
      <c r="AB295" s="14"/>
    </row>
    <row r="296">
      <c r="A296" s="27" t="s">
        <v>1384</v>
      </c>
      <c r="B296" s="10" t="s">
        <v>13</v>
      </c>
      <c r="C296" s="12">
        <v>1.0</v>
      </c>
      <c r="D296" s="24" t="s">
        <v>1353</v>
      </c>
      <c r="E296" s="10" t="s">
        <v>1385</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Crystal|.*crystal.*bury""),""Empty-Crystal"","""")&amp;IF(REGEXMATCH($E296,""Move|move""),""Move"","""")"),"Void Unearth ")</f>
        <v>Void Unearth </v>
      </c>
      <c r="G296" s="21" t="s">
        <v>1386</v>
      </c>
      <c r="H296" s="12">
        <v>2.0</v>
      </c>
      <c r="I296" s="12" t="s">
        <v>1333</v>
      </c>
      <c r="J296" s="19" t="s">
        <v>33</v>
      </c>
      <c r="L296" s="14" t="str">
        <f>IFERROR(__xludf.DUMMYFUNCTION("IF(REGEXMATCH($B296,L$1),$D296,"""")"),"")</f>
        <v/>
      </c>
      <c r="M296" s="14" t="str">
        <f>IFERROR(__xludf.DUMMYFUNCTION("IF(REGEXMATCH($B296,M$1),$D296,"""")"),"")</f>
        <v/>
      </c>
      <c r="N296" s="14" t="str">
        <f>IFERROR(__xludf.DUMMYFUNCTION("IF(REGEXMATCH($B296,N$1),$D296,"""")"),"Demon")</f>
        <v>Demon</v>
      </c>
      <c r="O296" s="14" t="str">
        <f>IFERROR(__xludf.DUMMYFUNCTION("IF(REGEXMATCH($B296,O$1),$D296,"""")"),"")</f>
        <v/>
      </c>
      <c r="P296" s="14" t="str">
        <f>IFERROR(__xludf.DUMMYFUNCTION("IF(REGEXMATCH($B296,P$1),$D296,"""")"),"")</f>
        <v/>
      </c>
      <c r="Q296" s="14">
        <f>IFERROR(__xludf.DUMMYFUNCTION("IF($A296="""","""",LEN(REGEXREPLACE($I296,"",\s?"","""")))"),2.0)</f>
        <v>2</v>
      </c>
      <c r="S296" s="14"/>
      <c r="T296" s="14"/>
      <c r="U296" s="14"/>
      <c r="V296" s="14"/>
      <c r="W296" s="14"/>
      <c r="X296" s="14"/>
      <c r="Y296" s="14"/>
      <c r="Z296" s="14"/>
      <c r="AA296" s="14"/>
      <c r="AB296" s="14"/>
    </row>
    <row r="297">
      <c r="A297" s="10" t="s">
        <v>1387</v>
      </c>
      <c r="B297" s="10" t="s">
        <v>13</v>
      </c>
      <c r="C297" s="12">
        <v>1.0</v>
      </c>
      <c r="D297" s="33" t="s">
        <v>1300</v>
      </c>
      <c r="E297" s="10" t="s">
        <v>1388</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90" t="s">
        <v>1389</v>
      </c>
      <c r="H297" s="12">
        <v>4.0</v>
      </c>
      <c r="I297" s="12" t="s">
        <v>1342</v>
      </c>
      <c r="J297" s="19" t="s">
        <v>33</v>
      </c>
      <c r="L297" s="14" t="str">
        <f>IFERROR(__xludf.DUMMYFUNCTION("IF(REGEXMATCH($B297,L$1),$D297,"""")"),"")</f>
        <v/>
      </c>
      <c r="M297" s="14" t="str">
        <f>IFERROR(__xludf.DUMMYFUNCTION("IF(REGEXMATCH($B297,M$1),$D297,"""")"),"")</f>
        <v/>
      </c>
      <c r="N297" s="14" t="str">
        <f>IFERROR(__xludf.DUMMYFUNCTION("IF(REGEXMATCH($B297,N$1),$D297,"""")"),"Dinosaur Undead")</f>
        <v>Dinosaur Undead</v>
      </c>
      <c r="O297" s="14" t="str">
        <f>IFERROR(__xludf.DUMMYFUNCTION("IF(REGEXMATCH($B297,O$1),$D297,"""")"),"")</f>
        <v/>
      </c>
      <c r="P297" s="14" t="str">
        <f>IFERROR(__xludf.DUMMYFUNCTION("IF(REGEXMATCH($B297,P$1),$D297,"""")"),"")</f>
        <v/>
      </c>
      <c r="Q297" s="14">
        <f>IFERROR(__xludf.DUMMYFUNCTION("IF($A297="""","""",LEN(REGEXREPLACE($I297,"",\s?"","""")))"),4.0)</f>
        <v>4</v>
      </c>
      <c r="S297" s="14"/>
      <c r="T297" s="14"/>
      <c r="U297" s="14"/>
      <c r="V297" s="14"/>
      <c r="W297" s="14"/>
      <c r="X297" s="14"/>
      <c r="Y297" s="14"/>
      <c r="Z297" s="14"/>
      <c r="AA297" s="14"/>
      <c r="AB297" s="14"/>
    </row>
    <row r="298" hidden="1">
      <c r="A298" s="25" t="s">
        <v>1390</v>
      </c>
      <c r="B298" s="87" t="s">
        <v>13</v>
      </c>
      <c r="C298" s="12">
        <v>2.0</v>
      </c>
      <c r="D298" s="12" t="s">
        <v>891</v>
      </c>
      <c r="E298" s="10" t="s">
        <v>1391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f>
        <v/>
      </c>
      <c r="G298" s="13" t="s">
        <v>1392</v>
      </c>
      <c r="H298" s="12">
        <v>3.0</v>
      </c>
      <c r="I298" s="12" t="s">
        <v>1330</v>
      </c>
      <c r="J298" s="12" t="s">
        <v>33</v>
      </c>
      <c r="L298" s="14" t="str">
        <f>IFERROR(__xludf.DUMMYFUNCTION("IF(REGEXMATCH($B298,L$1),$D298,"""")"),"")</f>
        <v/>
      </c>
      <c r="M298" s="14" t="str">
        <f>IFERROR(__xludf.DUMMYFUNCTION("IF(REGEXMATCH($B298,M$1),$D298,"""")"),"")</f>
        <v/>
      </c>
      <c r="N298" s="14" t="str">
        <f>IFERROR(__xludf.DUMMYFUNCTION("IF(REGEXMATCH($B298,N$1),$D298,"""")"),"Undead")</f>
        <v>Undead</v>
      </c>
      <c r="O298" s="14" t="str">
        <f>IFERROR(__xludf.DUMMYFUNCTION("IF(REGEXMATCH($B298,O$1),$D298,"""")"),"")</f>
        <v/>
      </c>
      <c r="P298" s="14" t="str">
        <f>IFERROR(__xludf.DUMMYFUNCTION("IF(REGEXMATCH($B298,P$1),$D298,"""")"),"")</f>
        <v/>
      </c>
      <c r="Q298" s="14">
        <f>IFERROR(__xludf.DUMMYFUNCTION("IF($A298="""","""",LEN(REGEXREPLACE($I298,"",\s?"","""")))"),3.0)</f>
        <v>3</v>
      </c>
      <c r="S298" s="14"/>
      <c r="T298" s="14"/>
      <c r="U298" s="14"/>
      <c r="V298" s="14"/>
      <c r="W298" s="14"/>
      <c r="X298" s="14"/>
      <c r="Y298" s="14"/>
      <c r="Z298" s="14"/>
      <c r="AA298" s="14"/>
      <c r="AB298" s="14"/>
    </row>
    <row r="299" hidden="1">
      <c r="A299" s="25" t="s">
        <v>1393</v>
      </c>
      <c r="B299" s="87" t="s">
        <v>13</v>
      </c>
      <c r="C299" s="12">
        <v>2.0</v>
      </c>
      <c r="D299" s="12" t="s">
        <v>44</v>
      </c>
      <c r="E299" s="10" t="s">
        <v>1394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Crystal|.*crystal.*bury""),""Empty-Crystal"","""")&amp;IF(REGEXMATCH($E299,""Move|move""),""Move"","""")"),"Construct Copy ")</f>
        <v>Construct Copy </v>
      </c>
      <c r="G299" s="13" t="s">
        <v>1395</v>
      </c>
      <c r="H299" s="12">
        <v>6.0</v>
      </c>
      <c r="I299" s="12" t="s">
        <v>1396</v>
      </c>
      <c r="J299" s="12" t="s">
        <v>69</v>
      </c>
      <c r="L299" s="14" t="str">
        <f>IFERROR(__xludf.DUMMYFUNCTION("IF(REGEXMATCH($B299,L$1),$D299,"""")"),"")</f>
        <v/>
      </c>
      <c r="M299" s="14" t="str">
        <f>IFERROR(__xludf.DUMMYFUNCTION("IF(REGEXMATCH($B299,M$1),$D299,"""")"),"")</f>
        <v/>
      </c>
      <c r="N299" s="14" t="str">
        <f>IFERROR(__xludf.DUMMYFUNCTION("IF(REGEXMATCH($B299,N$1),$D299,"""")"),"Human")</f>
        <v>Human</v>
      </c>
      <c r="O299" s="14" t="str">
        <f>IFERROR(__xludf.DUMMYFUNCTION("IF(REGEXMATCH($B299,O$1),$D299,"""")"),"")</f>
        <v/>
      </c>
      <c r="P299" s="14" t="str">
        <f>IFERROR(__xludf.DUMMYFUNCTION("IF(REGEXMATCH($B299,P$1),$D299,"""")"),"")</f>
        <v/>
      </c>
      <c r="Q299" s="14">
        <f>IFERROR(__xludf.DUMMYFUNCTION("IF($A299="""","""",LEN(REGEXREPLACE($I299,"",\s?"","""")))"),6.0)</f>
        <v>6</v>
      </c>
      <c r="S299" s="14"/>
      <c r="T299" s="14"/>
      <c r="U299" s="14"/>
      <c r="V299" s="14"/>
      <c r="W299" s="14"/>
      <c r="X299" s="14"/>
      <c r="Y299" s="14"/>
      <c r="Z299" s="14"/>
      <c r="AA299" s="14"/>
      <c r="AB299" s="14"/>
    </row>
    <row r="300" hidden="1">
      <c r="A300" s="10" t="s">
        <v>1397</v>
      </c>
      <c r="B300" s="87" t="s">
        <v>13</v>
      </c>
      <c r="C300" s="12">
        <v>2.0</v>
      </c>
      <c r="D300" s="12" t="s">
        <v>1353</v>
      </c>
      <c r="E300" s="20" t="s">
        <v>1398</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f>
        <v/>
      </c>
      <c r="G300" s="13" t="s">
        <v>1399</v>
      </c>
      <c r="H300" s="12">
        <v>2.0</v>
      </c>
      <c r="I300" s="12" t="s">
        <v>1333</v>
      </c>
      <c r="J300" s="12" t="s">
        <v>69</v>
      </c>
      <c r="L300" s="14" t="str">
        <f>IFERROR(__xludf.DUMMYFUNCTION("IF(REGEXMATCH($B300,L$1),$D300,"""")"),"")</f>
        <v/>
      </c>
      <c r="M300" s="14" t="str">
        <f>IFERROR(__xludf.DUMMYFUNCTION("IF(REGEXMATCH($B300,M$1),$D300,"""")"),"")</f>
        <v/>
      </c>
      <c r="N300" s="14" t="str">
        <f>IFERROR(__xludf.DUMMYFUNCTION("IF(REGEXMATCH($B300,N$1),$D300,"""")"),"Demon")</f>
        <v>Demon</v>
      </c>
      <c r="O300" s="14" t="str">
        <f>IFERROR(__xludf.DUMMYFUNCTION("IF(REGEXMATCH($B300,O$1),$D300,"""")"),"")</f>
        <v/>
      </c>
      <c r="P300" s="14" t="str">
        <f>IFERROR(__xludf.DUMMYFUNCTION("IF(REGEXMATCH($B300,P$1),$D300,"""")"),"")</f>
        <v/>
      </c>
      <c r="Q300" s="14">
        <f>IFERROR(__xludf.DUMMYFUNCTION("IF($A300="""","""",LEN(REGEXREPLACE($I300,"",\s?"","""")))"),2.0)</f>
        <v>2</v>
      </c>
      <c r="S300" s="14"/>
      <c r="T300" s="14"/>
      <c r="U300" s="14"/>
      <c r="V300" s="14"/>
      <c r="W300" s="14"/>
      <c r="X300" s="14"/>
      <c r="Y300" s="14"/>
      <c r="Z300" s="14"/>
      <c r="AA300" s="14"/>
      <c r="AB300" s="14"/>
    </row>
    <row r="301" hidden="1">
      <c r="A301" s="20" t="s">
        <v>1400</v>
      </c>
      <c r="B301" s="87" t="s">
        <v>13</v>
      </c>
      <c r="C301" s="12">
        <v>2.0</v>
      </c>
      <c r="D301" s="19" t="s">
        <v>778</v>
      </c>
      <c r="E301" s="20" t="s">
        <v>1401</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Crystal|.*crystal.*bury""),""Empty-Crystal"","""")&amp;IF(REGEXMATCH($E301,""Move|move""),""Move"","""")"),"Demon Ramp Demon Control ")</f>
        <v>Demon Ramp Demon Control </v>
      </c>
      <c r="G301" s="56" t="s">
        <v>725</v>
      </c>
      <c r="H301" s="19">
        <v>5.0</v>
      </c>
      <c r="I301" s="19" t="s">
        <v>1325</v>
      </c>
      <c r="J301" s="19" t="s">
        <v>33</v>
      </c>
      <c r="L301" s="14" t="str">
        <f>IFERROR(__xludf.DUMMYFUNCTION("IF(REGEXMATCH($B301,L$1),$D301,"""")"),"")</f>
        <v/>
      </c>
      <c r="M301" s="14" t="str">
        <f>IFERROR(__xludf.DUMMYFUNCTION("IF(REGEXMATCH($B301,M$1),$D301,"""")"),"")</f>
        <v/>
      </c>
      <c r="N301" s="14" t="str">
        <f>IFERROR(__xludf.DUMMYFUNCTION("IF(REGEXMATCH($B301,N$1),$D301,"""")"),"Demon Dinosaur")</f>
        <v>Demon Dinosaur</v>
      </c>
      <c r="O301" s="14" t="str">
        <f>IFERROR(__xludf.DUMMYFUNCTION("IF(REGEXMATCH($B301,O$1),$D301,"""")"),"")</f>
        <v/>
      </c>
      <c r="P301" s="14" t="str">
        <f>IFERROR(__xludf.DUMMYFUNCTION("IF(REGEXMATCH($B301,P$1),$D301,"""")"),"")</f>
        <v/>
      </c>
      <c r="Q301" s="14">
        <f>IFERROR(__xludf.DUMMYFUNCTION("IF($A301="""","""",LEN(REGEXREPLACE($I301,"",\s?"","""")))"),4.0)</f>
        <v>4</v>
      </c>
      <c r="S301" s="14"/>
      <c r="T301" s="14"/>
      <c r="U301" s="14"/>
      <c r="V301" s="14"/>
      <c r="W301" s="14"/>
      <c r="X301" s="14"/>
      <c r="Y301" s="14"/>
      <c r="Z301" s="14"/>
      <c r="AA301" s="14"/>
      <c r="AB301" s="14"/>
    </row>
    <row r="302">
      <c r="A302" s="14" t="s">
        <v>1402</v>
      </c>
      <c r="B302" s="10" t="s">
        <v>13</v>
      </c>
      <c r="C302" s="12">
        <v>1.0</v>
      </c>
      <c r="D302" s="12" t="s">
        <v>168</v>
      </c>
      <c r="E302" s="10" t="s">
        <v>1403</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3" t="s">
        <v>1404</v>
      </c>
      <c r="H302" s="12">
        <v>0.0</v>
      </c>
      <c r="I302" s="12" t="s">
        <v>1330</v>
      </c>
      <c r="J302" s="12" t="s">
        <v>33</v>
      </c>
      <c r="L302" s="14" t="str">
        <f>IFERROR(__xludf.DUMMYFUNCTION("IF(REGEXMATCH($B302,L$1),$D302,"""")"),"")</f>
        <v/>
      </c>
      <c r="M302" s="14" t="str">
        <f>IFERROR(__xludf.DUMMYFUNCTION("IF(REGEXMATCH($B302,M$1),$D302,"""")"),"")</f>
        <v/>
      </c>
      <c r="N302" s="14" t="str">
        <f>IFERROR(__xludf.DUMMYFUNCTION("IF(REGEXMATCH($B302,N$1),$D302,"""")"),"Construct Demon")</f>
        <v>Construct Demon</v>
      </c>
      <c r="O302" s="14" t="str">
        <f>IFERROR(__xludf.DUMMYFUNCTION("IF(REGEXMATCH($B302,O$1),$D302,"""")"),"")</f>
        <v/>
      </c>
      <c r="P302" s="14" t="str">
        <f>IFERROR(__xludf.DUMMYFUNCTION("IF(REGEXMATCH($B302,P$1),$D302,"""")"),"")</f>
        <v/>
      </c>
      <c r="Q302" s="14">
        <f>IFERROR(__xludf.DUMMYFUNCTION("IF($A302="""","""",LEN(REGEXREPLACE($I302,"",\s?"","""")))"),3.0)</f>
        <v>3</v>
      </c>
      <c r="S302" s="14"/>
      <c r="T302" s="14"/>
      <c r="U302" s="14"/>
      <c r="V302" s="14"/>
      <c r="W302" s="14"/>
      <c r="X302" s="14"/>
      <c r="Y302" s="14"/>
      <c r="Z302" s="14"/>
      <c r="AA302" s="14"/>
      <c r="AB302" s="14"/>
    </row>
    <row r="303">
      <c r="A303" s="10" t="s">
        <v>1405</v>
      </c>
      <c r="B303" s="10" t="s">
        <v>13</v>
      </c>
      <c r="C303" s="12">
        <v>1.0</v>
      </c>
      <c r="D303" s="12" t="s">
        <v>1348</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13" t="s">
        <v>1406</v>
      </c>
      <c r="H303" s="12">
        <v>6.0</v>
      </c>
      <c r="I303" s="47" t="s">
        <v>1346</v>
      </c>
      <c r="J303" s="12" t="s">
        <v>33</v>
      </c>
      <c r="L303" s="14" t="str">
        <f>IFERROR(__xludf.DUMMYFUNCTION("IF(REGEXMATCH($B303,L$1),$D303,"""")"),"")</f>
        <v/>
      </c>
      <c r="M303" s="14" t="str">
        <f>IFERROR(__xludf.DUMMYFUNCTION("IF(REGEXMATCH($B303,M$1),$D303,"""")"),"")</f>
        <v/>
      </c>
      <c r="N303" s="14" t="str">
        <f>IFERROR(__xludf.DUMMYFUNCTION("IF(REGEXMATCH($B303,N$1),$D303,"""")"),"Demon Warrior")</f>
        <v>Demon Warrior</v>
      </c>
      <c r="O303" s="14" t="str">
        <f>IFERROR(__xludf.DUMMYFUNCTION("IF(REGEXMATCH($B303,O$1),$D303,"""")"),"")</f>
        <v/>
      </c>
      <c r="P303" s="14" t="str">
        <f>IFERROR(__xludf.DUMMYFUNCTION("IF(REGEXMATCH($B303,P$1),$D303,"""")"),"")</f>
        <v/>
      </c>
      <c r="Q303" s="14">
        <f>IFERROR(__xludf.DUMMYFUNCTION("IF($A303="""","""",LEN(REGEXREPLACE($I303,"",\s?"","""")))"),5.0)</f>
        <v>5</v>
      </c>
      <c r="S303" s="14"/>
      <c r="T303" s="14"/>
      <c r="U303" s="14"/>
      <c r="V303" s="14"/>
      <c r="W303" s="14"/>
      <c r="X303" s="14"/>
      <c r="Y303" s="14"/>
      <c r="Z303" s="14"/>
      <c r="AA303" s="14"/>
      <c r="AB303" s="14"/>
    </row>
    <row r="304" hidden="1">
      <c r="A304" s="10" t="s">
        <v>1407</v>
      </c>
      <c r="B304" s="87" t="s">
        <v>13</v>
      </c>
      <c r="C304" s="12">
        <v>2.0</v>
      </c>
      <c r="D304" s="12" t="s">
        <v>1408</v>
      </c>
      <c r="E304" s="22" t="s">
        <v>1409</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Crystal|.*crystal.*bury""),""Empty-Crystal"","""")&amp;IF(REGEXMATCH($E304,""Move|move""),""Move"","""")"),"Control ")</f>
        <v>Control </v>
      </c>
      <c r="G304" s="21" t="s">
        <v>1410</v>
      </c>
      <c r="H304" s="12">
        <v>3.0</v>
      </c>
      <c r="I304" s="12" t="s">
        <v>1333</v>
      </c>
      <c r="J304" s="12" t="s">
        <v>69</v>
      </c>
      <c r="L304" s="14" t="str">
        <f>IFERROR(__xludf.DUMMYFUNCTION("IF(REGEXMATCH($B304,L$1),$D304,"""")"),"")</f>
        <v/>
      </c>
      <c r="M304" s="14" t="str">
        <f>IFERROR(__xludf.DUMMYFUNCTION("IF(REGEXMATCH($B304,M$1),$D304,"""")"),"")</f>
        <v/>
      </c>
      <c r="N304" s="14" t="str">
        <f>IFERROR(__xludf.DUMMYFUNCTION("IF(REGEXMATCH($B304,N$1),$D304,"""")"),"Crystalblight Undead")</f>
        <v>Crystalblight Undead</v>
      </c>
      <c r="O304" s="14" t="str">
        <f>IFERROR(__xludf.DUMMYFUNCTION("IF(REGEXMATCH($B304,O$1),$D304,"""")"),"")</f>
        <v/>
      </c>
      <c r="P304" s="14" t="str">
        <f>IFERROR(__xludf.DUMMYFUNCTION("IF(REGEXMATCH($B304,P$1),$D304,"""")"),"")</f>
        <v/>
      </c>
      <c r="Q304" s="14">
        <f>IFERROR(__xludf.DUMMYFUNCTION("IF($A304="""","""",LEN(REGEXREPLACE($I304,"",\s?"","""")))"),2.0)</f>
        <v>2</v>
      </c>
      <c r="S304" s="14"/>
      <c r="T304" s="14"/>
      <c r="U304" s="14"/>
      <c r="V304" s="14"/>
      <c r="W304" s="14"/>
      <c r="X304" s="14"/>
      <c r="Y304" s="14"/>
      <c r="Z304" s="14"/>
      <c r="AA304" s="14"/>
      <c r="AB304" s="14"/>
    </row>
    <row r="305">
      <c r="A305" s="10" t="s">
        <v>1411</v>
      </c>
      <c r="B305" s="10" t="s">
        <v>13</v>
      </c>
      <c r="C305" s="12">
        <v>1.0</v>
      </c>
      <c r="D305" s="12" t="s">
        <v>1100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f>
        <v/>
      </c>
      <c r="G305" s="13" t="s">
        <v>1412</v>
      </c>
      <c r="H305" s="12">
        <v>2.0</v>
      </c>
      <c r="I305" s="12" t="s">
        <v>1337</v>
      </c>
      <c r="J305" s="12" t="s">
        <v>33</v>
      </c>
      <c r="L305" s="14" t="str">
        <f>IFERROR(__xludf.DUMMYFUNCTION("IF(REGEXMATCH($B305,L$1),$D305,"""")"),"")</f>
        <v/>
      </c>
      <c r="M305" s="14" t="str">
        <f>IFERROR(__xludf.DUMMYFUNCTION("IF(REGEXMATCH($B305,M$1),$D305,"""")"),"")</f>
        <v/>
      </c>
      <c r="N305" s="14" t="str">
        <f>IFERROR(__xludf.DUMMYFUNCTION("IF(REGEXMATCH($B305,N$1),$D305,"""")"),"Demon Wizard")</f>
        <v>Demon Wizard</v>
      </c>
      <c r="O305" s="14" t="str">
        <f>IFERROR(__xludf.DUMMYFUNCTION("IF(REGEXMATCH($B305,O$1),$D305,"""")"),"")</f>
        <v/>
      </c>
      <c r="P305" s="14" t="str">
        <f>IFERROR(__xludf.DUMMYFUNCTION("IF(REGEXMATCH($B305,P$1),$D305,"""")"),"")</f>
        <v/>
      </c>
      <c r="Q305" s="14">
        <f>IFERROR(__xludf.DUMMYFUNCTION("IF($A305="""","""",LEN(REGEXREPLACE($I305,"",\s?"","""")))"),1.0)</f>
        <v>1</v>
      </c>
      <c r="S305" s="14"/>
      <c r="T305" s="14"/>
      <c r="U305" s="14"/>
      <c r="V305" s="14"/>
      <c r="W305" s="14"/>
      <c r="X305" s="14"/>
      <c r="Y305" s="14"/>
      <c r="Z305" s="14"/>
      <c r="AA305" s="14"/>
      <c r="AB305" s="14"/>
    </row>
    <row r="306">
      <c r="A306" s="43" t="s">
        <v>1413</v>
      </c>
      <c r="B306" s="55" t="s">
        <v>13</v>
      </c>
      <c r="C306" s="54">
        <v>1.0</v>
      </c>
      <c r="D306" s="54" t="s">
        <v>1112</v>
      </c>
      <c r="E306" s="55" t="s">
        <v>1414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f>
        <v/>
      </c>
      <c r="G306" s="56" t="s">
        <v>1415</v>
      </c>
      <c r="H306" s="54">
        <v>4.0</v>
      </c>
      <c r="I306" s="54" t="s">
        <v>1346</v>
      </c>
      <c r="J306" s="54" t="s">
        <v>69</v>
      </c>
      <c r="L306" s="14" t="str">
        <f>IFERROR(__xludf.DUMMYFUNCTION("IF(REGEXMATCH($B306,L$1),$D306,"""")"),"")</f>
        <v/>
      </c>
      <c r="M306" s="14" t="str">
        <f>IFERROR(__xludf.DUMMYFUNCTION("IF(REGEXMATCH($B306,M$1),$D306,"""")"),"")</f>
        <v/>
      </c>
      <c r="N306" s="14" t="str">
        <f>IFERROR(__xludf.DUMMYFUNCTION("IF(REGEXMATCH($B306,N$1),$D306,"""")"),"Demon Human")</f>
        <v>Demon Human</v>
      </c>
      <c r="O306" s="14" t="str">
        <f>IFERROR(__xludf.DUMMYFUNCTION("IF(REGEXMATCH($B306,O$1),$D306,"""")"),"")</f>
        <v/>
      </c>
      <c r="P306" s="14" t="str">
        <f>IFERROR(__xludf.DUMMYFUNCTION("IF(REGEXMATCH($B306,P$1),$D306,"""")"),"")</f>
        <v/>
      </c>
      <c r="Q306" s="14">
        <f>IFERROR(__xludf.DUMMYFUNCTION("IF($A306="""","""",LEN(REGEXREPLACE($I306,"",\s?"","""")))"),5.0)</f>
        <v>5</v>
      </c>
      <c r="S306" s="14"/>
      <c r="T306" s="14"/>
      <c r="U306" s="14"/>
      <c r="V306" s="14"/>
      <c r="W306" s="14"/>
      <c r="X306" s="14"/>
      <c r="Y306" s="14"/>
      <c r="Z306" s="14"/>
      <c r="AA306" s="14"/>
      <c r="AB306" s="14"/>
    </row>
    <row r="307" hidden="1">
      <c r="A307" s="10" t="s">
        <v>1416</v>
      </c>
      <c r="B307" s="87" t="s">
        <v>13</v>
      </c>
      <c r="C307" s="12">
        <v>2.0</v>
      </c>
      <c r="D307" s="12" t="s">
        <v>193</v>
      </c>
      <c r="E307" s="10" t="s">
        <v>1417</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Crystal|.*crystal.*bury""),""Empty-Crystal"","""")&amp;IF(REGEXMATCH($E307,""Move|move""),""Move"","""")"),"Control ")</f>
        <v>Control </v>
      </c>
      <c r="G307" s="13" t="s">
        <v>1361</v>
      </c>
      <c r="H307" s="12">
        <v>1.0</v>
      </c>
      <c r="I307" s="12" t="s">
        <v>1330</v>
      </c>
      <c r="J307" s="12" t="s">
        <v>33</v>
      </c>
      <c r="L307" s="14" t="str">
        <f>IFERROR(__xludf.DUMMYFUNCTION("IF(REGEXMATCH($B307,L$1),$D307,"""")"),"")</f>
        <v/>
      </c>
      <c r="M307" s="14" t="str">
        <f>IFERROR(__xludf.DUMMYFUNCTION("IF(REGEXMATCH($B307,M$1),$D307,"""")"),"")</f>
        <v/>
      </c>
      <c r="N307" s="14" t="str">
        <f>IFERROR(__xludf.DUMMYFUNCTION("IF(REGEXMATCH($B307,N$1),$D307,"""")"),"Undead Warrior")</f>
        <v>Undead Warrior</v>
      </c>
      <c r="O307" s="14" t="str">
        <f>IFERROR(__xludf.DUMMYFUNCTION("IF(REGEXMATCH($B307,O$1),$D307,"""")"),"")</f>
        <v/>
      </c>
      <c r="P307" s="14" t="str">
        <f>IFERROR(__xludf.DUMMYFUNCTION("IF(REGEXMATCH($B307,P$1),$D307,"""")"),"")</f>
        <v/>
      </c>
      <c r="Q307" s="14">
        <f>IFERROR(__xludf.DUMMYFUNCTION("IF($A307="""","""",LEN(REGEXREPLACE($I307,"",\s?"","""")))"),3.0)</f>
        <v>3</v>
      </c>
      <c r="S307" s="14"/>
      <c r="T307" s="14"/>
      <c r="U307" s="14"/>
      <c r="V307" s="14"/>
      <c r="W307" s="14"/>
      <c r="X307" s="14"/>
      <c r="Y307" s="14"/>
      <c r="Z307" s="14"/>
      <c r="AA307" s="14"/>
      <c r="AB307" s="14"/>
    </row>
    <row r="308" hidden="1">
      <c r="A308" s="10" t="s">
        <v>1418</v>
      </c>
      <c r="B308" s="87" t="s">
        <v>13</v>
      </c>
      <c r="C308" s="12">
        <v>2.0</v>
      </c>
      <c r="D308" s="12" t="s">
        <v>1305</v>
      </c>
      <c r="E308" s="10" t="s">
        <v>1419</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f>
        <v/>
      </c>
      <c r="G308" s="13" t="s">
        <v>1420</v>
      </c>
      <c r="H308" s="12">
        <v>1.0</v>
      </c>
      <c r="I308" s="47" t="s">
        <v>1325</v>
      </c>
      <c r="J308" s="12" t="s">
        <v>69</v>
      </c>
      <c r="L308" s="14" t="str">
        <f>IFERROR(__xludf.DUMMYFUNCTION("IF(REGEXMATCH($B308,L$1),$D308,"""")"),"")</f>
        <v/>
      </c>
      <c r="M308" s="14" t="str">
        <f>IFERROR(__xludf.DUMMYFUNCTION("IF(REGEXMATCH($B308,M$1),$D308,"""")"),"")</f>
        <v/>
      </c>
      <c r="N308" s="14" t="str">
        <f>IFERROR(__xludf.DUMMYFUNCTION("IF(REGEXMATCH($B308,N$1),$D308,"""")"),"Demon Insect")</f>
        <v>Demon Insect</v>
      </c>
      <c r="O308" s="14" t="str">
        <f>IFERROR(__xludf.DUMMYFUNCTION("IF(REGEXMATCH($B308,O$1),$D308,"""")"),"")</f>
        <v/>
      </c>
      <c r="P308" s="14" t="str">
        <f>IFERROR(__xludf.DUMMYFUNCTION("IF(REGEXMATCH($B308,P$1),$D308,"""")"),"")</f>
        <v/>
      </c>
      <c r="Q308" s="14">
        <f>IFERROR(__xludf.DUMMYFUNCTION("IF($A308="""","""",LEN(REGEXREPLACE($I308,"",\s?"","""")))"),4.0)</f>
        <v>4</v>
      </c>
      <c r="S308" s="14"/>
      <c r="T308" s="14"/>
      <c r="U308" s="14"/>
      <c r="V308" s="14"/>
      <c r="W308" s="14"/>
      <c r="X308" s="14"/>
      <c r="Y308" s="14"/>
      <c r="Z308" s="14"/>
      <c r="AA308" s="14"/>
      <c r="AB308" s="14"/>
    </row>
    <row r="309">
      <c r="A309" s="10" t="s">
        <v>1421</v>
      </c>
      <c r="B309" s="10" t="s">
        <v>13</v>
      </c>
      <c r="C309" s="12">
        <v>1.0</v>
      </c>
      <c r="D309" s="12" t="s">
        <v>1305</v>
      </c>
      <c r="E309" s="10" t="s">
        <v>1422</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Crystal|.*crystal.*bury""),""Empty-Crystal"","""")&amp;IF(REGEXMATCH($E309,""Move|move""),""Move"","""")"),"Void ")</f>
        <v>Void </v>
      </c>
      <c r="G309" s="13" t="s">
        <v>1423</v>
      </c>
      <c r="H309" s="12">
        <v>1.0</v>
      </c>
      <c r="I309" s="12" t="s">
        <v>1333</v>
      </c>
      <c r="J309" s="12" t="s">
        <v>33</v>
      </c>
      <c r="L309" s="14" t="str">
        <f>IFERROR(__xludf.DUMMYFUNCTION("IF(REGEXMATCH($B309,L$1),$D309,"""")"),"")</f>
        <v/>
      </c>
      <c r="M309" s="14" t="str">
        <f>IFERROR(__xludf.DUMMYFUNCTION("IF(REGEXMATCH($B309,M$1),$D309,"""")"),"")</f>
        <v/>
      </c>
      <c r="N309" s="14" t="str">
        <f>IFERROR(__xludf.DUMMYFUNCTION("IF(REGEXMATCH($B309,N$1),$D309,"""")"),"Demon Insect")</f>
        <v>Demon Insect</v>
      </c>
      <c r="O309" s="14" t="str">
        <f>IFERROR(__xludf.DUMMYFUNCTION("IF(REGEXMATCH($B309,O$1),$D309,"""")"),"")</f>
        <v/>
      </c>
      <c r="P309" s="14" t="str">
        <f>IFERROR(__xludf.DUMMYFUNCTION("IF(REGEXMATCH($B309,P$1),$D309,"""")"),"")</f>
        <v/>
      </c>
      <c r="Q309" s="14">
        <f>IFERROR(__xludf.DUMMYFUNCTION("IF($A309="""","""",LEN(REGEXREPLACE($I309,"",\s?"","""")))"),2.0)</f>
        <v>2</v>
      </c>
      <c r="S309" s="14"/>
      <c r="T309" s="14"/>
      <c r="U309" s="14"/>
      <c r="V309" s="14"/>
      <c r="W309" s="14"/>
      <c r="X309" s="14"/>
      <c r="Y309" s="14"/>
      <c r="Z309" s="14"/>
      <c r="AA309" s="14"/>
      <c r="AB309" s="14"/>
    </row>
    <row r="310">
      <c r="A310" s="27" t="s">
        <v>1424</v>
      </c>
      <c r="B310" s="10" t="s">
        <v>13</v>
      </c>
      <c r="C310" s="12">
        <v>1.0</v>
      </c>
      <c r="D310" s="12" t="s">
        <v>895</v>
      </c>
      <c r="E310" s="10" t="s">
        <v>720</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f>
        <v/>
      </c>
      <c r="G310" s="21" t="s">
        <v>1425</v>
      </c>
      <c r="H310" s="24">
        <v>3.0</v>
      </c>
      <c r="I310" s="12" t="s">
        <v>1330</v>
      </c>
      <c r="J310" s="24" t="s">
        <v>33</v>
      </c>
      <c r="L310" s="14" t="str">
        <f>IFERROR(__xludf.DUMMYFUNCTION("IF(REGEXMATCH($B310,L$1),$D310,"""")"),"")</f>
        <v/>
      </c>
      <c r="M310" s="14" t="str">
        <f>IFERROR(__xludf.DUMMYFUNCTION("IF(REGEXMATCH($B310,M$1),$D310,"""")"),"")</f>
        <v/>
      </c>
      <c r="N310" s="14" t="str">
        <f>IFERROR(__xludf.DUMMYFUNCTION("IF(REGEXMATCH($B310,N$1),$D310,"""")"),"Animal Demon")</f>
        <v>Animal Demon</v>
      </c>
      <c r="O310" s="14" t="str">
        <f>IFERROR(__xludf.DUMMYFUNCTION("IF(REGEXMATCH($B310,O$1),$D310,"""")"),"")</f>
        <v/>
      </c>
      <c r="P310" s="14" t="str">
        <f>IFERROR(__xludf.DUMMYFUNCTION("IF(REGEXMATCH($B310,P$1),$D310,"""")"),"")</f>
        <v/>
      </c>
      <c r="Q310" s="14">
        <f>IFERROR(__xludf.DUMMYFUNCTION("IF($A310="""","""",LEN(REGEXREPLACE($I310,"",\s?"","""")))"),3.0)</f>
        <v>3</v>
      </c>
      <c r="S310" s="14"/>
      <c r="T310" s="14"/>
      <c r="U310" s="14"/>
      <c r="V310" s="14"/>
      <c r="W310" s="14"/>
      <c r="X310" s="14"/>
      <c r="Y310" s="14"/>
      <c r="Z310" s="14"/>
      <c r="AA310" s="14"/>
      <c r="AB310" s="14"/>
    </row>
    <row r="311">
      <c r="A311" s="27" t="s">
        <v>1426</v>
      </c>
      <c r="B311" s="10" t="s">
        <v>13</v>
      </c>
      <c r="C311" s="12">
        <v>1.0</v>
      </c>
      <c r="D311" s="12" t="s">
        <v>692</v>
      </c>
      <c r="E311" s="10" t="s">
        <v>1427</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Crystal|.*crystal.*bury""),""Empty-Crystal"","""")&amp;IF(REGEXMATCH($E311,""Move|move""),""Move"","""")"),"Control Empty-Crystal")</f>
        <v>Control Empty-Crystal</v>
      </c>
      <c r="G311" s="21" t="s">
        <v>1428</v>
      </c>
      <c r="H311" s="12">
        <v>10.0</v>
      </c>
      <c r="I311" s="12" t="s">
        <v>1325</v>
      </c>
      <c r="J311" s="24" t="s">
        <v>39</v>
      </c>
      <c r="L311" s="14" t="str">
        <f>IFERROR(__xludf.DUMMYFUNCTION("IF(REGEXMATCH($B311,L$1),$D311,"""")"),"")</f>
        <v/>
      </c>
      <c r="M311" s="14" t="str">
        <f>IFERROR(__xludf.DUMMYFUNCTION("IF(REGEXMATCH($B311,M$1),$D311,"""")"),"")</f>
        <v/>
      </c>
      <c r="N311" s="14" t="str">
        <f>IFERROR(__xludf.DUMMYFUNCTION("IF(REGEXMATCH($B311,N$1),$D311,"""")"),"Demon Spirit")</f>
        <v>Demon Spirit</v>
      </c>
      <c r="O311" s="14" t="str">
        <f>IFERROR(__xludf.DUMMYFUNCTION("IF(REGEXMATCH($B311,O$1),$D311,"""")"),"")</f>
        <v/>
      </c>
      <c r="P311" s="14" t="str">
        <f>IFERROR(__xludf.DUMMYFUNCTION("IF(REGEXMATCH($B311,P$1),$D311,"""")"),"")</f>
        <v/>
      </c>
      <c r="Q311" s="14">
        <f>IFERROR(__xludf.DUMMYFUNCTION("IF($A311="""","""",LEN(REGEXREPLACE($I311,"",\s?"","""")))"),4.0)</f>
        <v>4</v>
      </c>
      <c r="S311" s="14"/>
      <c r="T311" s="14"/>
      <c r="U311" s="14"/>
      <c r="V311" s="14"/>
      <c r="W311" s="14"/>
      <c r="X311" s="14"/>
      <c r="Y311" s="14"/>
      <c r="Z311" s="14"/>
      <c r="AA311" s="14"/>
      <c r="AB311" s="14"/>
    </row>
    <row r="312">
      <c r="A312" s="27" t="s">
        <v>1429</v>
      </c>
      <c r="B312" s="10" t="s">
        <v>13</v>
      </c>
      <c r="C312" s="12">
        <v>1.0</v>
      </c>
      <c r="D312" s="12" t="s">
        <v>246</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f>
        <v/>
      </c>
      <c r="G312" s="13" t="s">
        <v>1430</v>
      </c>
      <c r="H312" s="24">
        <v>3.0</v>
      </c>
      <c r="I312" s="12" t="s">
        <v>1337</v>
      </c>
      <c r="J312" s="24" t="s">
        <v>69</v>
      </c>
      <c r="L312" s="14" t="str">
        <f>IFERROR(__xludf.DUMMYFUNCTION("IF(REGEXMATCH($B312,L$1),$D312,"""")"),"")</f>
        <v/>
      </c>
      <c r="M312" s="14" t="str">
        <f>IFERROR(__xludf.DUMMYFUNCTION("IF(REGEXMATCH($B312,M$1),$D312,"""")"),"")</f>
        <v/>
      </c>
      <c r="N312" s="14" t="str">
        <f>IFERROR(__xludf.DUMMYFUNCTION("IF(REGEXMATCH($B312,N$1),$D312,"""")"),"Construct Insect")</f>
        <v>Construct Insect</v>
      </c>
      <c r="O312" s="14" t="str">
        <f>IFERROR(__xludf.DUMMYFUNCTION("IF(REGEXMATCH($B312,O$1),$D312,"""")"),"")</f>
        <v/>
      </c>
      <c r="P312" s="14" t="str">
        <f>IFERROR(__xludf.DUMMYFUNCTION("IF(REGEXMATCH($B312,P$1),$D312,"""")"),"")</f>
        <v/>
      </c>
      <c r="Q312" s="14">
        <f>IFERROR(__xludf.DUMMYFUNCTION("IF($A312="""","""",LEN(REGEXREPLACE($I312,"",\s?"","""")))"),1.0)</f>
        <v>1</v>
      </c>
      <c r="S312" s="14"/>
      <c r="T312" s="14"/>
      <c r="U312" s="14"/>
      <c r="V312" s="14"/>
      <c r="W312" s="14"/>
      <c r="X312" s="14"/>
      <c r="Y312" s="14"/>
      <c r="Z312" s="14"/>
      <c r="AA312" s="14"/>
      <c r="AB312" s="14"/>
    </row>
    <row r="313" hidden="1">
      <c r="A313" s="10" t="s">
        <v>1431</v>
      </c>
      <c r="B313" s="87" t="s">
        <v>13</v>
      </c>
      <c r="C313" s="12">
        <v>2.0</v>
      </c>
      <c r="D313" s="12" t="s">
        <v>1353</v>
      </c>
      <c r="E313" s="10" t="s">
        <v>1432</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Crystal|.*crystal.*bury""),""Empty-Crystal"","""")&amp;IF(REGEXMATCH($E313,""Move|move""),""Move"","""")"),"Ramp ")</f>
        <v>Ramp </v>
      </c>
      <c r="G313" s="13" t="s">
        <v>1433</v>
      </c>
      <c r="H313" s="12">
        <v>3.0</v>
      </c>
      <c r="I313" s="12" t="s">
        <v>1330</v>
      </c>
      <c r="J313" s="12" t="s">
        <v>69</v>
      </c>
      <c r="L313" s="14" t="str">
        <f>IFERROR(__xludf.DUMMYFUNCTION("IF(REGEXMATCH($B313,L$1),$D313,"""")"),"")</f>
        <v/>
      </c>
      <c r="M313" s="14" t="str">
        <f>IFERROR(__xludf.DUMMYFUNCTION("IF(REGEXMATCH($B313,M$1),$D313,"""")"),"")</f>
        <v/>
      </c>
      <c r="N313" s="14" t="str">
        <f>IFERROR(__xludf.DUMMYFUNCTION("IF(REGEXMATCH($B313,N$1),$D313,"""")"),"Demon")</f>
        <v>Demon</v>
      </c>
      <c r="O313" s="14" t="str">
        <f>IFERROR(__xludf.DUMMYFUNCTION("IF(REGEXMATCH($B313,O$1),$D313,"""")"),"")</f>
        <v/>
      </c>
      <c r="P313" s="14" t="str">
        <f>IFERROR(__xludf.DUMMYFUNCTION("IF(REGEXMATCH($B313,P$1),$D313,"""")"),"")</f>
        <v/>
      </c>
      <c r="Q313" s="14">
        <f>IFERROR(__xludf.DUMMYFUNCTION("IF($A313="""","""",LEN(REGEXREPLACE($I313,"",\s?"","""")))"),3.0)</f>
        <v>3</v>
      </c>
      <c r="S313" s="14"/>
      <c r="T313" s="14"/>
      <c r="U313" s="14"/>
      <c r="V313" s="14"/>
      <c r="W313" s="14"/>
      <c r="X313" s="14"/>
      <c r="Y313" s="14"/>
      <c r="Z313" s="14"/>
      <c r="AA313" s="14"/>
      <c r="AB313" s="14"/>
    </row>
    <row r="314">
      <c r="A314" s="27" t="s">
        <v>1434</v>
      </c>
      <c r="B314" s="10" t="s">
        <v>13</v>
      </c>
      <c r="C314" s="12">
        <v>1.0</v>
      </c>
      <c r="D314" s="12" t="s">
        <v>895</v>
      </c>
      <c r="E314" s="10" t="s">
        <v>1435</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Crystal|.*crystal.*bury""),""Empty-Crystal"","""")&amp;IF(REGEXMATCH($E314,""Move|move""),""Move"","""")"),"Unearth ")</f>
        <v>Unearth </v>
      </c>
      <c r="G314" s="21" t="s">
        <v>1436</v>
      </c>
      <c r="H314" s="24">
        <v>4.0</v>
      </c>
      <c r="I314" s="12" t="s">
        <v>1325</v>
      </c>
      <c r="J314" s="24" t="s">
        <v>33</v>
      </c>
      <c r="L314" s="14" t="str">
        <f>IFERROR(__xludf.DUMMYFUNCTION("IF(REGEXMATCH($B314,L$1),$D314,"""")"),"")</f>
        <v/>
      </c>
      <c r="M314" s="14" t="str">
        <f>IFERROR(__xludf.DUMMYFUNCTION("IF(REGEXMATCH($B314,M$1),$D314,"""")"),"")</f>
        <v/>
      </c>
      <c r="N314" s="14" t="str">
        <f>IFERROR(__xludf.DUMMYFUNCTION("IF(REGEXMATCH($B314,N$1),$D314,"""")"),"Animal Demon")</f>
        <v>Animal Demon</v>
      </c>
      <c r="O314" s="14" t="str">
        <f>IFERROR(__xludf.DUMMYFUNCTION("IF(REGEXMATCH($B314,O$1),$D314,"""")"),"")</f>
        <v/>
      </c>
      <c r="P314" s="14" t="str">
        <f>IFERROR(__xludf.DUMMYFUNCTION("IF(REGEXMATCH($B314,P$1),$D314,"""")"),"")</f>
        <v/>
      </c>
      <c r="Q314" s="14">
        <f>IFERROR(__xludf.DUMMYFUNCTION("IF($A314="""","""",LEN(REGEXREPLACE($I314,"",\s?"","""")))"),4.0)</f>
        <v>4</v>
      </c>
      <c r="S314" s="14"/>
      <c r="T314" s="14"/>
      <c r="U314" s="14"/>
      <c r="V314" s="14"/>
      <c r="W314" s="14"/>
      <c r="X314" s="14"/>
      <c r="Y314" s="14"/>
      <c r="Z314" s="14"/>
      <c r="AA314" s="14"/>
      <c r="AB314" s="14"/>
    </row>
    <row r="315" hidden="1">
      <c r="A315" s="28" t="s">
        <v>1437</v>
      </c>
      <c r="B315" s="88" t="s">
        <v>13</v>
      </c>
      <c r="C315" s="19">
        <v>2.0</v>
      </c>
      <c r="D315" s="19" t="s">
        <v>1189</v>
      </c>
      <c r="E315" s="20" t="s">
        <v>256</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f>
        <v/>
      </c>
      <c r="G315" s="21" t="s">
        <v>1438</v>
      </c>
      <c r="H315" s="19">
        <v>2.0</v>
      </c>
      <c r="I315" s="19" t="s">
        <v>1333</v>
      </c>
      <c r="J315" s="19" t="s">
        <v>33</v>
      </c>
      <c r="L315" s="14" t="str">
        <f>IFERROR(__xludf.DUMMYFUNCTION("IF(REGEXMATCH($B315,L$1),$D315,"""")"),"")</f>
        <v/>
      </c>
      <c r="M315" s="14" t="str">
        <f>IFERROR(__xludf.DUMMYFUNCTION("IF(REGEXMATCH($B315,M$1),$D315,"""")"),"")</f>
        <v/>
      </c>
      <c r="N315" s="14" t="str">
        <f>IFERROR(__xludf.DUMMYFUNCTION("IF(REGEXMATCH($B315,N$1),$D315,"""")"),"Crusader Warrior")</f>
        <v>Crusader Warrior</v>
      </c>
      <c r="O315" s="14" t="str">
        <f>IFERROR(__xludf.DUMMYFUNCTION("IF(REGEXMATCH($B315,O$1),$D315,"""")"),"")</f>
        <v/>
      </c>
      <c r="P315" s="14" t="str">
        <f>IFERROR(__xludf.DUMMYFUNCTION("IF(REGEXMATCH($B315,P$1),$D315,"""")"),"")</f>
        <v/>
      </c>
      <c r="Q315" s="14">
        <f>IFERROR(__xludf.DUMMYFUNCTION("IF($A315="""","""",LEN(REGEXREPLACE($I315,"",\s?"","""")))"),2.0)</f>
        <v>2</v>
      </c>
      <c r="S315" s="14"/>
      <c r="T315" s="14"/>
      <c r="U315" s="14"/>
      <c r="V315" s="14"/>
      <c r="W315" s="14"/>
      <c r="X315" s="14"/>
      <c r="Y315" s="14"/>
      <c r="Z315" s="14"/>
      <c r="AA315" s="14"/>
      <c r="AB315" s="14"/>
    </row>
    <row r="316" hidden="1">
      <c r="A316" s="25" t="s">
        <v>1439</v>
      </c>
      <c r="B316" s="87" t="s">
        <v>13</v>
      </c>
      <c r="C316" s="19">
        <v>2.0</v>
      </c>
      <c r="D316" s="12" t="s">
        <v>120</v>
      </c>
      <c r="E316" s="70" t="s">
        <v>1440</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Crystal|.*crystal.*bury""),""Empty-Crystal"","""")&amp;IF(REGEXMATCH($E316,""Move|move""),""Move"","""")"),"Unearth Control ")</f>
        <v>Unearth Control </v>
      </c>
      <c r="G316" s="13" t="s">
        <v>1441</v>
      </c>
      <c r="H316" s="12">
        <v>2.0</v>
      </c>
      <c r="I316" s="12" t="s">
        <v>1333</v>
      </c>
      <c r="J316" s="12" t="s">
        <v>33</v>
      </c>
      <c r="L316" s="14" t="str">
        <f>IFERROR(__xludf.DUMMYFUNCTION("IF(REGEXMATCH($B316,L$1),$D316,"""")"),"")</f>
        <v/>
      </c>
      <c r="M316" s="14" t="str">
        <f>IFERROR(__xludf.DUMMYFUNCTION("IF(REGEXMATCH($B316,M$1),$D316,"""")"),"")</f>
        <v/>
      </c>
      <c r="N316" s="14" t="str">
        <f>IFERROR(__xludf.DUMMYFUNCTION("IF(REGEXMATCH($B316,N$1),$D316,"""")"),"Animal Undead")</f>
        <v>Animal Undead</v>
      </c>
      <c r="O316" s="14" t="str">
        <f>IFERROR(__xludf.DUMMYFUNCTION("IF(REGEXMATCH($B316,O$1),$D316,"""")"),"")</f>
        <v/>
      </c>
      <c r="P316" s="14" t="str">
        <f>IFERROR(__xludf.DUMMYFUNCTION("IF(REGEXMATCH($B316,P$1),$D316,"""")"),"")</f>
        <v/>
      </c>
      <c r="Q316" s="14">
        <f>IFERROR(__xludf.DUMMYFUNCTION("IF($A316="""","""",LEN(REGEXREPLACE($I316,"",\s?"","""")))"),2.0)</f>
        <v>2</v>
      </c>
      <c r="S316" s="14"/>
      <c r="T316" s="14"/>
      <c r="U316" s="14"/>
      <c r="V316" s="14"/>
      <c r="W316" s="14"/>
      <c r="X316" s="14"/>
      <c r="Y316" s="14"/>
      <c r="Z316" s="14"/>
      <c r="AA316" s="14"/>
      <c r="AB316" s="14"/>
    </row>
    <row r="317" hidden="1">
      <c r="A317" s="20" t="s">
        <v>1442</v>
      </c>
      <c r="B317" s="88" t="s">
        <v>13</v>
      </c>
      <c r="C317" s="19">
        <v>2.0</v>
      </c>
      <c r="D317" s="19" t="s">
        <v>1443</v>
      </c>
      <c r="E317" s="20" t="s">
        <v>1444</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Crystal|.*crystal.*bury""),""Empty-Crystal"","""")&amp;IF(REGEXMATCH($E317,""Move|move""),""Move"","""")"),"Unearth Control ")</f>
        <v>Unearth Control </v>
      </c>
      <c r="G317" s="21" t="s">
        <v>1445</v>
      </c>
      <c r="H317" s="19">
        <v>3.0</v>
      </c>
      <c r="I317" s="19" t="s">
        <v>1342</v>
      </c>
      <c r="J317" s="19" t="s">
        <v>33</v>
      </c>
      <c r="L317" s="14" t="str">
        <f>IFERROR(__xludf.DUMMYFUNCTION("IF(REGEXMATCH($B317,L$1),$D317,"""")"),"")</f>
        <v/>
      </c>
      <c r="M317" s="14" t="str">
        <f>IFERROR(__xludf.DUMMYFUNCTION("IF(REGEXMATCH($B317,M$1),$D317,"""")"),"")</f>
        <v/>
      </c>
      <c r="N317" s="14" t="str">
        <f>IFERROR(__xludf.DUMMYFUNCTION("IF(REGEXMATCH($B317,N$1),$D317,"""")"),"Construct Crystalblight Undead")</f>
        <v>Construct Crystalblight Undead</v>
      </c>
      <c r="O317" s="14" t="str">
        <f>IFERROR(__xludf.DUMMYFUNCTION("IF(REGEXMATCH($B317,O$1),$D317,"""")"),"")</f>
        <v/>
      </c>
      <c r="P317" s="14" t="str">
        <f>IFERROR(__xludf.DUMMYFUNCTION("IF(REGEXMATCH($B317,P$1),$D317,"""")"),"")</f>
        <v/>
      </c>
      <c r="Q317" s="14">
        <f>IFERROR(__xludf.DUMMYFUNCTION("IF($A317="""","""",LEN(REGEXREPLACE($I317,"",\s?"","""")))"),4.0)</f>
        <v>4</v>
      </c>
      <c r="S317" s="14"/>
      <c r="T317" s="14"/>
      <c r="U317" s="14"/>
      <c r="V317" s="14"/>
      <c r="W317" s="14"/>
      <c r="X317" s="14"/>
      <c r="Y317" s="14"/>
      <c r="Z317" s="14"/>
      <c r="AA317" s="14"/>
      <c r="AB317" s="14"/>
    </row>
    <row r="318" hidden="1">
      <c r="A318" s="20" t="s">
        <v>1446</v>
      </c>
      <c r="B318" s="87" t="s">
        <v>13</v>
      </c>
      <c r="C318" s="12">
        <v>2.0</v>
      </c>
      <c r="D318" s="12" t="s">
        <v>1209</v>
      </c>
      <c r="E318" s="10" t="s">
        <v>1447</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Crystal|.*crystal.*bury""),""Empty-Crystal"","""")&amp;IF(REGEXMATCH($E318,""Move|move""),""Move"","""")"),"Unearth Copy ")</f>
        <v>Unearth Copy </v>
      </c>
      <c r="G318" s="13" t="s">
        <v>1448</v>
      </c>
      <c r="H318" s="12">
        <v>2.0</v>
      </c>
      <c r="I318" s="12" t="s">
        <v>1325</v>
      </c>
      <c r="J318" s="12" t="s">
        <v>69</v>
      </c>
      <c r="L318" s="14" t="str">
        <f>IFERROR(__xludf.DUMMYFUNCTION("IF(REGEXMATCH($B318,L$1),$D318,"""")"),"")</f>
        <v/>
      </c>
      <c r="M318" s="14" t="str">
        <f>IFERROR(__xludf.DUMMYFUNCTION("IF(REGEXMATCH($B318,M$1),$D318,"""")"),"")</f>
        <v/>
      </c>
      <c r="N318" s="14" t="str">
        <f>IFERROR(__xludf.DUMMYFUNCTION("IF(REGEXMATCH($B318,N$1),$D318,"""")"),"Hunter Insect")</f>
        <v>Hunter Insect</v>
      </c>
      <c r="O318" s="14" t="str">
        <f>IFERROR(__xludf.DUMMYFUNCTION("IF(REGEXMATCH($B318,O$1),$D318,"""")"),"")</f>
        <v/>
      </c>
      <c r="P318" s="14" t="str">
        <f>IFERROR(__xludf.DUMMYFUNCTION("IF(REGEXMATCH($B318,P$1),$D318,"""")"),"")</f>
        <v/>
      </c>
      <c r="Q318" s="14">
        <f>IFERROR(__xludf.DUMMYFUNCTION("IF($A318="""","""",LEN(REGEXREPLACE($I318,"",\s?"","""")))"),4.0)</f>
        <v>4</v>
      </c>
      <c r="S318" s="14"/>
      <c r="T318" s="14"/>
      <c r="U318" s="14"/>
      <c r="V318" s="14"/>
      <c r="W318" s="14"/>
      <c r="X318" s="14"/>
      <c r="Y318" s="14"/>
      <c r="Z318" s="14"/>
      <c r="AA318" s="14"/>
      <c r="AB318" s="14"/>
    </row>
    <row r="319" hidden="1">
      <c r="A319" s="20" t="s">
        <v>1449</v>
      </c>
      <c r="B319" s="88" t="s">
        <v>13</v>
      </c>
      <c r="C319" s="19">
        <v>2.0</v>
      </c>
      <c r="D319" s="19" t="s">
        <v>89</v>
      </c>
      <c r="E319" s="20" t="s">
        <v>1450</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Crystal|.*crystal.*bury""),""Empty-Crystal"","""")&amp;IF(REGEXMATCH($E319,""Move|move""),""Move"","""")"),"Control ")</f>
        <v>Control </v>
      </c>
      <c r="G319" s="21" t="s">
        <v>1451</v>
      </c>
      <c r="H319" s="19">
        <v>0.0</v>
      </c>
      <c r="I319" s="19" t="s">
        <v>1325</v>
      </c>
      <c r="J319" s="19" t="s">
        <v>69</v>
      </c>
      <c r="L319" s="14" t="str">
        <f>IFERROR(__xludf.DUMMYFUNCTION("IF(REGEXMATCH($B319,L$1),$D319,"""")"),"")</f>
        <v/>
      </c>
      <c r="M319" s="14" t="str">
        <f>IFERROR(__xludf.DUMMYFUNCTION("IF(REGEXMATCH($B319,M$1),$D319,"""")"),"")</f>
        <v/>
      </c>
      <c r="N319" s="14" t="str">
        <f>IFERROR(__xludf.DUMMYFUNCTION("IF(REGEXMATCH($B319,N$1),$D319,"""")"),"Construct Undead")</f>
        <v>Construct Undead</v>
      </c>
      <c r="O319" s="14" t="str">
        <f>IFERROR(__xludf.DUMMYFUNCTION("IF(REGEXMATCH($B319,O$1),$D319,"""")"),"")</f>
        <v/>
      </c>
      <c r="P319" s="14" t="str">
        <f>IFERROR(__xludf.DUMMYFUNCTION("IF(REGEXMATCH($B319,P$1),$D319,"""")"),"")</f>
        <v/>
      </c>
      <c r="Q319" s="14">
        <f>IFERROR(__xludf.DUMMYFUNCTION("IF($A319="""","""",LEN(REGEXREPLACE($I319,"",\s?"","""")))"),4.0)</f>
        <v>4</v>
      </c>
      <c r="S319" s="14"/>
      <c r="T319" s="14"/>
      <c r="U319" s="14"/>
      <c r="V319" s="14"/>
      <c r="W319" s="14"/>
      <c r="X319" s="14"/>
      <c r="Y319" s="14"/>
      <c r="Z319" s="14"/>
      <c r="AA319" s="14"/>
      <c r="AB319" s="14"/>
    </row>
    <row r="320">
      <c r="A320" s="10" t="s">
        <v>1452</v>
      </c>
      <c r="B320" s="10" t="s">
        <v>13</v>
      </c>
      <c r="C320" s="12">
        <v>1.0</v>
      </c>
      <c r="D320" s="12" t="s">
        <v>1209</v>
      </c>
      <c r="E320" s="10" t="s">
        <v>1453</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Crystal|.*crystal.*bury""),""Empty-Crystal"","""")&amp;IF(REGEXMATCH($E320,""Move|move""),""Move"","""")"),"Unearth Copy ")</f>
        <v>Unearth Copy </v>
      </c>
      <c r="G320" s="13" t="s">
        <v>1454</v>
      </c>
      <c r="H320" s="12">
        <v>4.0</v>
      </c>
      <c r="I320" s="12" t="s">
        <v>1325</v>
      </c>
      <c r="J320" s="12" t="s">
        <v>33</v>
      </c>
      <c r="L320" s="14" t="str">
        <f>IFERROR(__xludf.DUMMYFUNCTION("IF(REGEXMATCH($B320,L$1),$D320,"""")"),"")</f>
        <v/>
      </c>
      <c r="M320" s="14" t="str">
        <f>IFERROR(__xludf.DUMMYFUNCTION("IF(REGEXMATCH($B320,M$1),$D320,"""")"),"")</f>
        <v/>
      </c>
      <c r="N320" s="14" t="str">
        <f>IFERROR(__xludf.DUMMYFUNCTION("IF(REGEXMATCH($B320,N$1),$D320,"""")"),"Hunter Insect")</f>
        <v>Hunter Insect</v>
      </c>
      <c r="O320" s="14" t="str">
        <f>IFERROR(__xludf.DUMMYFUNCTION("IF(REGEXMATCH($B320,O$1),$D320,"""")"),"")</f>
        <v/>
      </c>
      <c r="P320" s="14" t="str">
        <f>IFERROR(__xludf.DUMMYFUNCTION("IF(REGEXMATCH($B320,P$1),$D320,"""")"),"")</f>
        <v/>
      </c>
      <c r="Q320" s="14">
        <f>IFERROR(__xludf.DUMMYFUNCTION("IF($A320="""","""",LEN(REGEXREPLACE($I320,"",\s?"","""")))"),4.0)</f>
        <v>4</v>
      </c>
      <c r="S320" s="14"/>
      <c r="T320" s="14"/>
      <c r="U320" s="14"/>
      <c r="V320" s="14"/>
      <c r="W320" s="14"/>
      <c r="X320" s="14"/>
      <c r="Y320" s="14"/>
      <c r="Z320" s="14"/>
      <c r="AA320" s="14"/>
      <c r="AB320" s="14"/>
    </row>
    <row r="321">
      <c r="A321" s="25" t="s">
        <v>1455</v>
      </c>
      <c r="B321" s="10" t="s">
        <v>13</v>
      </c>
      <c r="C321" s="12">
        <v>1.0</v>
      </c>
      <c r="D321" s="12" t="s">
        <v>193</v>
      </c>
      <c r="E321" s="10" t="s">
        <v>1456</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Crystal|.*crystal.*bury""),""Empty-Crystal"","""")&amp;IF(REGEXMATCH($E321,""Move|move""),""Move"","""")"),"Void ")</f>
        <v>Void </v>
      </c>
      <c r="G321" s="13" t="s">
        <v>1457</v>
      </c>
      <c r="H321" s="12">
        <v>5.0</v>
      </c>
      <c r="I321" s="12" t="s">
        <v>1346</v>
      </c>
      <c r="J321" s="12" t="s">
        <v>69</v>
      </c>
      <c r="L321" s="14" t="str">
        <f>IFERROR(__xludf.DUMMYFUNCTION("IF(REGEXMATCH($D321,L$1),#REF!,"""")"),"")</f>
        <v/>
      </c>
      <c r="M321" s="14" t="str">
        <f>IFERROR(__xludf.DUMMYFUNCTION("IF(REGEXMATCH($D321,M$1),#REF!,"""")"),"")</f>
        <v/>
      </c>
      <c r="N321" s="14" t="str">
        <f>IFERROR(__xludf.DUMMYFUNCTION("IF(REGEXMATCH($D321,N$1),#REF!,"""")"),"")</f>
        <v/>
      </c>
      <c r="O321" s="14" t="str">
        <f>IFERROR(__xludf.DUMMYFUNCTION("IF(REGEXMATCH($D321,O$1),#REF!,"""")"),"")</f>
        <v/>
      </c>
      <c r="P321" s="14" t="str">
        <f>IFERROR(__xludf.DUMMYFUNCTION("IF(REGEXMATCH($D321,P$1),#REF!,"""")"),"")</f>
        <v/>
      </c>
      <c r="Q321" s="14">
        <f>IFERROR(__xludf.DUMMYFUNCTION("IF($A321="""","""",LEN(REGEXREPLACE($I321,"",\s?"","""")))"),5.0)</f>
        <v>5</v>
      </c>
      <c r="S321" s="14"/>
      <c r="T321" s="14"/>
      <c r="U321" s="14"/>
      <c r="V321" s="14"/>
      <c r="W321" s="14"/>
      <c r="X321" s="14"/>
      <c r="Y321" s="14"/>
      <c r="Z321" s="14"/>
      <c r="AA321" s="14"/>
      <c r="AB321" s="14"/>
    </row>
    <row r="322">
      <c r="A322" s="27" t="s">
        <v>1458</v>
      </c>
      <c r="B322" s="10" t="s">
        <v>13</v>
      </c>
      <c r="C322" s="12">
        <v>1.0</v>
      </c>
      <c r="D322" s="12" t="s">
        <v>1459</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f>
        <v/>
      </c>
      <c r="G322" s="13" t="s">
        <v>1460</v>
      </c>
      <c r="H322" s="12">
        <v>5.0</v>
      </c>
      <c r="I322" s="12" t="s">
        <v>1325</v>
      </c>
      <c r="J322" s="24" t="s">
        <v>33</v>
      </c>
      <c r="L322" s="14" t="str">
        <f>IFERROR(__xludf.DUMMYFUNCTION("IF(REGEXMATCH($B322,L$1),$D322,"""")"),"")</f>
        <v/>
      </c>
      <c r="M322" s="14" t="str">
        <f>IFERROR(__xludf.DUMMYFUNCTION("IF(REGEXMATCH($B322,M$1),$D322,"""")"),"")</f>
        <v/>
      </c>
      <c r="N322" s="14" t="str">
        <f>IFERROR(__xludf.DUMMYFUNCTION("IF(REGEXMATCH($B322,N$1),$D322,"""")"),"Plant Undead")</f>
        <v>Plant Undead</v>
      </c>
      <c r="O322" s="14" t="str">
        <f>IFERROR(__xludf.DUMMYFUNCTION("IF(REGEXMATCH($B322,O$1),$D322,"""")"),"")</f>
        <v/>
      </c>
      <c r="P322" s="14" t="str">
        <f>IFERROR(__xludf.DUMMYFUNCTION("IF(REGEXMATCH($B322,P$1),$D322,"""")"),"")</f>
        <v/>
      </c>
      <c r="Q322" s="14">
        <f>IFERROR(__xludf.DUMMYFUNCTION("IF($A322="""","""",LEN(REGEXREPLACE($I322,"",\s?"","""")))"),4.0)</f>
        <v>4</v>
      </c>
      <c r="S322" s="14"/>
      <c r="T322" s="14"/>
      <c r="U322" s="14"/>
      <c r="V322" s="14"/>
      <c r="W322" s="14"/>
      <c r="X322" s="14"/>
      <c r="Y322" s="14"/>
      <c r="Z322" s="14"/>
      <c r="AA322" s="14"/>
      <c r="AB322" s="14"/>
    </row>
    <row r="323" hidden="1">
      <c r="A323" s="20" t="s">
        <v>1461</v>
      </c>
      <c r="B323" s="88" t="s">
        <v>13</v>
      </c>
      <c r="C323" s="19">
        <v>2.0</v>
      </c>
      <c r="D323" s="19" t="s">
        <v>1462</v>
      </c>
      <c r="E323" s="20" t="s">
        <v>1463</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Crystal|.*crystal.*bury""),""Empty-Crystal"","""")&amp;IF(REGEXMATCH($E323,""Move|move""),""Move"","""")"),"Ramp ")</f>
        <v>Ramp </v>
      </c>
      <c r="G323" s="21" t="s">
        <v>1464</v>
      </c>
      <c r="H323" s="19">
        <v>4.0</v>
      </c>
      <c r="I323" s="19" t="s">
        <v>1325</v>
      </c>
      <c r="J323" s="19" t="s">
        <v>69</v>
      </c>
      <c r="L323" s="14" t="str">
        <f>IFERROR(__xludf.DUMMYFUNCTION("IF(REGEXMATCH($B323,L$1),$D323,"""")"),"")</f>
        <v/>
      </c>
      <c r="M323" s="14" t="str">
        <f>IFERROR(__xludf.DUMMYFUNCTION("IF(REGEXMATCH($B323,M$1),$D323,"""")"),"")</f>
        <v/>
      </c>
      <c r="N323" s="14" t="str">
        <f>IFERROR(__xludf.DUMMYFUNCTION("IF(REGEXMATCH($B323,N$1),$D323,"""")"),"Crystalblight Demon")</f>
        <v>Crystalblight Demon</v>
      </c>
      <c r="O323" s="14" t="str">
        <f>IFERROR(__xludf.DUMMYFUNCTION("IF(REGEXMATCH($B323,O$1),$D323,"""")"),"")</f>
        <v/>
      </c>
      <c r="P323" s="14" t="str">
        <f>IFERROR(__xludf.DUMMYFUNCTION("IF(REGEXMATCH($B323,P$1),$D323,"""")"),"")</f>
        <v/>
      </c>
      <c r="Q323" s="14">
        <f>IFERROR(__xludf.DUMMYFUNCTION("IF($A323="""","""",LEN(REGEXREPLACE($I323,"",\s?"","""")))"),4.0)</f>
        <v>4</v>
      </c>
      <c r="S323" s="14"/>
      <c r="T323" s="14"/>
      <c r="U323" s="14"/>
      <c r="V323" s="14"/>
      <c r="W323" s="14"/>
      <c r="X323" s="14"/>
      <c r="Y323" s="14"/>
      <c r="Z323" s="14"/>
      <c r="AA323" s="14"/>
      <c r="AB323" s="14"/>
    </row>
    <row r="324">
      <c r="A324" s="27" t="s">
        <v>1465</v>
      </c>
      <c r="B324" s="10" t="s">
        <v>13</v>
      </c>
      <c r="C324" s="12">
        <v>1.0</v>
      </c>
      <c r="D324" s="12" t="s">
        <v>120</v>
      </c>
      <c r="E324" s="10" t="s">
        <v>1466</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Crystal|.*crystal.*bury""),""Empty-Crystal"","""")&amp;IF(REGEXMATCH($E324,""Move|move""),""Move"","""")"),"Control ")</f>
        <v>Control </v>
      </c>
      <c r="G324" s="13" t="s">
        <v>1467</v>
      </c>
      <c r="H324" s="12">
        <v>1.0</v>
      </c>
      <c r="I324" s="12" t="s">
        <v>1330</v>
      </c>
      <c r="J324" s="24" t="s">
        <v>69</v>
      </c>
      <c r="L324" s="14" t="str">
        <f>IFERROR(__xludf.DUMMYFUNCTION("IF(REGEXMATCH($B324,L$1),$D324,"""")"),"")</f>
        <v/>
      </c>
      <c r="M324" s="14" t="str">
        <f>IFERROR(__xludf.DUMMYFUNCTION("IF(REGEXMATCH($B324,M$1),$D324,"""")"),"")</f>
        <v/>
      </c>
      <c r="N324" s="14" t="str">
        <f>IFERROR(__xludf.DUMMYFUNCTION("IF(REGEXMATCH($B324,N$1),$D324,"""")"),"Animal Undead")</f>
        <v>Animal Undead</v>
      </c>
      <c r="O324" s="14" t="str">
        <f>IFERROR(__xludf.DUMMYFUNCTION("IF(REGEXMATCH($B324,O$1),$D324,"""")"),"")</f>
        <v/>
      </c>
      <c r="P324" s="14" t="str">
        <f>IFERROR(__xludf.DUMMYFUNCTION("IF(REGEXMATCH($B324,P$1),$D324,"""")"),"")</f>
        <v/>
      </c>
      <c r="Q324" s="14">
        <f>IFERROR(__xludf.DUMMYFUNCTION("IF($A324="""","""",LEN(REGEXREPLACE($I324,"",\s?"","""")))"),3.0)</f>
        <v>3</v>
      </c>
      <c r="S324" s="14"/>
      <c r="T324" s="14"/>
      <c r="U324" s="14"/>
      <c r="V324" s="14"/>
      <c r="W324" s="14"/>
      <c r="X324" s="14"/>
      <c r="Y324" s="14"/>
      <c r="Z324" s="14"/>
      <c r="AA324" s="14"/>
      <c r="AB324" s="14"/>
    </row>
    <row r="325" hidden="1">
      <c r="A325" s="20" t="s">
        <v>1468</v>
      </c>
      <c r="B325" s="88" t="s">
        <v>13</v>
      </c>
      <c r="C325" s="19">
        <v>2.0</v>
      </c>
      <c r="D325" s="19" t="s">
        <v>891</v>
      </c>
      <c r="E325" s="20" t="s">
        <v>1469</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f>
        <v>Unearth </v>
      </c>
      <c r="G325" s="21" t="s">
        <v>1470</v>
      </c>
      <c r="H325" s="19">
        <v>2.0</v>
      </c>
      <c r="I325" s="19" t="s">
        <v>1330</v>
      </c>
      <c r="J325" s="19" t="s">
        <v>33</v>
      </c>
      <c r="L325" s="14" t="str">
        <f>IFERROR(__xludf.DUMMYFUNCTION("IF(REGEXMATCH($B325,L$1),$D325,"""")"),"")</f>
        <v/>
      </c>
      <c r="M325" s="14" t="str">
        <f>IFERROR(__xludf.DUMMYFUNCTION("IF(REGEXMATCH($B325,M$1),$D325,"""")"),"")</f>
        <v/>
      </c>
      <c r="N325" s="14" t="str">
        <f>IFERROR(__xludf.DUMMYFUNCTION("IF(REGEXMATCH($B325,N$1),$D325,"""")"),"Undead")</f>
        <v>Undead</v>
      </c>
      <c r="O325" s="14" t="str">
        <f>IFERROR(__xludf.DUMMYFUNCTION("IF(REGEXMATCH($B325,O$1),$D325,"""")"),"")</f>
        <v/>
      </c>
      <c r="P325" s="14" t="str">
        <f>IFERROR(__xludf.DUMMYFUNCTION("IF(REGEXMATCH($B325,P$1),$D325,"""")"),"")</f>
        <v/>
      </c>
      <c r="Q325" s="14">
        <f>IFERROR(__xludf.DUMMYFUNCTION("IF($A325="""","""",LEN(REGEXREPLACE($I325,"",\s?"","""")))"),3.0)</f>
        <v>3</v>
      </c>
      <c r="S325" s="14"/>
      <c r="T325" s="14"/>
      <c r="U325" s="14"/>
      <c r="V325" s="14"/>
      <c r="W325" s="14"/>
      <c r="X325" s="14"/>
      <c r="Y325" s="14"/>
      <c r="Z325" s="14"/>
      <c r="AA325" s="14"/>
      <c r="AB325" s="14"/>
    </row>
    <row r="326">
      <c r="A326" s="25" t="s">
        <v>1471</v>
      </c>
      <c r="B326" s="10" t="s">
        <v>13</v>
      </c>
      <c r="C326" s="12">
        <v>1.0</v>
      </c>
      <c r="D326" s="12" t="s">
        <v>1472</v>
      </c>
      <c r="E326" s="10" t="s">
        <v>1473</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Crystal|.*crystal.*bury""),""Empty-Crystal"","""")&amp;IF(REGEXMATCH($E326,""Move|move""),""Move"","""")"),"Void ")</f>
        <v>Void </v>
      </c>
      <c r="G326" s="13" t="s">
        <v>1474</v>
      </c>
      <c r="H326" s="12">
        <v>2.0</v>
      </c>
      <c r="I326" s="12" t="s">
        <v>1333</v>
      </c>
      <c r="J326" s="12" t="s">
        <v>33</v>
      </c>
      <c r="L326" s="14" t="str">
        <f>IFERROR(__xludf.DUMMYFUNCTION("IF(REGEXMATCH($B326,L$1),$D326,"""")"),"")</f>
        <v/>
      </c>
      <c r="M326" s="14" t="str">
        <f>IFERROR(__xludf.DUMMYFUNCTION("IF(REGEXMATCH($B326,M$1),$D326,"""")"),"")</f>
        <v/>
      </c>
      <c r="N326" s="14" t="str">
        <f>IFERROR(__xludf.DUMMYFUNCTION("IF(REGEXMATCH($B326,N$1),$D326,"""")"),"Demon Plant")</f>
        <v>Demon Plant</v>
      </c>
      <c r="O326" s="14" t="str">
        <f>IFERROR(__xludf.DUMMYFUNCTION("IF(REGEXMATCH($B326,O$1),$D326,"""")"),"")</f>
        <v/>
      </c>
      <c r="P326" s="14" t="str">
        <f>IFERROR(__xludf.DUMMYFUNCTION("IF(REGEXMATCH($B326,P$1),$D326,"""")"),"")</f>
        <v/>
      </c>
      <c r="Q326" s="14">
        <f>IFERROR(__xludf.DUMMYFUNCTION("IF($A326="""","""",LEN(REGEXREPLACE($I326,"",\s?"","""")))"),2.0)</f>
        <v>2</v>
      </c>
      <c r="S326" s="14"/>
      <c r="T326" s="14"/>
      <c r="U326" s="14"/>
      <c r="V326" s="14"/>
      <c r="W326" s="14"/>
      <c r="X326" s="14"/>
      <c r="Y326" s="14"/>
      <c r="Z326" s="14"/>
      <c r="AA326" s="14"/>
      <c r="AB326" s="14"/>
    </row>
    <row r="327">
      <c r="A327" s="10" t="s">
        <v>1475</v>
      </c>
      <c r="B327" s="10" t="s">
        <v>13</v>
      </c>
      <c r="C327" s="12">
        <v>1.0</v>
      </c>
      <c r="D327" s="12" t="s">
        <v>1476</v>
      </c>
      <c r="E327" s="10" t="s">
        <v>1477</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Crystal|.*crystal.*bury""),""Empty-Crystal"","""")&amp;IF(REGEXMATCH($E327,""Move|move""),""Move"","""")"),"Angel Demon Unearth Demon ")</f>
        <v>Angel Demon Unearth Demon </v>
      </c>
      <c r="G327" s="13" t="s">
        <v>1478</v>
      </c>
      <c r="H327" s="12">
        <v>6.0</v>
      </c>
      <c r="I327" s="12" t="s">
        <v>1396</v>
      </c>
      <c r="J327" s="12" t="s">
        <v>39</v>
      </c>
      <c r="L327" s="14" t="str">
        <f>IFERROR(__xludf.DUMMYFUNCTION("IF(REGEXMATCH($B327,L$1),$D327,"""")"),"")</f>
        <v/>
      </c>
      <c r="M327" s="14" t="str">
        <f>IFERROR(__xludf.DUMMYFUNCTION("IF(REGEXMATCH($B327,M$1),$D327,"""")"),"")</f>
        <v/>
      </c>
      <c r="N327" s="14" t="str">
        <f>IFERROR(__xludf.DUMMYFUNCTION("IF(REGEXMATCH($B327,N$1),$D327,"""")"),"Angel Demon")</f>
        <v>Angel Demon</v>
      </c>
      <c r="O327" s="14" t="str">
        <f>IFERROR(__xludf.DUMMYFUNCTION("IF(REGEXMATCH($B327,O$1),$D327,"""")"),"")</f>
        <v/>
      </c>
      <c r="P327" s="14" t="str">
        <f>IFERROR(__xludf.DUMMYFUNCTION("IF(REGEXMATCH($B327,P$1),$D327,"""")"),"")</f>
        <v/>
      </c>
      <c r="Q327" s="14">
        <f>IFERROR(__xludf.DUMMYFUNCTION("IF($A327="""","""",LEN(REGEXREPLACE($I327,"",\s?"","""")))"),6.0)</f>
        <v>6</v>
      </c>
      <c r="S327" s="14"/>
      <c r="T327" s="14"/>
      <c r="U327" s="14"/>
      <c r="V327" s="14"/>
      <c r="W327" s="14"/>
      <c r="X327" s="14"/>
      <c r="Y327" s="14"/>
      <c r="Z327" s="14"/>
      <c r="AA327" s="14"/>
      <c r="AB327" s="14"/>
    </row>
    <row r="328" hidden="1">
      <c r="A328" s="20" t="s">
        <v>1479</v>
      </c>
      <c r="B328" s="88" t="s">
        <v>13</v>
      </c>
      <c r="C328" s="19">
        <v>2.0</v>
      </c>
      <c r="D328" s="19" t="s">
        <v>692</v>
      </c>
      <c r="E328" s="20" t="s">
        <v>1480</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f>
        <v/>
      </c>
      <c r="G328" s="21" t="s">
        <v>1481</v>
      </c>
      <c r="H328" s="19">
        <v>0.0</v>
      </c>
      <c r="I328" s="19" t="s">
        <v>1346</v>
      </c>
      <c r="J328" s="19" t="s">
        <v>69</v>
      </c>
      <c r="L328" s="14" t="str">
        <f>IFERROR(__xludf.DUMMYFUNCTION("IF(REGEXMATCH($B328,L$1),$D328,"""")"),"")</f>
        <v/>
      </c>
      <c r="M328" s="14" t="str">
        <f>IFERROR(__xludf.DUMMYFUNCTION("IF(REGEXMATCH($B328,M$1),$D328,"""")"),"")</f>
        <v/>
      </c>
      <c r="N328" s="14" t="str">
        <f>IFERROR(__xludf.DUMMYFUNCTION("IF(REGEXMATCH($B328,N$1),$D328,"""")"),"Demon Spirit")</f>
        <v>Demon Spirit</v>
      </c>
      <c r="O328" s="14" t="str">
        <f>IFERROR(__xludf.DUMMYFUNCTION("IF(REGEXMATCH($B328,O$1),$D328,"""")"),"")</f>
        <v/>
      </c>
      <c r="P328" s="14" t="str">
        <f>IFERROR(__xludf.DUMMYFUNCTION("IF(REGEXMATCH($B328,P$1),$D328,"""")"),"")</f>
        <v/>
      </c>
      <c r="Q328" s="14">
        <f>IFERROR(__xludf.DUMMYFUNCTION("IF($A328="""","""",LEN(REGEXREPLACE($I328,"",\s?"","""")))"),5.0)</f>
        <v>5</v>
      </c>
      <c r="S328" s="14"/>
      <c r="T328" s="14"/>
      <c r="U328" s="14"/>
      <c r="V328" s="14"/>
      <c r="W328" s="14"/>
      <c r="X328" s="14"/>
      <c r="Y328" s="14"/>
      <c r="Z328" s="14"/>
      <c r="AA328" s="14"/>
      <c r="AB328" s="14"/>
    </row>
    <row r="329" hidden="1">
      <c r="A329" s="10" t="s">
        <v>1482</v>
      </c>
      <c r="B329" s="87" t="s">
        <v>13</v>
      </c>
      <c r="C329" s="12">
        <v>2.0</v>
      </c>
      <c r="D329" s="12" t="s">
        <v>1108</v>
      </c>
      <c r="E329" s="10" t="s">
        <v>1483</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Crystal|.*crystal.*bury""),""Empty-Crystal"","""")&amp;IF(REGEXMATCH($E329,""Move|move""),""Move"","""")"),"Undead ")</f>
        <v>Undead </v>
      </c>
      <c r="G329" s="13" t="s">
        <v>1484</v>
      </c>
      <c r="H329" s="12">
        <v>2.0</v>
      </c>
      <c r="I329" s="12" t="s">
        <v>1325</v>
      </c>
      <c r="J329" s="12" t="s">
        <v>69</v>
      </c>
      <c r="L329" s="14" t="str">
        <f>IFERROR(__xludf.DUMMYFUNCTION("IF(REGEXMATCH($B329,L$1),$D329,"""")"),"")</f>
        <v/>
      </c>
      <c r="M329" s="14" t="str">
        <f>IFERROR(__xludf.DUMMYFUNCTION("IF(REGEXMATCH($B329,M$1),$D329,"""")"),"")</f>
        <v/>
      </c>
      <c r="N329" s="14" t="str">
        <f>IFERROR(__xludf.DUMMYFUNCTION("IF(REGEXMATCH($B329,N$1),$D329,"""")"),"Human Undead")</f>
        <v>Human Undead</v>
      </c>
      <c r="O329" s="14" t="str">
        <f>IFERROR(__xludf.DUMMYFUNCTION("IF(REGEXMATCH($B329,O$1),$D329,"""")"),"")</f>
        <v/>
      </c>
      <c r="P329" s="14" t="str">
        <f>IFERROR(__xludf.DUMMYFUNCTION("IF(REGEXMATCH($B329,P$1),$D329,"""")"),"")</f>
        <v/>
      </c>
      <c r="Q329" s="14">
        <f>IFERROR(__xludf.DUMMYFUNCTION("IF($A329="""","""",LEN(REGEXREPLACE($I329,"",\s?"","""")))"),4.0)</f>
        <v>4</v>
      </c>
      <c r="S329" s="14"/>
      <c r="T329" s="14"/>
      <c r="U329" s="14"/>
      <c r="V329" s="14"/>
      <c r="W329" s="14"/>
      <c r="X329" s="14"/>
      <c r="Y329" s="14"/>
      <c r="Z329" s="14"/>
      <c r="AA329" s="14"/>
      <c r="AB329" s="14"/>
    </row>
    <row r="330" hidden="1">
      <c r="A330" s="20" t="s">
        <v>1485</v>
      </c>
      <c r="B330" s="88" t="s">
        <v>13</v>
      </c>
      <c r="C330" s="19">
        <v>2.0</v>
      </c>
      <c r="D330" s="19" t="s">
        <v>1459</v>
      </c>
      <c r="E330" s="20" t="s">
        <v>1486</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Crystal|.*crystal.*bury""),""Empty-Crystal"","""")&amp;IF(REGEXMATCH($E330,""Move|move""),""Move"","""")"),"Void Ascend ")</f>
        <v>Void Ascend </v>
      </c>
      <c r="G330" s="21" t="s">
        <v>1487</v>
      </c>
      <c r="H330" s="19">
        <v>3.0</v>
      </c>
      <c r="I330" s="19" t="s">
        <v>1330</v>
      </c>
      <c r="J330" s="19" t="s">
        <v>33</v>
      </c>
      <c r="L330" s="14" t="str">
        <f>IFERROR(__xludf.DUMMYFUNCTION("IF(REGEXMATCH($B330,L$1),$D330,"""")"),"")</f>
        <v/>
      </c>
      <c r="M330" s="14" t="str">
        <f>IFERROR(__xludf.DUMMYFUNCTION("IF(REGEXMATCH($B330,M$1),$D330,"""")"),"")</f>
        <v/>
      </c>
      <c r="N330" s="14" t="str">
        <f>IFERROR(__xludf.DUMMYFUNCTION("IF(REGEXMATCH($B330,N$1),$D330,"""")"),"Plant Undead")</f>
        <v>Plant Undead</v>
      </c>
      <c r="O330" s="14" t="str">
        <f>IFERROR(__xludf.DUMMYFUNCTION("IF(REGEXMATCH($B330,O$1),$D330,"""")"),"")</f>
        <v/>
      </c>
      <c r="P330" s="14" t="str">
        <f>IFERROR(__xludf.DUMMYFUNCTION("IF(REGEXMATCH($B330,P$1),$D330,"""")"),"")</f>
        <v/>
      </c>
      <c r="Q330" s="14">
        <f>IFERROR(__xludf.DUMMYFUNCTION("IF($A330="""","""",LEN(REGEXREPLACE($I330,"",\s?"","""")))"),3.0)</f>
        <v>3</v>
      </c>
      <c r="S330" s="14"/>
      <c r="T330" s="14"/>
      <c r="U330" s="14"/>
      <c r="V330" s="14"/>
      <c r="W330" s="14"/>
      <c r="X330" s="14"/>
      <c r="Y330" s="14"/>
      <c r="Z330" s="14"/>
      <c r="AA330" s="14"/>
      <c r="AB330" s="14"/>
    </row>
    <row r="331" hidden="1">
      <c r="A331" s="10" t="s">
        <v>1488</v>
      </c>
      <c r="B331" s="87" t="s">
        <v>13</v>
      </c>
      <c r="C331" s="12">
        <v>2.0</v>
      </c>
      <c r="D331" s="12" t="s">
        <v>1322</v>
      </c>
      <c r="E331" s="10" t="s">
        <v>1489</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Crystal|.*crystal.*bury""),""Empty-Crystal"","""")&amp;IF(REGEXMATCH($E331,""Move|move""),""Move"","""")"),"Demon Demon Ascend ")</f>
        <v>Demon Demon Ascend </v>
      </c>
      <c r="G331" s="13" t="s">
        <v>1490</v>
      </c>
      <c r="H331" s="12">
        <v>4.0</v>
      </c>
      <c r="I331" s="12" t="s">
        <v>1346</v>
      </c>
      <c r="J331" s="12" t="s">
        <v>69</v>
      </c>
      <c r="L331" s="14" t="str">
        <f>IFERROR(__xludf.DUMMYFUNCTION("IF(REGEXMATCH($B331,L$1),$D331,"""")"),"")</f>
        <v/>
      </c>
      <c r="M331" s="14" t="str">
        <f>IFERROR(__xludf.DUMMYFUNCTION("IF(REGEXMATCH($B331,M$1),$D331,"""")"),"")</f>
        <v/>
      </c>
      <c r="N331" s="14" t="str">
        <f>IFERROR(__xludf.DUMMYFUNCTION("IF(REGEXMATCH($B331,N$1),$D331,"""")"),"Demon Hunter")</f>
        <v>Demon Hunter</v>
      </c>
      <c r="O331" s="14" t="str">
        <f>IFERROR(__xludf.DUMMYFUNCTION("IF(REGEXMATCH($B331,O$1),$D331,"""")"),"")</f>
        <v/>
      </c>
      <c r="P331" s="14" t="str">
        <f>IFERROR(__xludf.DUMMYFUNCTION("IF(REGEXMATCH($B331,P$1),$D331,"""")"),"")</f>
        <v/>
      </c>
      <c r="Q331" s="14">
        <f>IFERROR(__xludf.DUMMYFUNCTION("IF($A331="""","""",LEN(REGEXREPLACE($I331,"",\s?"","""")))"),5.0)</f>
        <v>5</v>
      </c>
      <c r="S331" s="14"/>
      <c r="T331" s="14"/>
      <c r="U331" s="14"/>
      <c r="V331" s="14"/>
      <c r="W331" s="14"/>
      <c r="X331" s="14"/>
      <c r="Y331" s="14"/>
      <c r="Z331" s="14"/>
      <c r="AA331" s="14"/>
      <c r="AB331" s="14"/>
    </row>
    <row r="332">
      <c r="A332" s="72" t="s">
        <v>1491</v>
      </c>
      <c r="B332" s="10" t="s">
        <v>13</v>
      </c>
      <c r="C332" s="12">
        <v>1.0</v>
      </c>
      <c r="D332" s="12" t="s">
        <v>1327</v>
      </c>
      <c r="E332" s="20" t="s">
        <v>1492</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f>
        <v/>
      </c>
      <c r="G332" s="13" t="s">
        <v>1493</v>
      </c>
      <c r="H332" s="12">
        <v>3.0</v>
      </c>
      <c r="I332" s="12" t="s">
        <v>1370</v>
      </c>
      <c r="J332" s="12" t="s">
        <v>39</v>
      </c>
      <c r="K332" s="14" t="str">
        <f>IFERROR(__xludf.DUMMYFUNCTION("IF(REGEXMATCH($B332,M$1),$D332,"""")"),"")</f>
        <v/>
      </c>
      <c r="N332" s="14" t="str">
        <f>IFERROR(__xludf.DUMMYFUNCTION("IF(REGEXMATCH($B332,N$1),$D332,"""")"),"Undead Wizard")</f>
        <v>Undead Wizard</v>
      </c>
      <c r="O332" s="14" t="str">
        <f>IFERROR(__xludf.DUMMYFUNCTION("IF(REGEXMATCH($B332,O$1),$D332,"""")"),"")</f>
        <v/>
      </c>
      <c r="P332" s="14" t="str">
        <f>IFERROR(__xludf.DUMMYFUNCTION("IF(REGEXMATCH($B332,P$1),$D332,"""")"),"")</f>
        <v/>
      </c>
      <c r="Q332" s="14">
        <f>IFERROR(__xludf.DUMMYFUNCTION("IF($A332="""","""",LEN(REGEXREPLACE($I332,"",\s?"","""")))"),6.0)</f>
        <v>6</v>
      </c>
      <c r="S332" s="14"/>
      <c r="T332" s="14"/>
      <c r="U332" s="14"/>
      <c r="V332" s="14"/>
      <c r="W332" s="14"/>
      <c r="X332" s="14"/>
      <c r="Y332" s="14"/>
      <c r="Z332" s="14"/>
      <c r="AA332" s="14"/>
      <c r="AB332" s="14"/>
    </row>
    <row r="333" hidden="1">
      <c r="A333" s="20" t="s">
        <v>1494</v>
      </c>
      <c r="B333" s="87" t="s">
        <v>13</v>
      </c>
      <c r="C333" s="12">
        <v>2.0</v>
      </c>
      <c r="D333" s="19" t="s">
        <v>1327</v>
      </c>
      <c r="E333" s="20" t="s">
        <v>1495</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f>
        <v/>
      </c>
      <c r="G333" s="21" t="s">
        <v>1496</v>
      </c>
      <c r="H333" s="19">
        <v>2.0</v>
      </c>
      <c r="I333" s="19" t="s">
        <v>1333</v>
      </c>
      <c r="J333" s="19" t="s">
        <v>33</v>
      </c>
      <c r="L333" s="14" t="str">
        <f>IFERROR(__xludf.DUMMYFUNCTION("IF(REGEXMATCH($B333,L$1),$D333,"""")"),"")</f>
        <v/>
      </c>
      <c r="M333" s="14" t="str">
        <f>IFERROR(__xludf.DUMMYFUNCTION("IF(REGEXMATCH($B333,M$1),$D333,"""")"),"")</f>
        <v/>
      </c>
      <c r="N333" s="14" t="str">
        <f>IFERROR(__xludf.DUMMYFUNCTION("IF(REGEXMATCH($B333,N$1),$D333,"""")"),"Undead Wizard")</f>
        <v>Undead Wizard</v>
      </c>
      <c r="O333" s="14" t="str">
        <f>IFERROR(__xludf.DUMMYFUNCTION("IF(REGEXMATCH($B333,O$1),$D333,"""")"),"")</f>
        <v/>
      </c>
      <c r="P333" s="14" t="str">
        <f>IFERROR(__xludf.DUMMYFUNCTION("IF(REGEXMATCH($B333,P$1),$D333,"""")"),"")</f>
        <v/>
      </c>
      <c r="Q333" s="14">
        <f>IFERROR(__xludf.DUMMYFUNCTION("IF($A333="""","""",LEN(REGEXREPLACE($I333,"",\s?"","""")))"),2.0)</f>
        <v>2</v>
      </c>
      <c r="S333" s="14"/>
      <c r="T333" s="14"/>
      <c r="U333" s="14"/>
      <c r="V333" s="14"/>
      <c r="W333" s="14"/>
      <c r="X333" s="14"/>
      <c r="Y333" s="14"/>
      <c r="Z333" s="14"/>
      <c r="AA333" s="14"/>
      <c r="AB333" s="14"/>
    </row>
    <row r="334" hidden="1">
      <c r="A334" s="20" t="s">
        <v>1497</v>
      </c>
      <c r="B334" s="88" t="s">
        <v>13</v>
      </c>
      <c r="C334" s="19">
        <v>2.0</v>
      </c>
      <c r="D334" s="19" t="s">
        <v>168</v>
      </c>
      <c r="E334" s="20" t="s">
        <v>1498</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f>
        <v/>
      </c>
      <c r="G334" s="21" t="s">
        <v>1499</v>
      </c>
      <c r="H334" s="19">
        <v>0.0</v>
      </c>
      <c r="I334" s="19" t="s">
        <v>1325</v>
      </c>
      <c r="J334" s="19" t="s">
        <v>69</v>
      </c>
      <c r="L334" s="14" t="str">
        <f>IFERROR(__xludf.DUMMYFUNCTION("IF(REGEXMATCH($B334,L$1),$D334,"""")"),"")</f>
        <v/>
      </c>
      <c r="M334" s="14" t="str">
        <f>IFERROR(__xludf.DUMMYFUNCTION("IF(REGEXMATCH($B334,M$1),$D334,"""")"),"")</f>
        <v/>
      </c>
      <c r="N334" s="14" t="str">
        <f>IFERROR(__xludf.DUMMYFUNCTION("IF(REGEXMATCH($B334,N$1),$D334,"""")"),"Construct Demon")</f>
        <v>Construct Demon</v>
      </c>
      <c r="O334" s="14" t="str">
        <f>IFERROR(__xludf.DUMMYFUNCTION("IF(REGEXMATCH($B334,O$1),$D334,"""")"),"")</f>
        <v/>
      </c>
      <c r="P334" s="14" t="str">
        <f>IFERROR(__xludf.DUMMYFUNCTION("IF(REGEXMATCH($B334,P$1),$D334,"""")"),"")</f>
        <v/>
      </c>
      <c r="Q334" s="14">
        <f>IFERROR(__xludf.DUMMYFUNCTION("IF($A334="""","""",LEN(REGEXREPLACE($I334,"",\s?"","""")))"),4.0)</f>
        <v>4</v>
      </c>
      <c r="S334" s="14"/>
      <c r="T334" s="14"/>
      <c r="U334" s="14"/>
      <c r="V334" s="14"/>
      <c r="W334" s="14"/>
      <c r="X334" s="14"/>
      <c r="Y334" s="14"/>
      <c r="Z334" s="14"/>
      <c r="AA334" s="14"/>
      <c r="AB334" s="14"/>
    </row>
    <row r="335" hidden="1">
      <c r="A335" s="43" t="s">
        <v>1500</v>
      </c>
      <c r="B335" s="43"/>
      <c r="C335" s="54">
        <v>2.0</v>
      </c>
      <c r="D335" s="54" t="s">
        <v>1501</v>
      </c>
      <c r="E335" s="55" t="s">
        <v>1502</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Crystal|.*crystal.*bury""),""Empty-Crystal"","""")&amp;IF(REGEXMATCH($E335,""Move|move""),""Move"","""")"),"Control Empty-Crystal")</f>
        <v>Control Empty-Crystal</v>
      </c>
      <c r="G335" s="56" t="s">
        <v>1503</v>
      </c>
      <c r="H335" s="57">
        <v>3.0</v>
      </c>
      <c r="I335" s="54" t="s">
        <v>1504</v>
      </c>
      <c r="J335" s="54" t="s">
        <v>33</v>
      </c>
      <c r="L335" s="14" t="str">
        <f>IFERROR(__xludf.DUMMYFUNCTION("IF(REGEXMATCH($B335,L$1),$D335,"""")"),"")</f>
        <v/>
      </c>
      <c r="M335" s="14" t="str">
        <f>IFERROR(__xludf.DUMMYFUNCTION("IF(REGEXMATCH($B335,M$1),$D335,"""")"),"")</f>
        <v/>
      </c>
      <c r="N335" s="14" t="str">
        <f>IFERROR(__xludf.DUMMYFUNCTION("IF(REGEXMATCH($B335,N$1),$D335,"""")"),"")</f>
        <v/>
      </c>
      <c r="O335" s="14" t="str">
        <f>IFERROR(__xludf.DUMMYFUNCTION("IF(REGEXMATCH($B335,O$1),$D335,"""")"),"")</f>
        <v/>
      </c>
      <c r="P335" s="14" t="str">
        <f>IFERROR(__xludf.DUMMYFUNCTION("IF(REGEXMATCH($B335,P$1),$D335,"""")"),"")</f>
        <v/>
      </c>
      <c r="Q335" s="14">
        <f>IFERROR(__xludf.DUMMYFUNCTION("IF($A335="""","""",LEN(REGEXREPLACE($I335,"",\s?"","""")))"),1.0)</f>
        <v>1</v>
      </c>
      <c r="S335" s="14"/>
      <c r="T335" s="14"/>
      <c r="U335" s="14"/>
      <c r="V335" s="14"/>
      <c r="W335" s="14"/>
      <c r="X335" s="14"/>
      <c r="Y335" s="14"/>
      <c r="Z335" s="14"/>
      <c r="AA335" s="14"/>
      <c r="AB335" s="14"/>
    </row>
    <row r="336">
      <c r="A336" s="10" t="s">
        <v>1505</v>
      </c>
      <c r="B336" s="10"/>
      <c r="C336" s="12">
        <v>1.0</v>
      </c>
      <c r="D336" s="12" t="s">
        <v>60</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13" t="s">
        <v>1506</v>
      </c>
      <c r="H336" s="12">
        <v>6.0</v>
      </c>
      <c r="I336" s="12" t="s">
        <v>1507</v>
      </c>
      <c r="J336" s="12" t="s">
        <v>33</v>
      </c>
      <c r="L336" s="14" t="str">
        <f>IFERROR(__xludf.DUMMYFUNCTION("IF(REGEXMATCH($B336,L$1),$D336,"""")"),"")</f>
        <v/>
      </c>
      <c r="M336" s="14" t="str">
        <f>IFERROR(__xludf.DUMMYFUNCTION("IF(REGEXMATCH($B336,M$1),$D336,"""")"),"")</f>
        <v/>
      </c>
      <c r="N336" s="14" t="str">
        <f>IFERROR(__xludf.DUMMYFUNCTION("IF(REGEXMATCH($B336,N$1),$D336,"""")"),"")</f>
        <v/>
      </c>
      <c r="O336" s="14" t="str">
        <f>IFERROR(__xludf.DUMMYFUNCTION("IF(REGEXMATCH($B336,O$1),$D336,"""")"),"")</f>
        <v/>
      </c>
      <c r="P336" s="14" t="str">
        <f>IFERROR(__xludf.DUMMYFUNCTION("IF(REGEXMATCH($B336,P$1),$D336,"""")"),"")</f>
        <v/>
      </c>
      <c r="Q336" s="14">
        <f>IFERROR(__xludf.DUMMYFUNCTION("IF($A336="""","""",LEN(REGEXREPLACE($I336,"",\s?"","""")))"),7.0)</f>
        <v>7</v>
      </c>
      <c r="S336" s="14"/>
      <c r="T336" s="14"/>
      <c r="U336" s="14"/>
      <c r="V336" s="14"/>
      <c r="W336" s="14"/>
      <c r="X336" s="14"/>
      <c r="Y336" s="14"/>
      <c r="Z336" s="14"/>
      <c r="AA336" s="14"/>
      <c r="AB336" s="14"/>
    </row>
    <row r="337" hidden="1">
      <c r="A337" s="20" t="s">
        <v>1508</v>
      </c>
      <c r="C337" s="19">
        <v>2.0</v>
      </c>
      <c r="D337" s="19" t="s">
        <v>1189</v>
      </c>
      <c r="E337" s="20" t="s">
        <v>256</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f>
        <v/>
      </c>
      <c r="G337" s="21" t="s">
        <v>1509</v>
      </c>
      <c r="H337" s="19">
        <v>2.0</v>
      </c>
      <c r="I337" s="19" t="s">
        <v>1510</v>
      </c>
      <c r="J337" s="19" t="s">
        <v>33</v>
      </c>
      <c r="L337" s="14" t="str">
        <f>IFERROR(__xludf.DUMMYFUNCTION("IF(REGEXMATCH($B337,L$1),$D337,"""")"),"")</f>
        <v/>
      </c>
      <c r="M337" s="14" t="str">
        <f>IFERROR(__xludf.DUMMYFUNCTION("IF(REGEXMATCH($B337,M$1),$D337,"""")"),"")</f>
        <v/>
      </c>
      <c r="N337" s="14" t="str">
        <f>IFERROR(__xludf.DUMMYFUNCTION("IF(REGEXMATCH($B337,N$1),$D337,"""")"),"")</f>
        <v/>
      </c>
      <c r="O337" s="14" t="str">
        <f>IFERROR(__xludf.DUMMYFUNCTION("IF(REGEXMATCH($B337,O$1),$D337,"""")"),"")</f>
        <v/>
      </c>
      <c r="P337" s="14" t="str">
        <f>IFERROR(__xludf.DUMMYFUNCTION("IF(REGEXMATCH($B337,P$1),$D337,"""")"),"")</f>
        <v/>
      </c>
      <c r="Q337" s="14">
        <f>IFERROR(__xludf.DUMMYFUNCTION("IF($A337="""","""",LEN(REGEXREPLACE($I337,"",\s?"","""")))"),3.0)</f>
        <v>3</v>
      </c>
      <c r="S337" s="14"/>
      <c r="T337" s="14"/>
      <c r="U337" s="14"/>
      <c r="V337" s="14"/>
      <c r="W337" s="14"/>
      <c r="X337" s="14"/>
      <c r="Y337" s="14"/>
      <c r="Z337" s="14"/>
      <c r="AA337" s="14"/>
      <c r="AB337" s="14"/>
    </row>
    <row r="338" hidden="1">
      <c r="A338" s="43" t="s">
        <v>1511</v>
      </c>
      <c r="B338" s="43"/>
      <c r="C338" s="54">
        <v>2.0</v>
      </c>
      <c r="D338" s="54" t="s">
        <v>1462</v>
      </c>
      <c r="E338" s="55" t="s">
        <v>1512</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Crystal|.*crystal.*bury""),""Empty-Crystal"","""")&amp;IF(REGEXMATCH($E338,""Move|move""),""Move"","""")"),"Control Empty-Crystal")</f>
        <v>Control Empty-Crystal</v>
      </c>
      <c r="G338" s="56" t="s">
        <v>1513</v>
      </c>
      <c r="H338" s="54">
        <v>9.0</v>
      </c>
      <c r="I338" s="54" t="s">
        <v>1514</v>
      </c>
      <c r="J338" s="57" t="s">
        <v>69</v>
      </c>
      <c r="L338" s="14" t="str">
        <f>IFERROR(__xludf.DUMMYFUNCTION("IF(REGEXMATCH($B338,L$1),$D338,"""")"),"")</f>
        <v/>
      </c>
      <c r="M338" s="14" t="str">
        <f>IFERROR(__xludf.DUMMYFUNCTION("IF(REGEXMATCH($B338,M$1),$D338,"""")"),"")</f>
        <v/>
      </c>
      <c r="N338" s="14" t="str">
        <f>IFERROR(__xludf.DUMMYFUNCTION("IF(REGEXMATCH($B338,N$1),$D338,"""")"),"")</f>
        <v/>
      </c>
      <c r="O338" s="14" t="str">
        <f>IFERROR(__xludf.DUMMYFUNCTION("IF(REGEXMATCH($B338,O$1),$D338,"""")"),"")</f>
        <v/>
      </c>
      <c r="P338" s="14" t="str">
        <f>IFERROR(__xludf.DUMMYFUNCTION("IF(REGEXMATCH($B338,P$1),$D338,"""")"),"")</f>
        <v/>
      </c>
      <c r="Q338" s="14">
        <f>IFERROR(__xludf.DUMMYFUNCTION("IF($A338="""","""",LEN(REGEXREPLACE($I338,"",\s?"","""")))"),6.0)</f>
        <v>6</v>
      </c>
      <c r="S338" s="14"/>
      <c r="T338" s="14"/>
      <c r="U338" s="14"/>
      <c r="V338" s="14"/>
      <c r="W338" s="14"/>
      <c r="X338" s="14"/>
      <c r="Y338" s="14"/>
      <c r="Z338" s="14"/>
      <c r="AA338" s="14"/>
      <c r="AB338" s="14"/>
    </row>
    <row r="339" hidden="1">
      <c r="A339" s="43" t="s">
        <v>1515</v>
      </c>
      <c r="B339" s="43"/>
      <c r="C339" s="54">
        <v>2.0</v>
      </c>
      <c r="D339" s="54" t="s">
        <v>1516</v>
      </c>
      <c r="E339" s="91" t="s">
        <v>1517</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Crystal|.*crystal.*bury""),""Empty-Crystal"","""")&amp;IF(REGEXMATCH($E339,""Move|move""),""Move"","""")"),"Ramp Control Empty-Crystal")</f>
        <v>Ramp Control Empty-Crystal</v>
      </c>
      <c r="G339" s="56" t="s">
        <v>1518</v>
      </c>
      <c r="H339" s="54">
        <v>6.0</v>
      </c>
      <c r="I339" s="54" t="s">
        <v>1519</v>
      </c>
      <c r="J339" s="57" t="s">
        <v>33</v>
      </c>
      <c r="L339" s="14" t="str">
        <f>IFERROR(__xludf.DUMMYFUNCTION("IF(REGEXMATCH($B339,L$1),$D339,"""")"),"")</f>
        <v/>
      </c>
      <c r="M339" s="14" t="str">
        <f>IFERROR(__xludf.DUMMYFUNCTION("IF(REGEXMATCH($B339,M$1),$D339,"""")"),"")</f>
        <v/>
      </c>
      <c r="N339" s="14" t="str">
        <f>IFERROR(__xludf.DUMMYFUNCTION("IF(REGEXMATCH($B339,N$1),$D339,"""")"),"")</f>
        <v/>
      </c>
      <c r="O339" s="14" t="str">
        <f>IFERROR(__xludf.DUMMYFUNCTION("IF(REGEXMATCH($B339,O$1),$D339,"""")"),"")</f>
        <v/>
      </c>
      <c r="P339" s="14" t="str">
        <f>IFERROR(__xludf.DUMMYFUNCTION("IF(REGEXMATCH($B339,P$1),$D339,"""")"),"")</f>
        <v/>
      </c>
      <c r="Q339" s="14">
        <f>IFERROR(__xludf.DUMMYFUNCTION("IF($A339="""","""",LEN(REGEXREPLACE($I339,"",\s?"","""")))"),4.0)</f>
        <v>4</v>
      </c>
      <c r="S339" s="14"/>
      <c r="T339" s="14"/>
      <c r="U339" s="14"/>
      <c r="V339" s="14"/>
      <c r="W339" s="14"/>
      <c r="X339" s="14"/>
      <c r="Y339" s="14"/>
      <c r="Z339" s="14"/>
      <c r="AA339" s="14"/>
      <c r="AB339" s="14"/>
    </row>
    <row r="340" hidden="1">
      <c r="A340" s="20" t="s">
        <v>1520</v>
      </c>
      <c r="B340" s="20"/>
      <c r="C340" s="19">
        <v>2.0</v>
      </c>
      <c r="D340" s="19"/>
      <c r="E340" s="20" t="s">
        <v>1521</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Crystal|.*crystal.*bury""),""Empty-Crystal"","""")&amp;IF(REGEXMATCH($E340,""Move|move""),""Move"","""")"),"Ascend ")</f>
        <v>Ascend </v>
      </c>
      <c r="G340" s="21" t="s">
        <v>1522</v>
      </c>
      <c r="H340" s="19">
        <v>2.0</v>
      </c>
      <c r="I340" s="19" t="s">
        <v>1510</v>
      </c>
      <c r="J340" s="19" t="s">
        <v>69</v>
      </c>
      <c r="L340" s="14" t="str">
        <f>IFERROR(__xludf.DUMMYFUNCTION("IF(REGEXMATCH($B340,L$1),$D340,"""")"),"")</f>
        <v/>
      </c>
      <c r="M340" s="14" t="str">
        <f>IFERROR(__xludf.DUMMYFUNCTION("IF(REGEXMATCH($B340,M$1),$D340,"""")"),"")</f>
        <v/>
      </c>
      <c r="N340" s="14" t="str">
        <f>IFERROR(__xludf.DUMMYFUNCTION("IF(REGEXMATCH($B340,N$1),$D340,"""")"),"")</f>
        <v/>
      </c>
      <c r="O340" s="14" t="str">
        <f>IFERROR(__xludf.DUMMYFUNCTION("IF(REGEXMATCH($B340,O$1),$D340,"""")"),"")</f>
        <v/>
      </c>
      <c r="P340" s="14" t="str">
        <f>IFERROR(__xludf.DUMMYFUNCTION("IF(REGEXMATCH($B340,P$1),$D340,"""")"),"")</f>
        <v/>
      </c>
      <c r="Q340" s="14">
        <f>IFERROR(__xludf.DUMMYFUNCTION("IF($A340="""","""",LEN(REGEXREPLACE($I340,"",\s?"","""")))"),3.0)</f>
        <v>3</v>
      </c>
      <c r="S340" s="14"/>
      <c r="T340" s="14"/>
      <c r="U340" s="14"/>
      <c r="V340" s="14"/>
      <c r="W340" s="14"/>
      <c r="X340" s="14"/>
      <c r="Y340" s="14"/>
      <c r="Z340" s="14"/>
      <c r="AA340" s="14"/>
      <c r="AB340" s="14"/>
    </row>
    <row r="341">
      <c r="A341" s="92" t="s">
        <v>1523</v>
      </c>
      <c r="B341" s="10"/>
      <c r="C341" s="12">
        <v>1.0</v>
      </c>
      <c r="D341" s="24" t="s">
        <v>77</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3" t="s">
        <v>1524</v>
      </c>
      <c r="H341" s="12">
        <v>3.0</v>
      </c>
      <c r="I341" s="12" t="s">
        <v>1519</v>
      </c>
      <c r="J341" s="24" t="s">
        <v>33</v>
      </c>
      <c r="L341" s="14" t="str">
        <f>IFERROR(__xludf.DUMMYFUNCTION("IF(REGEXMATCH($B341,L$1),$D341,"""")"),"")</f>
        <v/>
      </c>
      <c r="M341" s="14" t="str">
        <f>IFERROR(__xludf.DUMMYFUNCTION("IF(REGEXMATCH($B341,M$1),$D341,"""")"),"")</f>
        <v/>
      </c>
      <c r="N341" s="14" t="str">
        <f>IFERROR(__xludf.DUMMYFUNCTION("IF(REGEXMATCH($B341,N$1),$D341,"""")"),"")</f>
        <v/>
      </c>
      <c r="O341" s="14" t="str">
        <f>IFERROR(__xludf.DUMMYFUNCTION("IF(REGEXMATCH($B341,O$1),$D341,"""")"),"")</f>
        <v/>
      </c>
      <c r="P341" s="14" t="str">
        <f>IFERROR(__xludf.DUMMYFUNCTION("IF(REGEXMATCH($B341,P$1),$D341,"""")"),"")</f>
        <v/>
      </c>
      <c r="Q341" s="14">
        <f>IFERROR(__xludf.DUMMYFUNCTION("IF($A341="""","""",LEN(REGEXREPLACE($I341,"",\s?"","""")))"),4.0)</f>
        <v>4</v>
      </c>
      <c r="S341" s="14"/>
      <c r="T341" s="14"/>
      <c r="U341" s="14"/>
      <c r="V341" s="14"/>
      <c r="W341" s="14"/>
      <c r="X341" s="14"/>
      <c r="Y341" s="14"/>
      <c r="Z341" s="14"/>
      <c r="AA341" s="14"/>
      <c r="AB341" s="14"/>
    </row>
    <row r="342" hidden="1">
      <c r="A342" s="20" t="s">
        <v>1525</v>
      </c>
      <c r="B342" s="20"/>
      <c r="C342" s="19">
        <v>2.0</v>
      </c>
      <c r="D342" s="19" t="s">
        <v>1526</v>
      </c>
      <c r="E342" s="20" t="s">
        <v>1527</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21" t="s">
        <v>725</v>
      </c>
      <c r="H342" s="19">
        <v>0.0</v>
      </c>
      <c r="I342" s="19" t="s">
        <v>1510</v>
      </c>
      <c r="J342" s="19" t="s">
        <v>69</v>
      </c>
      <c r="L342" s="14" t="str">
        <f>IFERROR(__xludf.DUMMYFUNCTION("IF(REGEXMATCH($B342,L$1),$D342,"""")"),"")</f>
        <v/>
      </c>
      <c r="M342" s="14" t="str">
        <f>IFERROR(__xludf.DUMMYFUNCTION("IF(REGEXMATCH($B342,M$1),$D342,"""")"),"")</f>
        <v/>
      </c>
      <c r="N342" s="14" t="str">
        <f>IFERROR(__xludf.DUMMYFUNCTION("IF(REGEXMATCH($B342,N$1),$D342,"""")"),"")</f>
        <v/>
      </c>
      <c r="O342" s="14" t="str">
        <f>IFERROR(__xludf.DUMMYFUNCTION("IF(REGEXMATCH($B342,O$1),$D342,"""")"),"")</f>
        <v/>
      </c>
      <c r="P342" s="14" t="str">
        <f>IFERROR(__xludf.DUMMYFUNCTION("IF(REGEXMATCH($B342,P$1),$D342,"""")"),"")</f>
        <v/>
      </c>
      <c r="Q342" s="14">
        <f>IFERROR(__xludf.DUMMYFUNCTION("IF($A342="""","""",LEN(REGEXREPLACE($I342,"",\s?"","""")))"),3.0)</f>
        <v>3</v>
      </c>
      <c r="S342" s="14"/>
      <c r="T342" s="14"/>
      <c r="U342" s="14"/>
      <c r="V342" s="14"/>
      <c r="W342" s="14"/>
      <c r="X342" s="14"/>
      <c r="Y342" s="14"/>
      <c r="Z342" s="14"/>
      <c r="AA342" s="14"/>
      <c r="AB342" s="14"/>
    </row>
    <row r="343">
      <c r="A343" s="10" t="s">
        <v>1528</v>
      </c>
      <c r="B343" s="10"/>
      <c r="C343" s="19">
        <v>1.0</v>
      </c>
      <c r="D343" s="12"/>
      <c r="E343" s="10" t="s">
        <v>1529</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3" t="s">
        <v>1530</v>
      </c>
      <c r="H343" s="12">
        <v>2.0</v>
      </c>
      <c r="I343" s="12" t="s">
        <v>1531</v>
      </c>
      <c r="J343" s="12" t="s">
        <v>39</v>
      </c>
      <c r="L343" s="14" t="str">
        <f>IFERROR(__xludf.DUMMYFUNCTION("IF(REGEXMATCH($B343,L$1),$D343,"""")"),"")</f>
        <v/>
      </c>
      <c r="M343" s="14" t="str">
        <f>IFERROR(__xludf.DUMMYFUNCTION("IF(REGEXMATCH($B343,M$1),$D343,"""")"),"")</f>
        <v/>
      </c>
      <c r="N343" s="14" t="str">
        <f>IFERROR(__xludf.DUMMYFUNCTION("IF(REGEXMATCH($B343,N$1),$D343,"""")"),"")</f>
        <v/>
      </c>
      <c r="O343" s="14" t="str">
        <f>IFERROR(__xludf.DUMMYFUNCTION("IF(REGEXMATCH($B343,O$1),$D343,"""")"),"")</f>
        <v/>
      </c>
      <c r="P343" s="14" t="str">
        <f>IFERROR(__xludf.DUMMYFUNCTION("IF(REGEXMATCH($B343,P$1),$D343,"""")"),"")</f>
        <v/>
      </c>
      <c r="Q343" s="14">
        <f>IFERROR(__xludf.DUMMYFUNCTION("IF($A343="""","""",LEN(REGEXREPLACE($I343,"",\s?"","""")))"),2.0)</f>
        <v>2</v>
      </c>
      <c r="S343" s="14"/>
      <c r="T343" s="14"/>
      <c r="U343" s="14"/>
      <c r="V343" s="14"/>
      <c r="W343" s="14"/>
      <c r="X343" s="14"/>
      <c r="Y343" s="14"/>
      <c r="Z343" s="14"/>
      <c r="AA343" s="14"/>
      <c r="AB343" s="14"/>
    </row>
    <row r="344">
      <c r="A344" s="10" t="s">
        <v>1532</v>
      </c>
      <c r="B344" s="20"/>
      <c r="C344" s="19">
        <v>1.0</v>
      </c>
      <c r="D344" s="12"/>
      <c r="E344" s="10" t="s">
        <v>1533</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3" t="s">
        <v>1534</v>
      </c>
      <c r="H344" s="12">
        <v>2.0</v>
      </c>
      <c r="I344" s="12" t="s">
        <v>1531</v>
      </c>
      <c r="J344" s="12" t="s">
        <v>39</v>
      </c>
      <c r="L344" s="14" t="str">
        <f>IFERROR(__xludf.DUMMYFUNCTION("IF(REGEXMATCH($B344,L$1),$D344,"""")"),"")</f>
        <v/>
      </c>
      <c r="M344" s="14" t="str">
        <f>IFERROR(__xludf.DUMMYFUNCTION("IF(REGEXMATCH($B344,M$1),$D344,"""")"),"")</f>
        <v/>
      </c>
      <c r="N344" s="14" t="str">
        <f>IFERROR(__xludf.DUMMYFUNCTION("IF(REGEXMATCH($B344,N$1),$D344,"""")"),"")</f>
        <v/>
      </c>
      <c r="O344" s="14" t="str">
        <f>IFERROR(__xludf.DUMMYFUNCTION("IF(REGEXMATCH($B344,O$1),$D344,"""")"),"")</f>
        <v/>
      </c>
      <c r="P344" s="14" t="str">
        <f>IFERROR(__xludf.DUMMYFUNCTION("IF(REGEXMATCH($B344,P$1),$D344,"""")"),"")</f>
        <v/>
      </c>
      <c r="Q344" s="14">
        <f>IFERROR(__xludf.DUMMYFUNCTION("IF($A344="""","""",LEN(REGEXREPLACE($I344,"",\s?"","""")))"),2.0)</f>
        <v>2</v>
      </c>
      <c r="S344" s="14"/>
      <c r="T344" s="14"/>
      <c r="U344" s="14"/>
      <c r="V344" s="14"/>
      <c r="W344" s="14"/>
      <c r="X344" s="14"/>
      <c r="Y344" s="14"/>
      <c r="Z344" s="14"/>
      <c r="AA344" s="14"/>
      <c r="AB344" s="14"/>
    </row>
    <row r="345">
      <c r="C345" s="93"/>
      <c r="D345" s="93"/>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60"/>
      <c r="H345" s="93"/>
      <c r="I345" s="93"/>
      <c r="J345" s="93"/>
      <c r="L345" s="14" t="str">
        <f>IFERROR(__xludf.DUMMYFUNCTION("IF(REGEXMATCH($B345,L$1),$D345,"""")"),"")</f>
        <v/>
      </c>
      <c r="M345" s="14" t="str">
        <f>IFERROR(__xludf.DUMMYFUNCTION("IF(REGEXMATCH($B345,M$1),$D345,"""")"),"")</f>
        <v/>
      </c>
      <c r="N345" s="14" t="str">
        <f>IFERROR(__xludf.DUMMYFUNCTION("IF(REGEXMATCH($B345,N$1),$D345,"""")"),"")</f>
        <v/>
      </c>
      <c r="O345" s="14" t="str">
        <f>IFERROR(__xludf.DUMMYFUNCTION("IF(REGEXMATCH($B345,O$1),$D345,"""")"),"")</f>
        <v/>
      </c>
      <c r="P345" s="14" t="str">
        <f>IFERROR(__xludf.DUMMYFUNCTION("IF(REGEXMATCH($B345,P$1),$D345,"""")"),"")</f>
        <v/>
      </c>
      <c r="Q345" s="14" t="str">
        <f>IFERROR(__xludf.DUMMYFUNCTION("IF($A345="""","""",LEN(REGEXREPLACE($I345,"",\s?"","""")))"),"")</f>
        <v/>
      </c>
      <c r="S345" s="14"/>
      <c r="T345" s="14"/>
      <c r="U345" s="14"/>
      <c r="V345" s="14"/>
      <c r="W345" s="14"/>
      <c r="X345" s="14"/>
      <c r="Y345" s="14"/>
      <c r="Z345" s="14"/>
      <c r="AA345" s="14"/>
      <c r="AB345" s="14"/>
    </row>
    <row r="346">
      <c r="C346" s="93"/>
      <c r="D346" s="93"/>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60"/>
      <c r="H346" s="93"/>
      <c r="I346" s="93"/>
      <c r="J346" s="93"/>
      <c r="L346" s="14" t="str">
        <f>IFERROR(__xludf.DUMMYFUNCTION("IF(REGEXMATCH($B346,L$1),$D346,"""")"),"")</f>
        <v/>
      </c>
      <c r="M346" s="14" t="str">
        <f>IFERROR(__xludf.DUMMYFUNCTION("IF(REGEXMATCH($B346,M$1),$D346,"""")"),"")</f>
        <v/>
      </c>
      <c r="N346" s="14" t="str">
        <f>IFERROR(__xludf.DUMMYFUNCTION("IF(REGEXMATCH($B346,N$1),$D346,"""")"),"")</f>
        <v/>
      </c>
      <c r="O346" s="14" t="str">
        <f>IFERROR(__xludf.DUMMYFUNCTION("IF(REGEXMATCH($B346,O$1),$D346,"""")"),"")</f>
        <v/>
      </c>
      <c r="P346" s="14" t="str">
        <f>IFERROR(__xludf.DUMMYFUNCTION("IF(REGEXMATCH($B346,P$1),$D346,"""")"),"")</f>
        <v/>
      </c>
      <c r="Q346" s="14" t="str">
        <f>IFERROR(__xludf.DUMMYFUNCTION("IF($A346="""","""",LEN(REGEXREPLACE($I346,"",\s?"","""")))"),"")</f>
        <v/>
      </c>
      <c r="S346" s="14"/>
      <c r="T346" s="14"/>
      <c r="U346" s="14"/>
      <c r="V346" s="14"/>
      <c r="W346" s="14"/>
      <c r="X346" s="14"/>
      <c r="Y346" s="14"/>
      <c r="Z346" s="14"/>
      <c r="AA346" s="14"/>
      <c r="AB346" s="14"/>
    </row>
    <row r="347">
      <c r="C347" s="93"/>
      <c r="D347" s="93"/>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60"/>
      <c r="H347" s="93"/>
      <c r="I347" s="93"/>
      <c r="J347" s="93"/>
      <c r="L347" s="14" t="str">
        <f>IFERROR(__xludf.DUMMYFUNCTION("IF(REGEXMATCH($B347,L$1),$D347,"""")"),"")</f>
        <v/>
      </c>
      <c r="M347" s="14" t="str">
        <f>IFERROR(__xludf.DUMMYFUNCTION("IF(REGEXMATCH($B347,M$1),$D347,"""")"),"")</f>
        <v/>
      </c>
      <c r="N347" s="14" t="str">
        <f>IFERROR(__xludf.DUMMYFUNCTION("IF(REGEXMATCH($B347,N$1),$D347,"""")"),"")</f>
        <v/>
      </c>
      <c r="O347" s="14" t="str">
        <f>IFERROR(__xludf.DUMMYFUNCTION("IF(REGEXMATCH($B347,O$1),$D347,"""")"),"")</f>
        <v/>
      </c>
      <c r="P347" s="14" t="str">
        <f>IFERROR(__xludf.DUMMYFUNCTION("IF(REGEXMATCH($B347,P$1),$D347,"""")"),"")</f>
        <v/>
      </c>
      <c r="Q347" s="14" t="str">
        <f>IFERROR(__xludf.DUMMYFUNCTION("IF($A347="""","""",LEN(REGEXREPLACE($I347,"",\s?"","""")))"),"")</f>
        <v/>
      </c>
      <c r="S347" s="14"/>
      <c r="T347" s="14"/>
      <c r="U347" s="14"/>
      <c r="V347" s="14"/>
      <c r="W347" s="14"/>
      <c r="X347" s="14"/>
      <c r="Y347" s="14"/>
      <c r="Z347" s="14"/>
      <c r="AA347" s="14"/>
      <c r="AB347" s="14"/>
    </row>
    <row r="348">
      <c r="C348" s="93"/>
      <c r="D348" s="93"/>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60"/>
      <c r="H348" s="93"/>
      <c r="I348" s="93"/>
      <c r="J348" s="93"/>
      <c r="L348" s="14" t="str">
        <f>IFERROR(__xludf.DUMMYFUNCTION("IF(REGEXMATCH($B348,L$1),$D348,"""")"),"")</f>
        <v/>
      </c>
      <c r="M348" s="14" t="str">
        <f>IFERROR(__xludf.DUMMYFUNCTION("IF(REGEXMATCH($B348,M$1),$D348,"""")"),"")</f>
        <v/>
      </c>
      <c r="N348" s="14" t="str">
        <f>IFERROR(__xludf.DUMMYFUNCTION("IF(REGEXMATCH($B348,N$1),$D348,"""")"),"")</f>
        <v/>
      </c>
      <c r="O348" s="14" t="str">
        <f>IFERROR(__xludf.DUMMYFUNCTION("IF(REGEXMATCH($B348,O$1),$D348,"""")"),"")</f>
        <v/>
      </c>
      <c r="P348" s="14" t="str">
        <f>IFERROR(__xludf.DUMMYFUNCTION("IF(REGEXMATCH($B348,P$1),$D348,"""")"),"")</f>
        <v/>
      </c>
      <c r="Q348" s="14" t="str">
        <f>IFERROR(__xludf.DUMMYFUNCTION("IF($A348="""","""",LEN(REGEXREPLACE($I348,"",\s?"","""")))"),"")</f>
        <v/>
      </c>
      <c r="S348" s="14"/>
      <c r="T348" s="14"/>
      <c r="U348" s="14"/>
      <c r="V348" s="14"/>
      <c r="W348" s="14"/>
      <c r="X348" s="14"/>
      <c r="Y348" s="14"/>
      <c r="Z348" s="14"/>
      <c r="AA348" s="14"/>
      <c r="AB348" s="14"/>
    </row>
    <row r="349">
      <c r="C349" s="93"/>
      <c r="D349" s="93"/>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60"/>
      <c r="H349" s="93"/>
      <c r="I349" s="93"/>
      <c r="J349" s="93"/>
      <c r="L349" s="14" t="str">
        <f>IFERROR(__xludf.DUMMYFUNCTION("IF(REGEXMATCH($B349,L$1),$D349,"""")"),"")</f>
        <v/>
      </c>
      <c r="M349" s="14" t="str">
        <f>IFERROR(__xludf.DUMMYFUNCTION("IF(REGEXMATCH($B349,M$1),$D349,"""")"),"")</f>
        <v/>
      </c>
      <c r="N349" s="14" t="str">
        <f>IFERROR(__xludf.DUMMYFUNCTION("IF(REGEXMATCH($B349,N$1),$D349,"""")"),"")</f>
        <v/>
      </c>
      <c r="O349" s="14" t="str">
        <f>IFERROR(__xludf.DUMMYFUNCTION("IF(REGEXMATCH($B349,O$1),$D349,"""")"),"")</f>
        <v/>
      </c>
      <c r="P349" s="14" t="str">
        <f>IFERROR(__xludf.DUMMYFUNCTION("IF(REGEXMATCH($B349,P$1),$D349,"""")"),"")</f>
        <v/>
      </c>
      <c r="Q349" s="14" t="str">
        <f>IFERROR(__xludf.DUMMYFUNCTION("IF($A349="""","""",LEN(REGEXREPLACE($I349,"",\s?"","""")))"),"")</f>
        <v/>
      </c>
      <c r="S349" s="14"/>
      <c r="T349" s="14"/>
      <c r="U349" s="14"/>
      <c r="V349" s="14"/>
      <c r="W349" s="14"/>
      <c r="X349" s="14"/>
      <c r="Y349" s="14"/>
      <c r="Z349" s="14"/>
      <c r="AA349" s="14"/>
      <c r="AB349" s="14"/>
    </row>
    <row r="350">
      <c r="C350" s="93"/>
      <c r="D350" s="93"/>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60"/>
      <c r="H350" s="93"/>
      <c r="I350" s="93"/>
      <c r="J350" s="93"/>
      <c r="L350" s="14" t="str">
        <f>IFERROR(__xludf.DUMMYFUNCTION("IF(REGEXMATCH($B350,L$1),$D350,"""")"),"")</f>
        <v/>
      </c>
      <c r="M350" s="14" t="str">
        <f>IFERROR(__xludf.DUMMYFUNCTION("IF(REGEXMATCH($B350,M$1),$D350,"""")"),"")</f>
        <v/>
      </c>
      <c r="N350" s="14" t="str">
        <f>IFERROR(__xludf.DUMMYFUNCTION("IF(REGEXMATCH($B350,N$1),$D350,"""")"),"")</f>
        <v/>
      </c>
      <c r="O350" s="14" t="str">
        <f>IFERROR(__xludf.DUMMYFUNCTION("IF(REGEXMATCH($B350,O$1),$D350,"""")"),"")</f>
        <v/>
      </c>
      <c r="P350" s="14" t="str">
        <f>IFERROR(__xludf.DUMMYFUNCTION("IF(REGEXMATCH($B350,P$1),$D350,"""")"),"")</f>
        <v/>
      </c>
      <c r="Q350" s="14" t="str">
        <f>IFERROR(__xludf.DUMMYFUNCTION("IF($A350="""","""",LEN(REGEXREPLACE($I350,"",\s?"","""")))"),"")</f>
        <v/>
      </c>
      <c r="S350" s="14"/>
      <c r="T350" s="14"/>
      <c r="U350" s="14"/>
      <c r="V350" s="14"/>
      <c r="W350" s="14"/>
      <c r="X350" s="14"/>
      <c r="Y350" s="14"/>
      <c r="Z350" s="14"/>
      <c r="AA350" s="14"/>
      <c r="AB350" s="14"/>
    </row>
    <row r="351">
      <c r="C351" s="93"/>
      <c r="D351" s="93"/>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60"/>
      <c r="H351" s="93"/>
      <c r="I351" s="93"/>
      <c r="J351" s="93"/>
      <c r="L351" s="14" t="str">
        <f>IFERROR(__xludf.DUMMYFUNCTION("IF(REGEXMATCH($B351,L$1),$D351,"""")"),"")</f>
        <v/>
      </c>
      <c r="M351" s="14" t="str">
        <f>IFERROR(__xludf.DUMMYFUNCTION("IF(REGEXMATCH($B351,M$1),$D351,"""")"),"")</f>
        <v/>
      </c>
      <c r="N351" s="14" t="str">
        <f>IFERROR(__xludf.DUMMYFUNCTION("IF(REGEXMATCH($B351,N$1),$D351,"""")"),"")</f>
        <v/>
      </c>
      <c r="O351" s="14" t="str">
        <f>IFERROR(__xludf.DUMMYFUNCTION("IF(REGEXMATCH($B351,O$1),$D351,"""")"),"")</f>
        <v/>
      </c>
      <c r="P351" s="14" t="str">
        <f>IFERROR(__xludf.DUMMYFUNCTION("IF(REGEXMATCH($B351,P$1),$D351,"""")"),"")</f>
        <v/>
      </c>
      <c r="Q351" s="14" t="str">
        <f>IFERROR(__xludf.DUMMYFUNCTION("IF($A351="""","""",LEN(REGEXREPLACE($I351,"",\s?"","""")))"),"")</f>
        <v/>
      </c>
      <c r="S351" s="14"/>
      <c r="T351" s="14"/>
      <c r="U351" s="14"/>
      <c r="V351" s="14"/>
      <c r="W351" s="14"/>
      <c r="X351" s="14"/>
      <c r="Y351" s="14"/>
      <c r="Z351" s="14"/>
      <c r="AA351" s="14"/>
      <c r="AB351" s="14"/>
    </row>
    <row r="352">
      <c r="C352" s="93"/>
      <c r="D352" s="93"/>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60"/>
      <c r="H352" s="93"/>
      <c r="I352" s="93"/>
      <c r="J352" s="93"/>
      <c r="L352" s="14" t="str">
        <f>IFERROR(__xludf.DUMMYFUNCTION("IF(REGEXMATCH($B352,L$1),$D352,"""")"),"")</f>
        <v/>
      </c>
      <c r="M352" s="14" t="str">
        <f>IFERROR(__xludf.DUMMYFUNCTION("IF(REGEXMATCH($B352,M$1),$D352,"""")"),"")</f>
        <v/>
      </c>
      <c r="N352" s="14" t="str">
        <f>IFERROR(__xludf.DUMMYFUNCTION("IF(REGEXMATCH($B352,N$1),$D352,"""")"),"")</f>
        <v/>
      </c>
      <c r="O352" s="14" t="str">
        <f>IFERROR(__xludf.DUMMYFUNCTION("IF(REGEXMATCH($B352,O$1),$D352,"""")"),"")</f>
        <v/>
      </c>
      <c r="P352" s="14" t="str">
        <f>IFERROR(__xludf.DUMMYFUNCTION("IF(REGEXMATCH($B352,P$1),$D352,"""")"),"")</f>
        <v/>
      </c>
      <c r="Q352" s="14" t="str">
        <f>IFERROR(__xludf.DUMMYFUNCTION("IF($A352="""","""",LEN(REGEXREPLACE($I352,"",\s?"","""")))"),"")</f>
        <v/>
      </c>
      <c r="S352" s="14"/>
      <c r="T352" s="14"/>
      <c r="U352" s="14"/>
      <c r="V352" s="14"/>
      <c r="W352" s="14"/>
      <c r="X352" s="14"/>
      <c r="Y352" s="14"/>
      <c r="Z352" s="14"/>
      <c r="AA352" s="14"/>
      <c r="AB352" s="14"/>
    </row>
    <row r="353">
      <c r="C353" s="93"/>
      <c r="D353" s="93"/>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60"/>
      <c r="H353" s="93"/>
      <c r="I353" s="93"/>
      <c r="J353" s="93"/>
      <c r="L353" s="14" t="str">
        <f>IFERROR(__xludf.DUMMYFUNCTION("IF(REGEXMATCH($B353,L$1),$D353,"""")"),"")</f>
        <v/>
      </c>
      <c r="M353" s="14" t="str">
        <f>IFERROR(__xludf.DUMMYFUNCTION("IF(REGEXMATCH($B353,M$1),$D353,"""")"),"")</f>
        <v/>
      </c>
      <c r="N353" s="14" t="str">
        <f>IFERROR(__xludf.DUMMYFUNCTION("IF(REGEXMATCH($B353,N$1),$D353,"""")"),"")</f>
        <v/>
      </c>
      <c r="O353" s="14" t="str">
        <f>IFERROR(__xludf.DUMMYFUNCTION("IF(REGEXMATCH($B353,O$1),$D353,"""")"),"")</f>
        <v/>
      </c>
      <c r="P353" s="14" t="str">
        <f>IFERROR(__xludf.DUMMYFUNCTION("IF(REGEXMATCH($B353,P$1),$D353,"""")"),"")</f>
        <v/>
      </c>
      <c r="Q353" s="14" t="str">
        <f>IFERROR(__xludf.DUMMYFUNCTION("IF($A353="""","""",LEN(REGEXREPLACE($I353,"",\s?"","""")))"),"")</f>
        <v/>
      </c>
      <c r="S353" s="14"/>
      <c r="T353" s="14"/>
      <c r="U353" s="14"/>
      <c r="V353" s="14"/>
      <c r="W353" s="14"/>
      <c r="X353" s="14"/>
      <c r="Y353" s="14"/>
      <c r="Z353" s="14"/>
      <c r="AA353" s="14"/>
      <c r="AB353" s="14"/>
    </row>
    <row r="354">
      <c r="C354" s="93"/>
      <c r="D354" s="93"/>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60"/>
      <c r="H354" s="93"/>
      <c r="I354" s="93"/>
      <c r="J354" s="93"/>
      <c r="L354" s="14" t="str">
        <f>IFERROR(__xludf.DUMMYFUNCTION("IF(REGEXMATCH($B354,L$1),$D354,"""")"),"")</f>
        <v/>
      </c>
      <c r="M354" s="14" t="str">
        <f>IFERROR(__xludf.DUMMYFUNCTION("IF(REGEXMATCH($B354,M$1),$D354,"""")"),"")</f>
        <v/>
      </c>
      <c r="N354" s="14" t="str">
        <f>IFERROR(__xludf.DUMMYFUNCTION("IF(REGEXMATCH($B354,N$1),$D354,"""")"),"")</f>
        <v/>
      </c>
      <c r="O354" s="14" t="str">
        <f>IFERROR(__xludf.DUMMYFUNCTION("IF(REGEXMATCH($B354,O$1),$D354,"""")"),"")</f>
        <v/>
      </c>
      <c r="P354" s="14" t="str">
        <f>IFERROR(__xludf.DUMMYFUNCTION("IF(REGEXMATCH($B354,P$1),$D354,"""")"),"")</f>
        <v/>
      </c>
      <c r="Q354" s="14" t="str">
        <f>IFERROR(__xludf.DUMMYFUNCTION("IF($A354="""","""",LEN(REGEXREPLACE($I354,"",\s?"","""")))"),"")</f>
        <v/>
      </c>
      <c r="S354" s="14"/>
      <c r="T354" s="14"/>
      <c r="U354" s="14"/>
      <c r="V354" s="14"/>
      <c r="W354" s="14"/>
      <c r="X354" s="14"/>
      <c r="Y354" s="14"/>
      <c r="Z354" s="14"/>
      <c r="AA354" s="14"/>
      <c r="AB354" s="14"/>
    </row>
    <row r="355">
      <c r="C355" s="93"/>
      <c r="D355" s="93"/>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60"/>
      <c r="H355" s="93"/>
      <c r="I355" s="93"/>
      <c r="J355" s="93"/>
      <c r="L355" s="14" t="str">
        <f>IFERROR(__xludf.DUMMYFUNCTION("IF(REGEXMATCH($B355,L$1),$D355,"""")"),"")</f>
        <v/>
      </c>
      <c r="M355" s="14" t="str">
        <f>IFERROR(__xludf.DUMMYFUNCTION("IF(REGEXMATCH($B355,M$1),$D355,"""")"),"")</f>
        <v/>
      </c>
      <c r="N355" s="14" t="str">
        <f>IFERROR(__xludf.DUMMYFUNCTION("IF(REGEXMATCH($B355,N$1),$D355,"""")"),"")</f>
        <v/>
      </c>
      <c r="O355" s="14" t="str">
        <f>IFERROR(__xludf.DUMMYFUNCTION("IF(REGEXMATCH($B355,O$1),$D355,"""")"),"")</f>
        <v/>
      </c>
      <c r="P355" s="14" t="str">
        <f>IFERROR(__xludf.DUMMYFUNCTION("IF(REGEXMATCH($B355,P$1),$D355,"""")"),"")</f>
        <v/>
      </c>
      <c r="Q355" s="14" t="str">
        <f>IFERROR(__xludf.DUMMYFUNCTION("IF($A355="""","""",LEN(REGEXREPLACE($I355,"",\s?"","""")))"),"")</f>
        <v/>
      </c>
      <c r="S355" s="14"/>
      <c r="T355" s="14"/>
      <c r="U355" s="14"/>
      <c r="V355" s="14"/>
      <c r="W355" s="14"/>
      <c r="X355" s="14"/>
      <c r="Y355" s="14"/>
      <c r="Z355" s="14"/>
      <c r="AA355" s="14"/>
      <c r="AB355" s="14"/>
    </row>
    <row r="356">
      <c r="C356" s="93"/>
      <c r="D356" s="93"/>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60"/>
      <c r="H356" s="93"/>
      <c r="I356" s="93"/>
      <c r="J356" s="93"/>
      <c r="L356" s="14" t="str">
        <f>IFERROR(__xludf.DUMMYFUNCTION("IF(REGEXMATCH($B356,L$1),$D356,"""")"),"")</f>
        <v/>
      </c>
      <c r="M356" s="14" t="str">
        <f>IFERROR(__xludf.DUMMYFUNCTION("IF(REGEXMATCH($B356,M$1),$D356,"""")"),"")</f>
        <v/>
      </c>
      <c r="N356" s="14" t="str">
        <f>IFERROR(__xludf.DUMMYFUNCTION("IF(REGEXMATCH($B356,N$1),$D356,"""")"),"")</f>
        <v/>
      </c>
      <c r="O356" s="14" t="str">
        <f>IFERROR(__xludf.DUMMYFUNCTION("IF(REGEXMATCH($B356,O$1),$D356,"""")"),"")</f>
        <v/>
      </c>
      <c r="P356" s="14" t="str">
        <f>IFERROR(__xludf.DUMMYFUNCTION("IF(REGEXMATCH($B356,P$1),$D356,"""")"),"")</f>
        <v/>
      </c>
      <c r="Q356" s="14" t="str">
        <f>IFERROR(__xludf.DUMMYFUNCTION("IF($A356="""","""",LEN(REGEXREPLACE($I356,"",\s?"","""")))"),"")</f>
        <v/>
      </c>
      <c r="S356" s="14"/>
      <c r="T356" s="14"/>
      <c r="U356" s="14"/>
      <c r="V356" s="14"/>
      <c r="W356" s="14"/>
      <c r="X356" s="14"/>
      <c r="Y356" s="14"/>
      <c r="Z356" s="14"/>
      <c r="AA356" s="14"/>
      <c r="AB356" s="14"/>
    </row>
    <row r="357">
      <c r="C357" s="93"/>
      <c r="D357" s="93"/>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60"/>
      <c r="H357" s="93"/>
      <c r="I357" s="93"/>
      <c r="J357" s="93"/>
      <c r="L357" s="14" t="str">
        <f>IFERROR(__xludf.DUMMYFUNCTION("IF(REGEXMATCH($B357,L$1),$D357,"""")"),"")</f>
        <v/>
      </c>
      <c r="M357" s="14" t="str">
        <f>IFERROR(__xludf.DUMMYFUNCTION("IF(REGEXMATCH($B357,M$1),$D357,"""")"),"")</f>
        <v/>
      </c>
      <c r="N357" s="14" t="str">
        <f>IFERROR(__xludf.DUMMYFUNCTION("IF(REGEXMATCH($B357,N$1),$D357,"""")"),"")</f>
        <v/>
      </c>
      <c r="O357" s="14" t="str">
        <f>IFERROR(__xludf.DUMMYFUNCTION("IF(REGEXMATCH($B357,O$1),$D357,"""")"),"")</f>
        <v/>
      </c>
      <c r="P357" s="14" t="str">
        <f>IFERROR(__xludf.DUMMYFUNCTION("IF(REGEXMATCH($B357,P$1),$D357,"""")"),"")</f>
        <v/>
      </c>
      <c r="Q357" s="14" t="str">
        <f>IFERROR(__xludf.DUMMYFUNCTION("IF($A357="""","""",LEN(REGEXREPLACE($I357,"",\s?"","""")))"),"")</f>
        <v/>
      </c>
      <c r="S357" s="14"/>
      <c r="T357" s="14"/>
      <c r="U357" s="14"/>
      <c r="V357" s="14"/>
      <c r="W357" s="14"/>
      <c r="X357" s="14"/>
      <c r="Y357" s="14"/>
      <c r="Z357" s="14"/>
      <c r="AA357" s="14"/>
      <c r="AB357" s="14"/>
    </row>
    <row r="358">
      <c r="C358" s="93"/>
      <c r="D358" s="93"/>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60"/>
      <c r="H358" s="93"/>
      <c r="I358" s="93"/>
      <c r="J358" s="93"/>
      <c r="L358" s="14" t="str">
        <f>IFERROR(__xludf.DUMMYFUNCTION("IF(REGEXMATCH($B358,L$1),$D358,"""")"),"")</f>
        <v/>
      </c>
      <c r="M358" s="14" t="str">
        <f>IFERROR(__xludf.DUMMYFUNCTION("IF(REGEXMATCH($B358,M$1),$D358,"""")"),"")</f>
        <v/>
      </c>
      <c r="N358" s="14" t="str">
        <f>IFERROR(__xludf.DUMMYFUNCTION("IF(REGEXMATCH($B358,N$1),$D358,"""")"),"")</f>
        <v/>
      </c>
      <c r="O358" s="14" t="str">
        <f>IFERROR(__xludf.DUMMYFUNCTION("IF(REGEXMATCH($B358,O$1),$D358,"""")"),"")</f>
        <v/>
      </c>
      <c r="P358" s="14" t="str">
        <f>IFERROR(__xludf.DUMMYFUNCTION("IF(REGEXMATCH($B358,P$1),$D358,"""")"),"")</f>
        <v/>
      </c>
      <c r="Q358" s="14" t="str">
        <f>IFERROR(__xludf.DUMMYFUNCTION("IF($A358="""","""",LEN(REGEXREPLACE($I358,"",\s?"","""")))"),"")</f>
        <v/>
      </c>
      <c r="S358" s="14"/>
      <c r="T358" s="14"/>
      <c r="U358" s="14"/>
      <c r="V358" s="14"/>
      <c r="W358" s="14"/>
      <c r="X358" s="14"/>
      <c r="Y358" s="14"/>
      <c r="Z358" s="14"/>
      <c r="AA358" s="14"/>
      <c r="AB358" s="14"/>
    </row>
    <row r="359">
      <c r="C359" s="93"/>
      <c r="D359" s="93"/>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60"/>
      <c r="H359" s="93"/>
      <c r="I359" s="93"/>
      <c r="J359" s="93"/>
      <c r="L359" s="14" t="str">
        <f>IFERROR(__xludf.DUMMYFUNCTION("IF(REGEXMATCH($B359,L$1),$D359,"""")"),"")</f>
        <v/>
      </c>
      <c r="M359" s="14" t="str">
        <f>IFERROR(__xludf.DUMMYFUNCTION("IF(REGEXMATCH($B359,M$1),$D359,"""")"),"")</f>
        <v/>
      </c>
      <c r="N359" s="14" t="str">
        <f>IFERROR(__xludf.DUMMYFUNCTION("IF(REGEXMATCH($B359,N$1),$D359,"""")"),"")</f>
        <v/>
      </c>
      <c r="O359" s="14" t="str">
        <f>IFERROR(__xludf.DUMMYFUNCTION("IF(REGEXMATCH($B359,O$1),$D359,"""")"),"")</f>
        <v/>
      </c>
      <c r="P359" s="14" t="str">
        <f>IFERROR(__xludf.DUMMYFUNCTION("IF(REGEXMATCH($B359,P$1),$D359,"""")"),"")</f>
        <v/>
      </c>
      <c r="Q359" s="14" t="str">
        <f>IFERROR(__xludf.DUMMYFUNCTION("IF($A359="""","""",LEN(REGEXREPLACE($I359,"",\s?"","""")))"),"")</f>
        <v/>
      </c>
      <c r="S359" s="14"/>
      <c r="T359" s="14"/>
      <c r="U359" s="14"/>
      <c r="V359" s="14"/>
      <c r="W359" s="14"/>
      <c r="X359" s="14"/>
      <c r="Y359" s="14"/>
      <c r="Z359" s="14"/>
      <c r="AA359" s="14"/>
      <c r="AB359" s="14"/>
    </row>
    <row r="360">
      <c r="C360" s="93"/>
      <c r="D360" s="93"/>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60"/>
      <c r="H360" s="93"/>
      <c r="I360" s="93"/>
      <c r="J360" s="93"/>
      <c r="L360" s="14" t="str">
        <f>IFERROR(__xludf.DUMMYFUNCTION("IF(REGEXMATCH($B360,L$1),$D360,"""")"),"")</f>
        <v/>
      </c>
      <c r="M360" s="14" t="str">
        <f>IFERROR(__xludf.DUMMYFUNCTION("IF(REGEXMATCH($B360,M$1),$D360,"""")"),"")</f>
        <v/>
      </c>
      <c r="N360" s="14" t="str">
        <f>IFERROR(__xludf.DUMMYFUNCTION("IF(REGEXMATCH($B360,N$1),$D360,"""")"),"")</f>
        <v/>
      </c>
      <c r="O360" s="14" t="str">
        <f>IFERROR(__xludf.DUMMYFUNCTION("IF(REGEXMATCH($B360,O$1),$D360,"""")"),"")</f>
        <v/>
      </c>
      <c r="P360" s="14" t="str">
        <f>IFERROR(__xludf.DUMMYFUNCTION("IF(REGEXMATCH($B360,P$1),$D360,"""")"),"")</f>
        <v/>
      </c>
      <c r="Q360" s="14" t="str">
        <f>IFERROR(__xludf.DUMMYFUNCTION("IF($A360="""","""",LEN(REGEXREPLACE($I360,"",\s?"","""")))"),"")</f>
        <v/>
      </c>
      <c r="S360" s="14"/>
      <c r="T360" s="14"/>
      <c r="U360" s="14"/>
      <c r="V360" s="14"/>
      <c r="W360" s="14"/>
      <c r="X360" s="14"/>
      <c r="Y360" s="14"/>
      <c r="Z360" s="14"/>
      <c r="AA360" s="14"/>
      <c r="AB360" s="14"/>
    </row>
    <row r="361">
      <c r="C361" s="93"/>
      <c r="D361" s="93"/>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60"/>
      <c r="H361" s="93"/>
      <c r="I361" s="93"/>
      <c r="J361" s="93"/>
      <c r="L361" s="14" t="str">
        <f>IFERROR(__xludf.DUMMYFUNCTION("IF(REGEXMATCH($B361,L$1),$D361,"""")"),"")</f>
        <v/>
      </c>
      <c r="M361" s="14" t="str">
        <f>IFERROR(__xludf.DUMMYFUNCTION("IF(REGEXMATCH($B361,M$1),$D361,"""")"),"")</f>
        <v/>
      </c>
      <c r="N361" s="14" t="str">
        <f>IFERROR(__xludf.DUMMYFUNCTION("IF(REGEXMATCH($B361,N$1),$D361,"""")"),"")</f>
        <v/>
      </c>
      <c r="O361" s="14" t="str">
        <f>IFERROR(__xludf.DUMMYFUNCTION("IF(REGEXMATCH($B361,O$1),$D361,"""")"),"")</f>
        <v/>
      </c>
      <c r="P361" s="14" t="str">
        <f>IFERROR(__xludf.DUMMYFUNCTION("IF(REGEXMATCH($B361,P$1),$D361,"""")"),"")</f>
        <v/>
      </c>
      <c r="Q361" s="14" t="str">
        <f>IFERROR(__xludf.DUMMYFUNCTION("IF($A361="""","""",LEN(REGEXREPLACE($I361,"",\s?"","""")))"),"")</f>
        <v/>
      </c>
      <c r="S361" s="14"/>
      <c r="T361" s="14"/>
      <c r="U361" s="14"/>
      <c r="V361" s="14"/>
      <c r="W361" s="14"/>
      <c r="X361" s="14"/>
      <c r="Y361" s="14"/>
      <c r="Z361" s="14"/>
      <c r="AA361" s="14"/>
      <c r="AB361" s="14"/>
    </row>
    <row r="362">
      <c r="C362" s="93"/>
      <c r="D362" s="93"/>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60"/>
      <c r="H362" s="93"/>
      <c r="I362" s="93"/>
      <c r="J362" s="93"/>
      <c r="L362" s="14" t="str">
        <f>IFERROR(__xludf.DUMMYFUNCTION("IF(REGEXMATCH($B362,L$1),$D362,"""")"),"")</f>
        <v/>
      </c>
      <c r="M362" s="14" t="str">
        <f>IFERROR(__xludf.DUMMYFUNCTION("IF(REGEXMATCH($B362,M$1),$D362,"""")"),"")</f>
        <v/>
      </c>
      <c r="N362" s="14" t="str">
        <f>IFERROR(__xludf.DUMMYFUNCTION("IF(REGEXMATCH($B362,N$1),$D362,"""")"),"")</f>
        <v/>
      </c>
      <c r="O362" s="14" t="str">
        <f>IFERROR(__xludf.DUMMYFUNCTION("IF(REGEXMATCH($B362,O$1),$D362,"""")"),"")</f>
        <v/>
      </c>
      <c r="P362" s="14" t="str">
        <f>IFERROR(__xludf.DUMMYFUNCTION("IF(REGEXMATCH($B362,P$1),$D362,"""")"),"")</f>
        <v/>
      </c>
      <c r="Q362" s="14" t="str">
        <f>IFERROR(__xludf.DUMMYFUNCTION("IF($A362="""","""",LEN(REGEXREPLACE($I362,"",\s?"","""")))"),"")</f>
        <v/>
      </c>
      <c r="S362" s="14"/>
      <c r="T362" s="14"/>
      <c r="U362" s="14"/>
      <c r="V362" s="14"/>
      <c r="W362" s="14"/>
      <c r="X362" s="14"/>
      <c r="Y362" s="14"/>
      <c r="Z362" s="14"/>
      <c r="AA362" s="14"/>
      <c r="AB362" s="14"/>
    </row>
    <row r="363">
      <c r="C363" s="93"/>
      <c r="D363" s="93"/>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60"/>
      <c r="H363" s="93"/>
      <c r="I363" s="93"/>
      <c r="J363" s="93"/>
      <c r="L363" s="14" t="str">
        <f>IFERROR(__xludf.DUMMYFUNCTION("IF(REGEXMATCH($B363,L$1),$D363,"""")"),"")</f>
        <v/>
      </c>
      <c r="M363" s="14" t="str">
        <f>IFERROR(__xludf.DUMMYFUNCTION("IF(REGEXMATCH($B363,M$1),$D363,"""")"),"")</f>
        <v/>
      </c>
      <c r="N363" s="14" t="str">
        <f>IFERROR(__xludf.DUMMYFUNCTION("IF(REGEXMATCH($B363,N$1),$D363,"""")"),"")</f>
        <v/>
      </c>
      <c r="O363" s="14" t="str">
        <f>IFERROR(__xludf.DUMMYFUNCTION("IF(REGEXMATCH($B363,O$1),$D363,"""")"),"")</f>
        <v/>
      </c>
      <c r="P363" s="14" t="str">
        <f>IFERROR(__xludf.DUMMYFUNCTION("IF(REGEXMATCH($B363,P$1),$D363,"""")"),"")</f>
        <v/>
      </c>
      <c r="Q363" s="14" t="str">
        <f>IFERROR(__xludf.DUMMYFUNCTION("IF($A363="""","""",LEN(REGEXREPLACE($I363,"",\s?"","""")))"),"")</f>
        <v/>
      </c>
      <c r="S363" s="14"/>
      <c r="T363" s="14"/>
      <c r="U363" s="14"/>
      <c r="V363" s="14"/>
      <c r="W363" s="14"/>
      <c r="X363" s="14"/>
      <c r="Y363" s="14"/>
      <c r="Z363" s="14"/>
      <c r="AA363" s="14"/>
      <c r="AB363" s="14"/>
    </row>
    <row r="364">
      <c r="C364" s="93"/>
      <c r="D364" s="93"/>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60"/>
      <c r="H364" s="93"/>
      <c r="I364" s="93"/>
      <c r="J364" s="93"/>
      <c r="L364" s="14" t="str">
        <f>IFERROR(__xludf.DUMMYFUNCTION("IF(REGEXMATCH($B364,L$1),$D364,"""")"),"")</f>
        <v/>
      </c>
      <c r="M364" s="14" t="str">
        <f>IFERROR(__xludf.DUMMYFUNCTION("IF(REGEXMATCH($B364,M$1),$D364,"""")"),"")</f>
        <v/>
      </c>
      <c r="N364" s="14" t="str">
        <f>IFERROR(__xludf.DUMMYFUNCTION("IF(REGEXMATCH($B364,N$1),$D364,"""")"),"")</f>
        <v/>
      </c>
      <c r="O364" s="14" t="str">
        <f>IFERROR(__xludf.DUMMYFUNCTION("IF(REGEXMATCH($B364,O$1),$D364,"""")"),"")</f>
        <v/>
      </c>
      <c r="P364" s="14" t="str">
        <f>IFERROR(__xludf.DUMMYFUNCTION("IF(REGEXMATCH($B364,P$1),$D364,"""")"),"")</f>
        <v/>
      </c>
      <c r="Q364" s="14" t="str">
        <f>IFERROR(__xludf.DUMMYFUNCTION("IF($A364="""","""",LEN(REGEXREPLACE($I364,"",\s?"","""")))"),"")</f>
        <v/>
      </c>
      <c r="S364" s="14"/>
      <c r="T364" s="14"/>
      <c r="U364" s="14"/>
      <c r="V364" s="14"/>
      <c r="W364" s="14"/>
      <c r="X364" s="14"/>
      <c r="Y364" s="14"/>
      <c r="Z364" s="14"/>
      <c r="AA364" s="14"/>
      <c r="AB364" s="14"/>
    </row>
    <row r="365">
      <c r="C365" s="93"/>
      <c r="D365" s="93"/>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60"/>
      <c r="H365" s="93"/>
      <c r="I365" s="93"/>
      <c r="J365" s="93"/>
      <c r="L365" s="14" t="str">
        <f>IFERROR(__xludf.DUMMYFUNCTION("IF(REGEXMATCH($B365,L$1),$D365,"""")"),"")</f>
        <v/>
      </c>
      <c r="M365" s="14" t="str">
        <f>IFERROR(__xludf.DUMMYFUNCTION("IF(REGEXMATCH($B365,M$1),$D365,"""")"),"")</f>
        <v/>
      </c>
      <c r="N365" s="14" t="str">
        <f>IFERROR(__xludf.DUMMYFUNCTION("IF(REGEXMATCH($B365,N$1),$D365,"""")"),"")</f>
        <v/>
      </c>
      <c r="O365" s="14" t="str">
        <f>IFERROR(__xludf.DUMMYFUNCTION("IF(REGEXMATCH($B365,O$1),$D365,"""")"),"")</f>
        <v/>
      </c>
      <c r="P365" s="14" t="str">
        <f>IFERROR(__xludf.DUMMYFUNCTION("IF(REGEXMATCH($B365,P$1),$D365,"""")"),"")</f>
        <v/>
      </c>
      <c r="Q365" s="14" t="str">
        <f>IFERROR(__xludf.DUMMYFUNCTION("IF($A365="""","""",LEN(REGEXREPLACE($I365,"",\s?"","""")))"),"")</f>
        <v/>
      </c>
      <c r="S365" s="14"/>
      <c r="T365" s="14"/>
      <c r="U365" s="14"/>
      <c r="V365" s="14"/>
      <c r="W365" s="14"/>
      <c r="X365" s="14"/>
      <c r="Y365" s="14"/>
      <c r="Z365" s="14"/>
      <c r="AA365" s="14"/>
      <c r="AB365" s="14"/>
    </row>
    <row r="366">
      <c r="C366" s="93"/>
      <c r="D366" s="93"/>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60"/>
      <c r="H366" s="93"/>
      <c r="I366" s="93"/>
      <c r="J366" s="93"/>
      <c r="L366" s="14" t="str">
        <f>IFERROR(__xludf.DUMMYFUNCTION("IF(REGEXMATCH($B366,L$1),$D366,"""")"),"")</f>
        <v/>
      </c>
      <c r="M366" s="14" t="str">
        <f>IFERROR(__xludf.DUMMYFUNCTION("IF(REGEXMATCH($B366,M$1),$D366,"""")"),"")</f>
        <v/>
      </c>
      <c r="N366" s="14" t="str">
        <f>IFERROR(__xludf.DUMMYFUNCTION("IF(REGEXMATCH($B366,N$1),$D366,"""")"),"")</f>
        <v/>
      </c>
      <c r="O366" s="14" t="str">
        <f>IFERROR(__xludf.DUMMYFUNCTION("IF(REGEXMATCH($B366,O$1),$D366,"""")"),"")</f>
        <v/>
      </c>
      <c r="P366" s="14" t="str">
        <f>IFERROR(__xludf.DUMMYFUNCTION("IF(REGEXMATCH($B366,P$1),$D366,"""")"),"")</f>
        <v/>
      </c>
      <c r="Q366" s="14" t="str">
        <f>IFERROR(__xludf.DUMMYFUNCTION("IF($A366="""","""",LEN(REGEXREPLACE($I366,"",\s?"","""")))"),"")</f>
        <v/>
      </c>
      <c r="S366" s="14"/>
      <c r="T366" s="14"/>
      <c r="U366" s="14"/>
      <c r="V366" s="14"/>
      <c r="W366" s="14"/>
      <c r="X366" s="14"/>
      <c r="Y366" s="14"/>
      <c r="Z366" s="14"/>
      <c r="AA366" s="14"/>
      <c r="AB366" s="14"/>
    </row>
    <row r="367">
      <c r="C367" s="93"/>
      <c r="D367" s="93"/>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60"/>
      <c r="H367" s="93"/>
      <c r="I367" s="93"/>
      <c r="J367" s="93"/>
      <c r="L367" s="14" t="str">
        <f>IFERROR(__xludf.DUMMYFUNCTION("IF(REGEXMATCH($B367,L$1),$D367,"""")"),"")</f>
        <v/>
      </c>
      <c r="M367" s="14" t="str">
        <f>IFERROR(__xludf.DUMMYFUNCTION("IF(REGEXMATCH($B367,M$1),$D367,"""")"),"")</f>
        <v/>
      </c>
      <c r="N367" s="14" t="str">
        <f>IFERROR(__xludf.DUMMYFUNCTION("IF(REGEXMATCH($B367,N$1),$D367,"""")"),"")</f>
        <v/>
      </c>
      <c r="O367" s="14" t="str">
        <f>IFERROR(__xludf.DUMMYFUNCTION("IF(REGEXMATCH($B367,O$1),$D367,"""")"),"")</f>
        <v/>
      </c>
      <c r="P367" s="14" t="str">
        <f>IFERROR(__xludf.DUMMYFUNCTION("IF(REGEXMATCH($B367,P$1),$D367,"""")"),"")</f>
        <v/>
      </c>
      <c r="Q367" s="14" t="str">
        <f>IFERROR(__xludf.DUMMYFUNCTION("IF($A367="""","""",LEN(REGEXREPLACE($I367,"",\s?"","""")))"),"")</f>
        <v/>
      </c>
      <c r="S367" s="14"/>
      <c r="T367" s="14"/>
      <c r="U367" s="14"/>
      <c r="V367" s="14"/>
      <c r="W367" s="14"/>
      <c r="X367" s="14"/>
      <c r="Y367" s="14"/>
      <c r="Z367" s="14"/>
      <c r="AA367" s="14"/>
      <c r="AB367" s="14"/>
    </row>
    <row r="368">
      <c r="C368" s="93"/>
      <c r="D368" s="93"/>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60"/>
      <c r="H368" s="93"/>
      <c r="I368" s="93"/>
      <c r="J368" s="93"/>
      <c r="L368" s="14" t="str">
        <f>IFERROR(__xludf.DUMMYFUNCTION("IF(REGEXMATCH($B368,L$1),$D368,"""")"),"")</f>
        <v/>
      </c>
      <c r="M368" s="14" t="str">
        <f>IFERROR(__xludf.DUMMYFUNCTION("IF(REGEXMATCH($B368,M$1),$D368,"""")"),"")</f>
        <v/>
      </c>
      <c r="N368" s="14" t="str">
        <f>IFERROR(__xludf.DUMMYFUNCTION("IF(REGEXMATCH($B368,N$1),$D368,"""")"),"")</f>
        <v/>
      </c>
      <c r="O368" s="14" t="str">
        <f>IFERROR(__xludf.DUMMYFUNCTION("IF(REGEXMATCH($B368,O$1),$D368,"""")"),"")</f>
        <v/>
      </c>
      <c r="P368" s="14" t="str">
        <f>IFERROR(__xludf.DUMMYFUNCTION("IF(REGEXMATCH($B368,P$1),$D368,"""")"),"")</f>
        <v/>
      </c>
      <c r="Q368" s="14" t="str">
        <f>IFERROR(__xludf.DUMMYFUNCTION("IF($A368="""","""",LEN(REGEXREPLACE($I368,"",\s?"","""")))"),"")</f>
        <v/>
      </c>
      <c r="S368" s="14"/>
      <c r="T368" s="14"/>
      <c r="U368" s="14"/>
      <c r="V368" s="14"/>
      <c r="W368" s="14"/>
      <c r="X368" s="14"/>
      <c r="Y368" s="14"/>
      <c r="Z368" s="14"/>
      <c r="AA368" s="14"/>
      <c r="AB368" s="14"/>
    </row>
    <row r="369">
      <c r="C369" s="93"/>
      <c r="D369" s="93"/>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60"/>
      <c r="H369" s="93"/>
      <c r="I369" s="93"/>
      <c r="J369" s="93"/>
      <c r="L369" s="14" t="str">
        <f>IFERROR(__xludf.DUMMYFUNCTION("IF(REGEXMATCH($B369,L$1),$D369,"""")"),"")</f>
        <v/>
      </c>
      <c r="M369" s="14" t="str">
        <f>IFERROR(__xludf.DUMMYFUNCTION("IF(REGEXMATCH($B369,M$1),$D369,"""")"),"")</f>
        <v/>
      </c>
      <c r="N369" s="14" t="str">
        <f>IFERROR(__xludf.DUMMYFUNCTION("IF(REGEXMATCH($B369,N$1),$D369,"""")"),"")</f>
        <v/>
      </c>
      <c r="O369" s="14" t="str">
        <f>IFERROR(__xludf.DUMMYFUNCTION("IF(REGEXMATCH($B369,O$1),$D369,"""")"),"")</f>
        <v/>
      </c>
      <c r="P369" s="14" t="str">
        <f>IFERROR(__xludf.DUMMYFUNCTION("IF(REGEXMATCH($B369,P$1),$D369,"""")"),"")</f>
        <v/>
      </c>
      <c r="Q369" s="14" t="str">
        <f>IFERROR(__xludf.DUMMYFUNCTION("IF($A369="""","""",LEN(REGEXREPLACE($I369,"",\s?"","""")))"),"")</f>
        <v/>
      </c>
      <c r="S369" s="14"/>
      <c r="T369" s="14"/>
      <c r="U369" s="14"/>
      <c r="V369" s="14"/>
      <c r="W369" s="14"/>
      <c r="X369" s="14"/>
      <c r="Y369" s="14"/>
      <c r="Z369" s="14"/>
      <c r="AA369" s="14"/>
      <c r="AB369" s="14"/>
    </row>
    <row r="370">
      <c r="C370" s="93"/>
      <c r="D370" s="93"/>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60"/>
      <c r="H370" s="93"/>
      <c r="I370" s="93"/>
      <c r="J370" s="93"/>
      <c r="L370" s="14" t="str">
        <f>IFERROR(__xludf.DUMMYFUNCTION("IF(REGEXMATCH($B370,L$1),$D370,"""")"),"")</f>
        <v/>
      </c>
      <c r="M370" s="14" t="str">
        <f>IFERROR(__xludf.DUMMYFUNCTION("IF(REGEXMATCH($B370,M$1),$D370,"""")"),"")</f>
        <v/>
      </c>
      <c r="N370" s="14" t="str">
        <f>IFERROR(__xludf.DUMMYFUNCTION("IF(REGEXMATCH($B370,N$1),$D370,"""")"),"")</f>
        <v/>
      </c>
      <c r="O370" s="14" t="str">
        <f>IFERROR(__xludf.DUMMYFUNCTION("IF(REGEXMATCH($B370,O$1),$D370,"""")"),"")</f>
        <v/>
      </c>
      <c r="P370" s="14" t="str">
        <f>IFERROR(__xludf.DUMMYFUNCTION("IF(REGEXMATCH($B370,P$1),$D370,"""")"),"")</f>
        <v/>
      </c>
      <c r="Q370" s="14" t="str">
        <f>IFERROR(__xludf.DUMMYFUNCTION("IF($A370="""","""",LEN(REGEXREPLACE($I370,"",\s?"","""")))"),"")</f>
        <v/>
      </c>
      <c r="S370" s="14"/>
      <c r="T370" s="14"/>
      <c r="U370" s="14"/>
      <c r="V370" s="14"/>
      <c r="W370" s="14"/>
      <c r="X370" s="14"/>
      <c r="Y370" s="14"/>
      <c r="Z370" s="14"/>
      <c r="AA370" s="14"/>
      <c r="AB370" s="14"/>
    </row>
    <row r="371">
      <c r="C371" s="93"/>
      <c r="D371" s="93"/>
      <c r="G371" s="60"/>
      <c r="H371" s="93"/>
      <c r="I371" s="93"/>
      <c r="J371" s="93"/>
      <c r="L371" s="14" t="str">
        <f>IFERROR(__xludf.DUMMYFUNCTION("IF(REGEXMATCH($B371,L$1),$D371,"""")"),"")</f>
        <v/>
      </c>
      <c r="M371" s="14" t="str">
        <f>IFERROR(__xludf.DUMMYFUNCTION("IF(REGEXMATCH($B371,M$1),$D371,"""")"),"")</f>
        <v/>
      </c>
      <c r="N371" s="14" t="str">
        <f>IFERROR(__xludf.DUMMYFUNCTION("IF(REGEXMATCH($B371,N$1),$D371,"""")"),"")</f>
        <v/>
      </c>
      <c r="O371" s="14" t="str">
        <f>IFERROR(__xludf.DUMMYFUNCTION("IF(REGEXMATCH($B371,O$1),$D371,"""")"),"")</f>
        <v/>
      </c>
      <c r="P371" s="14" t="str">
        <f>IFERROR(__xludf.DUMMYFUNCTION("IF(REGEXMATCH($B371,P$1),$D371,"""")"),"")</f>
        <v/>
      </c>
      <c r="Q371" s="14" t="str">
        <f>IFERROR(__xludf.DUMMYFUNCTION("IF($A371="""","""",LEN(REGEXREPLACE($I371,"",\s?"","""")))"),"")</f>
        <v/>
      </c>
      <c r="S371" s="14"/>
      <c r="T371" s="14"/>
      <c r="U371" s="14"/>
      <c r="V371" s="14"/>
      <c r="W371" s="14"/>
      <c r="X371" s="14"/>
      <c r="Y371" s="14"/>
      <c r="Z371" s="14"/>
      <c r="AA371" s="14"/>
      <c r="AB371" s="14"/>
    </row>
    <row r="372">
      <c r="C372" s="93"/>
      <c r="D372" s="93"/>
      <c r="G372" s="60"/>
      <c r="H372" s="93"/>
      <c r="I372" s="93"/>
      <c r="J372" s="93"/>
      <c r="L372" s="14" t="str">
        <f>IFERROR(__xludf.DUMMYFUNCTION("IF(REGEXMATCH($B372,L$1),$D372,"""")"),"")</f>
        <v/>
      </c>
      <c r="M372" s="14" t="str">
        <f>IFERROR(__xludf.DUMMYFUNCTION("IF(REGEXMATCH($B372,M$1),$D372,"""")"),"")</f>
        <v/>
      </c>
      <c r="N372" s="14" t="str">
        <f>IFERROR(__xludf.DUMMYFUNCTION("IF(REGEXMATCH($B372,N$1),$D372,"""")"),"")</f>
        <v/>
      </c>
      <c r="O372" s="14" t="str">
        <f>IFERROR(__xludf.DUMMYFUNCTION("IF(REGEXMATCH($B372,O$1),$D372,"""")"),"")</f>
        <v/>
      </c>
      <c r="P372" s="14" t="str">
        <f>IFERROR(__xludf.DUMMYFUNCTION("IF(REGEXMATCH($B372,P$1),$D372,"""")"),"")</f>
        <v/>
      </c>
      <c r="Q372" s="14" t="str">
        <f>IFERROR(__xludf.DUMMYFUNCTION("IF($A372="""","""",LEN(REGEXREPLACE($I372,"",\s?"","""")))"),"")</f>
        <v/>
      </c>
      <c r="S372" s="14"/>
      <c r="T372" s="14"/>
      <c r="U372" s="14"/>
      <c r="V372" s="14"/>
      <c r="W372" s="14"/>
      <c r="X372" s="14"/>
      <c r="Y372" s="14"/>
      <c r="Z372" s="14"/>
      <c r="AA372" s="14"/>
      <c r="AB372" s="14"/>
    </row>
    <row r="373">
      <c r="C373" s="93"/>
      <c r="D373" s="93"/>
      <c r="G373" s="60"/>
      <c r="H373" s="93"/>
      <c r="I373" s="93"/>
      <c r="J373" s="93"/>
      <c r="L373" s="14" t="str">
        <f>IFERROR(__xludf.DUMMYFUNCTION("IF(REGEXMATCH($B373,L$1),$D373,"""")"),"")</f>
        <v/>
      </c>
      <c r="M373" s="14" t="str">
        <f>IFERROR(__xludf.DUMMYFUNCTION("IF(REGEXMATCH($B373,M$1),$D373,"""")"),"")</f>
        <v/>
      </c>
      <c r="N373" s="14" t="str">
        <f>IFERROR(__xludf.DUMMYFUNCTION("IF(REGEXMATCH($B373,N$1),$D373,"""")"),"")</f>
        <v/>
      </c>
      <c r="O373" s="14" t="str">
        <f>IFERROR(__xludf.DUMMYFUNCTION("IF(REGEXMATCH($B373,O$1),$D373,"""")"),"")</f>
        <v/>
      </c>
      <c r="P373" s="14" t="str">
        <f>IFERROR(__xludf.DUMMYFUNCTION("IF(REGEXMATCH($B373,P$1),$D373,"""")"),"")</f>
        <v/>
      </c>
      <c r="Q373" s="14" t="str">
        <f>IFERROR(__xludf.DUMMYFUNCTION("IF($A373="""","""",LEN(REGEXREPLACE($I373,"",\s?"","""")))"),"")</f>
        <v/>
      </c>
      <c r="S373" s="14"/>
      <c r="T373" s="14"/>
      <c r="U373" s="14"/>
      <c r="V373" s="14"/>
      <c r="W373" s="14"/>
      <c r="X373" s="14"/>
      <c r="Y373" s="14"/>
      <c r="Z373" s="14"/>
      <c r="AA373" s="14"/>
      <c r="AB373" s="14"/>
    </row>
    <row r="374">
      <c r="C374" s="93"/>
      <c r="D374" s="93"/>
      <c r="G374" s="60"/>
      <c r="H374" s="93"/>
      <c r="I374" s="93"/>
      <c r="J374" s="93"/>
      <c r="L374" s="14" t="str">
        <f>IFERROR(__xludf.DUMMYFUNCTION("IF(REGEXMATCH($B374,L$1),$D374,"""")"),"")</f>
        <v/>
      </c>
      <c r="M374" s="14" t="str">
        <f>IFERROR(__xludf.DUMMYFUNCTION("IF(REGEXMATCH($B374,M$1),$D374,"""")"),"")</f>
        <v/>
      </c>
      <c r="N374" s="14" t="str">
        <f>IFERROR(__xludf.DUMMYFUNCTION("IF(REGEXMATCH($B374,N$1),$D374,"""")"),"")</f>
        <v/>
      </c>
      <c r="O374" s="14" t="str">
        <f>IFERROR(__xludf.DUMMYFUNCTION("IF(REGEXMATCH($B374,O$1),$D374,"""")"),"")</f>
        <v/>
      </c>
      <c r="P374" s="14" t="str">
        <f>IFERROR(__xludf.DUMMYFUNCTION("IF(REGEXMATCH($B374,P$1),$D374,"""")"),"")</f>
        <v/>
      </c>
      <c r="Q374" s="14" t="str">
        <f>IFERROR(__xludf.DUMMYFUNCTION("IF($A374="""","""",LEN(REGEXREPLACE($I374,"",\s?"","""")))"),"")</f>
        <v/>
      </c>
      <c r="S374" s="14"/>
      <c r="T374" s="14"/>
      <c r="U374" s="14"/>
      <c r="V374" s="14"/>
      <c r="W374" s="14"/>
      <c r="X374" s="14"/>
      <c r="Y374" s="14"/>
      <c r="Z374" s="14"/>
      <c r="AA374" s="14"/>
      <c r="AB374" s="14"/>
    </row>
    <row r="375">
      <c r="C375" s="93"/>
      <c r="D375" s="93"/>
      <c r="G375" s="60"/>
      <c r="H375" s="93"/>
      <c r="I375" s="93"/>
      <c r="J375" s="93"/>
      <c r="L375" s="14" t="str">
        <f>IFERROR(__xludf.DUMMYFUNCTION("IF(REGEXMATCH($B375,L$1),$D375,"""")"),"")</f>
        <v/>
      </c>
      <c r="M375" s="14" t="str">
        <f>IFERROR(__xludf.DUMMYFUNCTION("IF(REGEXMATCH($B375,M$1),$D375,"""")"),"")</f>
        <v/>
      </c>
      <c r="N375" s="14" t="str">
        <f>IFERROR(__xludf.DUMMYFUNCTION("IF(REGEXMATCH($B375,N$1),$D375,"""")"),"")</f>
        <v/>
      </c>
      <c r="O375" s="14" t="str">
        <f>IFERROR(__xludf.DUMMYFUNCTION("IF(REGEXMATCH($B375,O$1),$D375,"""")"),"")</f>
        <v/>
      </c>
      <c r="P375" s="14" t="str">
        <f>IFERROR(__xludf.DUMMYFUNCTION("IF(REGEXMATCH($B375,P$1),$D375,"""")"),"")</f>
        <v/>
      </c>
      <c r="Q375" s="14" t="str">
        <f>IFERROR(__xludf.DUMMYFUNCTION("IF($A375="""","""",LEN(REGEXREPLACE($I375,"",\s?"","""")))"),"")</f>
        <v/>
      </c>
      <c r="S375" s="14"/>
      <c r="T375" s="14"/>
      <c r="U375" s="14"/>
      <c r="V375" s="14"/>
      <c r="W375" s="14"/>
      <c r="X375" s="14"/>
      <c r="Y375" s="14"/>
      <c r="Z375" s="14"/>
      <c r="AA375" s="14"/>
      <c r="AB375" s="14"/>
    </row>
    <row r="376">
      <c r="C376" s="93"/>
      <c r="D376" s="93"/>
      <c r="G376" s="60"/>
      <c r="H376" s="93"/>
      <c r="I376" s="93"/>
      <c r="J376" s="93"/>
      <c r="L376" s="14" t="str">
        <f>IFERROR(__xludf.DUMMYFUNCTION("IF(REGEXMATCH($B376,L$1),$D376,"""")"),"")</f>
        <v/>
      </c>
      <c r="M376" s="14" t="str">
        <f>IFERROR(__xludf.DUMMYFUNCTION("IF(REGEXMATCH($B376,M$1),$D376,"""")"),"")</f>
        <v/>
      </c>
      <c r="N376" s="14" t="str">
        <f>IFERROR(__xludf.DUMMYFUNCTION("IF(REGEXMATCH($B376,N$1),$D376,"""")"),"")</f>
        <v/>
      </c>
      <c r="O376" s="14" t="str">
        <f>IFERROR(__xludf.DUMMYFUNCTION("IF(REGEXMATCH($B376,O$1),$D376,"""")"),"")</f>
        <v/>
      </c>
      <c r="P376" s="14" t="str">
        <f>IFERROR(__xludf.DUMMYFUNCTION("IF(REGEXMATCH($B376,P$1),$D376,"""")"),"")</f>
        <v/>
      </c>
      <c r="Q376" s="14" t="str">
        <f>IFERROR(__xludf.DUMMYFUNCTION("IF($A376="""","""",LEN(REGEXREPLACE($I376,"",\s?"","""")))"),"")</f>
        <v/>
      </c>
      <c r="S376" s="14"/>
      <c r="T376" s="14"/>
      <c r="U376" s="14"/>
      <c r="V376" s="14"/>
      <c r="W376" s="14"/>
      <c r="X376" s="14"/>
      <c r="Y376" s="14"/>
      <c r="Z376" s="14"/>
      <c r="AA376" s="14"/>
      <c r="AB376" s="14"/>
    </row>
    <row r="377">
      <c r="C377" s="93"/>
      <c r="D377" s="93"/>
      <c r="G377" s="60"/>
      <c r="H377" s="93"/>
      <c r="I377" s="93"/>
      <c r="J377" s="93"/>
      <c r="L377" s="14" t="str">
        <f>IFERROR(__xludf.DUMMYFUNCTION("IF(REGEXMATCH($B377,L$1),$D377,"""")"),"")</f>
        <v/>
      </c>
      <c r="M377" s="14" t="str">
        <f>IFERROR(__xludf.DUMMYFUNCTION("IF(REGEXMATCH($B377,M$1),$D377,"""")"),"")</f>
        <v/>
      </c>
      <c r="N377" s="14" t="str">
        <f>IFERROR(__xludf.DUMMYFUNCTION("IF(REGEXMATCH($B377,N$1),$D377,"""")"),"")</f>
        <v/>
      </c>
      <c r="O377" s="14" t="str">
        <f>IFERROR(__xludf.DUMMYFUNCTION("IF(REGEXMATCH($B377,O$1),$D377,"""")"),"")</f>
        <v/>
      </c>
      <c r="P377" s="14" t="str">
        <f>IFERROR(__xludf.DUMMYFUNCTION("IF(REGEXMATCH($B377,P$1),$D377,"""")"),"")</f>
        <v/>
      </c>
      <c r="Q377" s="14" t="str">
        <f>IFERROR(__xludf.DUMMYFUNCTION("IF($A377="""","""",LEN(REGEXREPLACE($I377,"",\s?"","""")))"),"")</f>
        <v/>
      </c>
      <c r="S377" s="14"/>
      <c r="T377" s="14"/>
      <c r="U377" s="14"/>
      <c r="V377" s="14"/>
      <c r="W377" s="14"/>
      <c r="X377" s="14"/>
      <c r="Y377" s="14"/>
      <c r="Z377" s="14"/>
      <c r="AA377" s="14"/>
      <c r="AB377" s="14"/>
    </row>
    <row r="378">
      <c r="C378" s="93"/>
      <c r="D378" s="93"/>
      <c r="G378" s="60"/>
      <c r="H378" s="93"/>
      <c r="I378" s="93"/>
      <c r="J378" s="93"/>
      <c r="L378" s="14" t="str">
        <f>IFERROR(__xludf.DUMMYFUNCTION("IF(REGEXMATCH($B378,L$1),$D378,"""")"),"")</f>
        <v/>
      </c>
      <c r="M378" s="14" t="str">
        <f>IFERROR(__xludf.DUMMYFUNCTION("IF(REGEXMATCH($B378,M$1),$D378,"""")"),"")</f>
        <v/>
      </c>
      <c r="N378" s="14" t="str">
        <f>IFERROR(__xludf.DUMMYFUNCTION("IF(REGEXMATCH($B378,N$1),$D378,"""")"),"")</f>
        <v/>
      </c>
      <c r="O378" s="14" t="str">
        <f>IFERROR(__xludf.DUMMYFUNCTION("IF(REGEXMATCH($B378,O$1),$D378,"""")"),"")</f>
        <v/>
      </c>
      <c r="P378" s="14" t="str">
        <f>IFERROR(__xludf.DUMMYFUNCTION("IF(REGEXMATCH($B378,P$1),$D378,"""")"),"")</f>
        <v/>
      </c>
      <c r="Q378" s="14" t="str">
        <f>IFERROR(__xludf.DUMMYFUNCTION("IF($A378="""","""",LEN(REGEXREPLACE($I378,"",\s?"","""")))"),"")</f>
        <v/>
      </c>
      <c r="S378" s="14"/>
      <c r="T378" s="14"/>
      <c r="U378" s="14"/>
      <c r="V378" s="14"/>
      <c r="W378" s="14"/>
      <c r="X378" s="14"/>
      <c r="Y378" s="14"/>
      <c r="Z378" s="14"/>
      <c r="AA378" s="14"/>
      <c r="AB378" s="14"/>
    </row>
    <row r="379">
      <c r="C379" s="93"/>
      <c r="D379" s="93"/>
      <c r="G379" s="60"/>
      <c r="H379" s="93"/>
      <c r="I379" s="93"/>
      <c r="J379" s="93"/>
      <c r="L379" s="14" t="str">
        <f>IFERROR(__xludf.DUMMYFUNCTION("IF(REGEXMATCH($B379,L$1),$D379,"""")"),"")</f>
        <v/>
      </c>
      <c r="M379" s="14" t="str">
        <f>IFERROR(__xludf.DUMMYFUNCTION("IF(REGEXMATCH($B379,M$1),$D379,"""")"),"")</f>
        <v/>
      </c>
      <c r="N379" s="14" t="str">
        <f>IFERROR(__xludf.DUMMYFUNCTION("IF(REGEXMATCH($B379,N$1),$D379,"""")"),"")</f>
        <v/>
      </c>
      <c r="O379" s="14" t="str">
        <f>IFERROR(__xludf.DUMMYFUNCTION("IF(REGEXMATCH($B379,O$1),$D379,"""")"),"")</f>
        <v/>
      </c>
      <c r="P379" s="14" t="str">
        <f>IFERROR(__xludf.DUMMYFUNCTION("IF(REGEXMATCH($B379,P$1),$D379,"""")"),"")</f>
        <v/>
      </c>
      <c r="Q379" s="14" t="str">
        <f>IFERROR(__xludf.DUMMYFUNCTION("IF($A379="""","""",LEN(REGEXREPLACE($I379,"",\s?"","""")))"),"")</f>
        <v/>
      </c>
      <c r="S379" s="14"/>
      <c r="T379" s="14"/>
      <c r="U379" s="14"/>
      <c r="V379" s="14"/>
      <c r="W379" s="14"/>
      <c r="X379" s="14"/>
      <c r="Y379" s="14"/>
      <c r="Z379" s="14"/>
      <c r="AA379" s="14"/>
      <c r="AB379" s="14"/>
    </row>
    <row r="380">
      <c r="C380" s="93"/>
      <c r="D380" s="93"/>
      <c r="G380" s="60"/>
      <c r="H380" s="93"/>
      <c r="I380" s="93"/>
      <c r="J380" s="93"/>
      <c r="L380" s="14" t="str">
        <f>IFERROR(__xludf.DUMMYFUNCTION("IF(REGEXMATCH($B380,L$1),$D380,"""")"),"")</f>
        <v/>
      </c>
      <c r="M380" s="14" t="str">
        <f>IFERROR(__xludf.DUMMYFUNCTION("IF(REGEXMATCH($B380,M$1),$D380,"""")"),"")</f>
        <v/>
      </c>
      <c r="N380" s="14" t="str">
        <f>IFERROR(__xludf.DUMMYFUNCTION("IF(REGEXMATCH($B380,N$1),$D380,"""")"),"")</f>
        <v/>
      </c>
      <c r="O380" s="14" t="str">
        <f>IFERROR(__xludf.DUMMYFUNCTION("IF(REGEXMATCH($B380,O$1),$D380,"""")"),"")</f>
        <v/>
      </c>
      <c r="P380" s="14" t="str">
        <f>IFERROR(__xludf.DUMMYFUNCTION("IF(REGEXMATCH($B380,P$1),$D380,"""")"),"")</f>
        <v/>
      </c>
      <c r="Q380" s="14" t="str">
        <f>IFERROR(__xludf.DUMMYFUNCTION("IF($A380="""","""",LEN(REGEXREPLACE($I380,"",\s?"","""")))"),"")</f>
        <v/>
      </c>
      <c r="S380" s="14"/>
      <c r="T380" s="14"/>
      <c r="U380" s="14"/>
      <c r="V380" s="14"/>
      <c r="W380" s="14"/>
      <c r="X380" s="14"/>
      <c r="Y380" s="14"/>
      <c r="Z380" s="14"/>
      <c r="AA380" s="14"/>
      <c r="AB380" s="14"/>
    </row>
    <row r="381">
      <c r="C381" s="93"/>
      <c r="D381" s="93"/>
      <c r="G381" s="60"/>
      <c r="H381" s="93"/>
      <c r="I381" s="93"/>
      <c r="J381" s="93"/>
      <c r="L381" s="14" t="str">
        <f>IFERROR(__xludf.DUMMYFUNCTION("IF(REGEXMATCH($B381,L$1),$D381,"""")"),"")</f>
        <v/>
      </c>
      <c r="M381" s="14" t="str">
        <f>IFERROR(__xludf.DUMMYFUNCTION("IF(REGEXMATCH($B381,M$1),$D381,"""")"),"")</f>
        <v/>
      </c>
      <c r="N381" s="14" t="str">
        <f>IFERROR(__xludf.DUMMYFUNCTION("IF(REGEXMATCH($B381,N$1),$D381,"""")"),"")</f>
        <v/>
      </c>
      <c r="O381" s="14" t="str">
        <f>IFERROR(__xludf.DUMMYFUNCTION("IF(REGEXMATCH($B381,O$1),$D381,"""")"),"")</f>
        <v/>
      </c>
      <c r="P381" s="14" t="str">
        <f>IFERROR(__xludf.DUMMYFUNCTION("IF(REGEXMATCH($B381,P$1),$D381,"""")"),"")</f>
        <v/>
      </c>
      <c r="Q381" s="14" t="str">
        <f>IFERROR(__xludf.DUMMYFUNCTION("IF($A381="""","""",LEN(REGEXREPLACE($I381,"",\s?"","""")))"),"")</f>
        <v/>
      </c>
      <c r="S381" s="14"/>
      <c r="T381" s="14"/>
      <c r="U381" s="14"/>
      <c r="V381" s="14"/>
      <c r="W381" s="14"/>
      <c r="X381" s="14"/>
      <c r="Y381" s="14"/>
      <c r="Z381" s="14"/>
      <c r="AA381" s="14"/>
      <c r="AB381" s="14"/>
    </row>
    <row r="382">
      <c r="C382" s="93"/>
      <c r="D382" s="93"/>
      <c r="G382" s="60"/>
      <c r="H382" s="93"/>
      <c r="I382" s="93"/>
      <c r="J382" s="93"/>
      <c r="L382" s="14" t="str">
        <f>IFERROR(__xludf.DUMMYFUNCTION("IF(REGEXMATCH($B382,L$1),$D382,"""")"),"")</f>
        <v/>
      </c>
      <c r="M382" s="14" t="str">
        <f>IFERROR(__xludf.DUMMYFUNCTION("IF(REGEXMATCH($B382,M$1),$D382,"""")"),"")</f>
        <v/>
      </c>
      <c r="N382" s="14" t="str">
        <f>IFERROR(__xludf.DUMMYFUNCTION("IF(REGEXMATCH($B382,N$1),$D382,"""")"),"")</f>
        <v/>
      </c>
      <c r="O382" s="14" t="str">
        <f>IFERROR(__xludf.DUMMYFUNCTION("IF(REGEXMATCH($B382,O$1),$D382,"""")"),"")</f>
        <v/>
      </c>
      <c r="P382" s="14" t="str">
        <f>IFERROR(__xludf.DUMMYFUNCTION("IF(REGEXMATCH($B382,P$1),$D382,"""")"),"")</f>
        <v/>
      </c>
      <c r="Q382" s="14" t="str">
        <f>IFERROR(__xludf.DUMMYFUNCTION("IF($A382="""","""",LEN(REGEXREPLACE($I382,"",\s?"","""")))"),"")</f>
        <v/>
      </c>
      <c r="S382" s="14"/>
      <c r="T382" s="14"/>
      <c r="U382" s="14"/>
      <c r="V382" s="14"/>
      <c r="W382" s="14"/>
      <c r="X382" s="14"/>
      <c r="Y382" s="14"/>
      <c r="Z382" s="14"/>
      <c r="AA382" s="14"/>
      <c r="AB382" s="14"/>
    </row>
    <row r="383">
      <c r="C383" s="93"/>
      <c r="D383" s="93"/>
      <c r="G383" s="60"/>
      <c r="H383" s="93"/>
      <c r="I383" s="93"/>
      <c r="J383" s="93"/>
      <c r="L383" s="14" t="str">
        <f>IFERROR(__xludf.DUMMYFUNCTION("IF(REGEXMATCH($B383,L$1),$D383,"""")"),"")</f>
        <v/>
      </c>
      <c r="M383" s="14" t="str">
        <f>IFERROR(__xludf.DUMMYFUNCTION("IF(REGEXMATCH($B383,M$1),$D383,"""")"),"")</f>
        <v/>
      </c>
      <c r="N383" s="14" t="str">
        <f>IFERROR(__xludf.DUMMYFUNCTION("IF(REGEXMATCH($B383,N$1),$D383,"""")"),"")</f>
        <v/>
      </c>
      <c r="O383" s="14" t="str">
        <f>IFERROR(__xludf.DUMMYFUNCTION("IF(REGEXMATCH($B383,O$1),$D383,"""")"),"")</f>
        <v/>
      </c>
      <c r="P383" s="14" t="str">
        <f>IFERROR(__xludf.DUMMYFUNCTION("IF(REGEXMATCH($B383,P$1),$D383,"""")"),"")</f>
        <v/>
      </c>
      <c r="Q383" s="14" t="str">
        <f>IFERROR(__xludf.DUMMYFUNCTION("IF($A383="""","""",LEN(REGEXREPLACE($I383,"",\s?"","""")))"),"")</f>
        <v/>
      </c>
      <c r="S383" s="14"/>
      <c r="T383" s="14"/>
      <c r="U383" s="14"/>
      <c r="V383" s="14"/>
      <c r="W383" s="14"/>
      <c r="X383" s="14"/>
      <c r="Y383" s="14"/>
      <c r="Z383" s="14"/>
      <c r="AA383" s="14"/>
      <c r="AB383" s="14"/>
    </row>
    <row r="384">
      <c r="C384" s="93"/>
      <c r="D384" s="93"/>
      <c r="G384" s="60"/>
      <c r="H384" s="93"/>
      <c r="I384" s="93"/>
      <c r="J384" s="93"/>
      <c r="L384" s="14" t="str">
        <f>IFERROR(__xludf.DUMMYFUNCTION("IF(REGEXMATCH($B384,L$1),$D384,"""")"),"")</f>
        <v/>
      </c>
      <c r="M384" s="14" t="str">
        <f>IFERROR(__xludf.DUMMYFUNCTION("IF(REGEXMATCH($B384,M$1),$D384,"""")"),"")</f>
        <v/>
      </c>
      <c r="N384" s="14" t="str">
        <f>IFERROR(__xludf.DUMMYFUNCTION("IF(REGEXMATCH($B384,N$1),$D384,"""")"),"")</f>
        <v/>
      </c>
      <c r="O384" s="14" t="str">
        <f>IFERROR(__xludf.DUMMYFUNCTION("IF(REGEXMATCH($B384,O$1),$D384,"""")"),"")</f>
        <v/>
      </c>
      <c r="P384" s="14" t="str">
        <f>IFERROR(__xludf.DUMMYFUNCTION("IF(REGEXMATCH($B384,P$1),$D384,"""")"),"")</f>
        <v/>
      </c>
      <c r="Q384" s="14" t="str">
        <f>IFERROR(__xludf.DUMMYFUNCTION("IF($A384="""","""",LEN(REGEXREPLACE($I384,"",\s?"","""")))"),"")</f>
        <v/>
      </c>
      <c r="S384" s="14"/>
      <c r="T384" s="14"/>
      <c r="U384" s="14"/>
      <c r="V384" s="14"/>
      <c r="W384" s="14"/>
      <c r="X384" s="14"/>
      <c r="Y384" s="14"/>
      <c r="Z384" s="14"/>
      <c r="AA384" s="14"/>
      <c r="AB384" s="14"/>
    </row>
    <row r="385">
      <c r="C385" s="93"/>
      <c r="D385" s="93"/>
      <c r="G385" s="60"/>
      <c r="H385" s="93"/>
      <c r="I385" s="93"/>
      <c r="J385" s="93"/>
      <c r="L385" s="14" t="str">
        <f>IFERROR(__xludf.DUMMYFUNCTION("IF(REGEXMATCH($B385,L$1),$D385,"""")"),"")</f>
        <v/>
      </c>
      <c r="M385" s="14" t="str">
        <f>IFERROR(__xludf.DUMMYFUNCTION("IF(REGEXMATCH($B385,M$1),$D385,"""")"),"")</f>
        <v/>
      </c>
      <c r="N385" s="14" t="str">
        <f>IFERROR(__xludf.DUMMYFUNCTION("IF(REGEXMATCH($B385,N$1),$D385,"""")"),"")</f>
        <v/>
      </c>
      <c r="O385" s="14" t="str">
        <f>IFERROR(__xludf.DUMMYFUNCTION("IF(REGEXMATCH($B385,O$1),$D385,"""")"),"")</f>
        <v/>
      </c>
      <c r="P385" s="14" t="str">
        <f>IFERROR(__xludf.DUMMYFUNCTION("IF(REGEXMATCH($B385,P$1),$D385,"""")"),"")</f>
        <v/>
      </c>
      <c r="Q385" s="14" t="str">
        <f>IFERROR(__xludf.DUMMYFUNCTION("IF($A385="""","""",LEN(REGEXREPLACE($I385,"",\s?"","""")))"),"")</f>
        <v/>
      </c>
      <c r="S385" s="14"/>
      <c r="T385" s="14"/>
      <c r="U385" s="14"/>
      <c r="V385" s="14"/>
      <c r="W385" s="14"/>
      <c r="X385" s="14"/>
      <c r="Y385" s="14"/>
      <c r="Z385" s="14"/>
      <c r="AA385" s="14"/>
      <c r="AB385" s="14"/>
    </row>
    <row r="386">
      <c r="C386" s="93"/>
      <c r="D386" s="93"/>
      <c r="G386" s="60"/>
      <c r="H386" s="93"/>
      <c r="I386" s="93"/>
      <c r="J386" s="93"/>
      <c r="L386" s="14" t="str">
        <f>IFERROR(__xludf.DUMMYFUNCTION("IF(REGEXMATCH($B386,L$1),$D386,"""")"),"")</f>
        <v/>
      </c>
      <c r="M386" s="14" t="str">
        <f>IFERROR(__xludf.DUMMYFUNCTION("IF(REGEXMATCH($B386,M$1),$D386,"""")"),"")</f>
        <v/>
      </c>
      <c r="N386" s="14" t="str">
        <f>IFERROR(__xludf.DUMMYFUNCTION("IF(REGEXMATCH($B386,N$1),$D386,"""")"),"")</f>
        <v/>
      </c>
      <c r="O386" s="14" t="str">
        <f>IFERROR(__xludf.DUMMYFUNCTION("IF(REGEXMATCH($B386,O$1),$D386,"""")"),"")</f>
        <v/>
      </c>
      <c r="P386" s="14" t="str">
        <f>IFERROR(__xludf.DUMMYFUNCTION("IF(REGEXMATCH($B386,P$1),$D386,"""")"),"")</f>
        <v/>
      </c>
      <c r="Q386" s="14" t="str">
        <f>IFERROR(__xludf.DUMMYFUNCTION("IF($A386="""","""",LEN(REGEXREPLACE($I386,"",\s?"","""")))"),"")</f>
        <v/>
      </c>
      <c r="S386" s="14"/>
      <c r="T386" s="14"/>
      <c r="U386" s="14"/>
      <c r="V386" s="14"/>
      <c r="W386" s="14"/>
      <c r="X386" s="14"/>
      <c r="Y386" s="14"/>
      <c r="Z386" s="14"/>
      <c r="AA386" s="14"/>
      <c r="AB386" s="14"/>
    </row>
    <row r="387">
      <c r="C387" s="93"/>
      <c r="D387" s="93"/>
      <c r="G387" s="60"/>
      <c r="H387" s="93"/>
      <c r="I387" s="93"/>
      <c r="J387" s="93"/>
      <c r="L387" s="14" t="str">
        <f>IFERROR(__xludf.DUMMYFUNCTION("IF(REGEXMATCH($B387,L$1),$D387,"""")"),"")</f>
        <v/>
      </c>
      <c r="M387" s="14" t="str">
        <f>IFERROR(__xludf.DUMMYFUNCTION("IF(REGEXMATCH($B387,M$1),$D387,"""")"),"")</f>
        <v/>
      </c>
      <c r="N387" s="14" t="str">
        <f>IFERROR(__xludf.DUMMYFUNCTION("IF(REGEXMATCH($B387,N$1),$D387,"""")"),"")</f>
        <v/>
      </c>
      <c r="O387" s="14" t="str">
        <f>IFERROR(__xludf.DUMMYFUNCTION("IF(REGEXMATCH($B387,O$1),$D387,"""")"),"")</f>
        <v/>
      </c>
      <c r="P387" s="14" t="str">
        <f>IFERROR(__xludf.DUMMYFUNCTION("IF(REGEXMATCH($B387,P$1),$D387,"""")"),"")</f>
        <v/>
      </c>
      <c r="Q387" s="14" t="str">
        <f>IFERROR(__xludf.DUMMYFUNCTION("IF($A387="""","""",LEN(REGEXREPLACE($I387,"",\s?"","""")))"),"")</f>
        <v/>
      </c>
      <c r="S387" s="14"/>
      <c r="T387" s="14"/>
      <c r="U387" s="14"/>
      <c r="V387" s="14"/>
      <c r="W387" s="14"/>
      <c r="X387" s="14"/>
      <c r="Y387" s="14"/>
      <c r="Z387" s="14"/>
      <c r="AA387" s="14"/>
      <c r="AB387" s="14"/>
    </row>
    <row r="388">
      <c r="C388" s="93"/>
      <c r="D388" s="93"/>
      <c r="G388" s="60"/>
      <c r="H388" s="93"/>
      <c r="I388" s="93"/>
      <c r="J388" s="93"/>
      <c r="L388" s="14" t="str">
        <f>IFERROR(__xludf.DUMMYFUNCTION("IF(REGEXMATCH($B388,L$1),$D388,"""")"),"")</f>
        <v/>
      </c>
      <c r="M388" s="14" t="str">
        <f>IFERROR(__xludf.DUMMYFUNCTION("IF(REGEXMATCH($B388,M$1),$D388,"""")"),"")</f>
        <v/>
      </c>
      <c r="N388" s="14" t="str">
        <f>IFERROR(__xludf.DUMMYFUNCTION("IF(REGEXMATCH($B388,N$1),$D388,"""")"),"")</f>
        <v/>
      </c>
      <c r="O388" s="14" t="str">
        <f>IFERROR(__xludf.DUMMYFUNCTION("IF(REGEXMATCH($B388,O$1),$D388,"""")"),"")</f>
        <v/>
      </c>
      <c r="P388" s="14" t="str">
        <f>IFERROR(__xludf.DUMMYFUNCTION("IF(REGEXMATCH($B388,P$1),$D388,"""")"),"")</f>
        <v/>
      </c>
      <c r="Q388" s="14" t="str">
        <f>IFERROR(__xludf.DUMMYFUNCTION("IF($A388="""","""",LEN(REGEXREPLACE($I388,"",\s?"","""")))"),"")</f>
        <v/>
      </c>
      <c r="S388" s="14"/>
      <c r="T388" s="14"/>
      <c r="U388" s="14"/>
      <c r="V388" s="14"/>
      <c r="W388" s="14"/>
      <c r="X388" s="14"/>
      <c r="Y388" s="14"/>
      <c r="Z388" s="14"/>
      <c r="AA388" s="14"/>
      <c r="AB388" s="14"/>
    </row>
    <row r="389">
      <c r="C389" s="93"/>
      <c r="D389" s="93"/>
      <c r="G389" s="60"/>
      <c r="H389" s="93"/>
      <c r="I389" s="93"/>
      <c r="J389" s="93"/>
      <c r="L389" s="14" t="str">
        <f>IFERROR(__xludf.DUMMYFUNCTION("IF(REGEXMATCH($B389,L$1),$D389,"""")"),"")</f>
        <v/>
      </c>
      <c r="M389" s="14" t="str">
        <f>IFERROR(__xludf.DUMMYFUNCTION("IF(REGEXMATCH($B389,M$1),$D389,"""")"),"")</f>
        <v/>
      </c>
      <c r="N389" s="14" t="str">
        <f>IFERROR(__xludf.DUMMYFUNCTION("IF(REGEXMATCH($B389,N$1),$D389,"""")"),"")</f>
        <v/>
      </c>
      <c r="O389" s="14" t="str">
        <f>IFERROR(__xludf.DUMMYFUNCTION("IF(REGEXMATCH($B389,O$1),$D389,"""")"),"")</f>
        <v/>
      </c>
      <c r="P389" s="14" t="str">
        <f>IFERROR(__xludf.DUMMYFUNCTION("IF(REGEXMATCH($B389,P$1),$D389,"""")"),"")</f>
        <v/>
      </c>
      <c r="Q389" s="14" t="str">
        <f>IFERROR(__xludf.DUMMYFUNCTION("IF($A389="""","""",LEN(REGEXREPLACE($I389,"",\s?"","""")))"),"")</f>
        <v/>
      </c>
      <c r="S389" s="14"/>
      <c r="T389" s="14"/>
      <c r="U389" s="14"/>
      <c r="V389" s="14"/>
      <c r="W389" s="14"/>
      <c r="X389" s="14"/>
      <c r="Y389" s="14"/>
      <c r="Z389" s="14"/>
      <c r="AA389" s="14"/>
      <c r="AB389" s="14"/>
    </row>
    <row r="390">
      <c r="C390" s="93"/>
      <c r="D390" s="93"/>
      <c r="G390" s="60"/>
      <c r="H390" s="93"/>
      <c r="I390" s="93"/>
      <c r="J390" s="93"/>
      <c r="L390" s="14" t="str">
        <f>IFERROR(__xludf.DUMMYFUNCTION("IF(REGEXMATCH($B390,L$1),$D390,"""")"),"")</f>
        <v/>
      </c>
      <c r="M390" s="14" t="str">
        <f>IFERROR(__xludf.DUMMYFUNCTION("IF(REGEXMATCH($B390,M$1),$D390,"""")"),"")</f>
        <v/>
      </c>
      <c r="N390" s="14" t="str">
        <f>IFERROR(__xludf.DUMMYFUNCTION("IF(REGEXMATCH($B390,N$1),$D390,"""")"),"")</f>
        <v/>
      </c>
      <c r="O390" s="14" t="str">
        <f>IFERROR(__xludf.DUMMYFUNCTION("IF(REGEXMATCH($B390,O$1),$D390,"""")"),"")</f>
        <v/>
      </c>
      <c r="P390" s="14" t="str">
        <f>IFERROR(__xludf.DUMMYFUNCTION("IF(REGEXMATCH($B390,P$1),$D390,"""")"),"")</f>
        <v/>
      </c>
      <c r="Q390" s="14" t="str">
        <f>IFERROR(__xludf.DUMMYFUNCTION("IF($A390="""","""",LEN(REGEXREPLACE($I390,"",\s?"","""")))"),"")</f>
        <v/>
      </c>
      <c r="S390" s="14"/>
      <c r="T390" s="14"/>
      <c r="U390" s="14"/>
      <c r="V390" s="14"/>
      <c r="W390" s="14"/>
      <c r="X390" s="14"/>
      <c r="Y390" s="14"/>
      <c r="Z390" s="14"/>
      <c r="AA390" s="14"/>
      <c r="AB390" s="14"/>
    </row>
    <row r="391">
      <c r="C391" s="93"/>
      <c r="D391" s="93"/>
      <c r="G391" s="60"/>
      <c r="H391" s="93"/>
      <c r="I391" s="93"/>
      <c r="J391" s="93"/>
      <c r="L391" s="14" t="str">
        <f>IFERROR(__xludf.DUMMYFUNCTION("IF(REGEXMATCH($B391,L$1),$D391,"""")"),"")</f>
        <v/>
      </c>
      <c r="M391" s="14" t="str">
        <f>IFERROR(__xludf.DUMMYFUNCTION("IF(REGEXMATCH($B391,M$1),$D391,"""")"),"")</f>
        <v/>
      </c>
      <c r="N391" s="14" t="str">
        <f>IFERROR(__xludf.DUMMYFUNCTION("IF(REGEXMATCH($B391,N$1),$D391,"""")"),"")</f>
        <v/>
      </c>
      <c r="O391" s="14" t="str">
        <f>IFERROR(__xludf.DUMMYFUNCTION("IF(REGEXMATCH($B391,O$1),$D391,"""")"),"")</f>
        <v/>
      </c>
      <c r="P391" s="14" t="str">
        <f>IFERROR(__xludf.DUMMYFUNCTION("IF(REGEXMATCH($B391,P$1),$D391,"""")"),"")</f>
        <v/>
      </c>
      <c r="Q391" s="14" t="str">
        <f>IFERROR(__xludf.DUMMYFUNCTION("IF($A391="""","""",LEN(REGEXREPLACE($I391,"",\s?"","""")))"),"")</f>
        <v/>
      </c>
      <c r="S391" s="14"/>
      <c r="T391" s="14"/>
      <c r="U391" s="14"/>
      <c r="V391" s="14"/>
      <c r="W391" s="14"/>
      <c r="X391" s="14"/>
      <c r="Y391" s="14"/>
      <c r="Z391" s="14"/>
      <c r="AA391" s="14"/>
      <c r="AB391" s="14"/>
    </row>
    <row r="392">
      <c r="C392" s="93"/>
      <c r="D392" s="93"/>
      <c r="G392" s="60"/>
      <c r="H392" s="93"/>
      <c r="I392" s="93"/>
      <c r="J392" s="93"/>
      <c r="L392" s="14" t="str">
        <f>IFERROR(__xludf.DUMMYFUNCTION("IF(REGEXMATCH($B392,L$1),$D392,"""")"),"")</f>
        <v/>
      </c>
      <c r="M392" s="14" t="str">
        <f>IFERROR(__xludf.DUMMYFUNCTION("IF(REGEXMATCH($B392,M$1),$D392,"""")"),"")</f>
        <v/>
      </c>
      <c r="N392" s="14" t="str">
        <f>IFERROR(__xludf.DUMMYFUNCTION("IF(REGEXMATCH($B392,N$1),$D392,"""")"),"")</f>
        <v/>
      </c>
      <c r="O392" s="14" t="str">
        <f>IFERROR(__xludf.DUMMYFUNCTION("IF(REGEXMATCH($B392,O$1),$D392,"""")"),"")</f>
        <v/>
      </c>
      <c r="P392" s="14" t="str">
        <f>IFERROR(__xludf.DUMMYFUNCTION("IF(REGEXMATCH($B392,P$1),$D392,"""")"),"")</f>
        <v/>
      </c>
      <c r="Q392" s="14" t="str">
        <f>IFERROR(__xludf.DUMMYFUNCTION("IF($A392="""","""",LEN(REGEXREPLACE($I392,"",\s?"","""")))"),"")</f>
        <v/>
      </c>
      <c r="S392" s="14"/>
      <c r="T392" s="14"/>
      <c r="U392" s="14"/>
      <c r="V392" s="14"/>
      <c r="W392" s="14"/>
      <c r="X392" s="14"/>
      <c r="Y392" s="14"/>
      <c r="Z392" s="14"/>
      <c r="AA392" s="14"/>
      <c r="AB392" s="14"/>
    </row>
    <row r="393">
      <c r="C393" s="93"/>
      <c r="D393" s="93"/>
      <c r="G393" s="60"/>
      <c r="H393" s="93"/>
      <c r="I393" s="93"/>
      <c r="J393" s="93"/>
      <c r="L393" s="14" t="str">
        <f>IFERROR(__xludf.DUMMYFUNCTION("IF(REGEXMATCH($B393,L$1),$D393,"""")"),"")</f>
        <v/>
      </c>
      <c r="M393" s="14" t="str">
        <f>IFERROR(__xludf.DUMMYFUNCTION("IF(REGEXMATCH($B393,M$1),$D393,"""")"),"")</f>
        <v/>
      </c>
      <c r="N393" s="14" t="str">
        <f>IFERROR(__xludf.DUMMYFUNCTION("IF(REGEXMATCH($B393,N$1),$D393,"""")"),"")</f>
        <v/>
      </c>
      <c r="O393" s="14" t="str">
        <f>IFERROR(__xludf.DUMMYFUNCTION("IF(REGEXMATCH($B393,O$1),$D393,"""")"),"")</f>
        <v/>
      </c>
      <c r="P393" s="14" t="str">
        <f>IFERROR(__xludf.DUMMYFUNCTION("IF(REGEXMATCH($B393,P$1),$D393,"""")"),"")</f>
        <v/>
      </c>
      <c r="Q393" s="14" t="str">
        <f>IFERROR(__xludf.DUMMYFUNCTION("IF($A393="""","""",LEN(REGEXREPLACE($I393,"",\s?"","""")))"),"")</f>
        <v/>
      </c>
      <c r="S393" s="14"/>
      <c r="T393" s="14"/>
      <c r="U393" s="14"/>
      <c r="V393" s="14"/>
      <c r="W393" s="14"/>
      <c r="X393" s="14"/>
      <c r="Y393" s="14"/>
      <c r="Z393" s="14"/>
      <c r="AA393" s="14"/>
      <c r="AB393" s="14"/>
    </row>
    <row r="394">
      <c r="C394" s="93"/>
      <c r="D394" s="93"/>
      <c r="G394" s="60"/>
      <c r="H394" s="93"/>
      <c r="I394" s="93"/>
      <c r="J394" s="93"/>
      <c r="L394" s="14" t="str">
        <f>IFERROR(__xludf.DUMMYFUNCTION("IF(REGEXMATCH($B394,L$1),$D394,"""")"),"")</f>
        <v/>
      </c>
      <c r="M394" s="14" t="str">
        <f>IFERROR(__xludf.DUMMYFUNCTION("IF(REGEXMATCH($B394,M$1),$D394,"""")"),"")</f>
        <v/>
      </c>
      <c r="N394" s="14" t="str">
        <f>IFERROR(__xludf.DUMMYFUNCTION("IF(REGEXMATCH($B394,N$1),$D394,"""")"),"")</f>
        <v/>
      </c>
      <c r="O394" s="14" t="str">
        <f>IFERROR(__xludf.DUMMYFUNCTION("IF(REGEXMATCH($B394,O$1),$D394,"""")"),"")</f>
        <v/>
      </c>
      <c r="P394" s="14" t="str">
        <f>IFERROR(__xludf.DUMMYFUNCTION("IF(REGEXMATCH($B394,P$1),$D394,"""")"),"")</f>
        <v/>
      </c>
      <c r="Q394" s="14" t="str">
        <f>IFERROR(__xludf.DUMMYFUNCTION("IF($A394="""","""",LEN(REGEXREPLACE($I394,"",\s?"","""")))"),"")</f>
        <v/>
      </c>
      <c r="S394" s="14"/>
      <c r="T394" s="14"/>
      <c r="U394" s="14"/>
      <c r="V394" s="14"/>
      <c r="W394" s="14"/>
      <c r="X394" s="14"/>
      <c r="Y394" s="14"/>
      <c r="Z394" s="14"/>
      <c r="AA394" s="14"/>
      <c r="AB394" s="14"/>
    </row>
    <row r="395">
      <c r="C395" s="93"/>
      <c r="D395" s="93"/>
      <c r="G395" s="60"/>
      <c r="H395" s="93"/>
      <c r="I395" s="93"/>
      <c r="J395" s="93"/>
      <c r="L395" s="14" t="str">
        <f>IFERROR(__xludf.DUMMYFUNCTION("IF(REGEXMATCH($B395,L$1),$D395,"""")"),"")</f>
        <v/>
      </c>
      <c r="M395" s="14" t="str">
        <f>IFERROR(__xludf.DUMMYFUNCTION("IF(REGEXMATCH($B395,M$1),$D395,"""")"),"")</f>
        <v/>
      </c>
      <c r="N395" s="14" t="str">
        <f>IFERROR(__xludf.DUMMYFUNCTION("IF(REGEXMATCH($B395,N$1),$D395,"""")"),"")</f>
        <v/>
      </c>
      <c r="O395" s="14" t="str">
        <f>IFERROR(__xludf.DUMMYFUNCTION("IF(REGEXMATCH($B395,O$1),$D395,"""")"),"")</f>
        <v/>
      </c>
      <c r="P395" s="14" t="str">
        <f>IFERROR(__xludf.DUMMYFUNCTION("IF(REGEXMATCH($B395,P$1),$D395,"""")"),"")</f>
        <v/>
      </c>
      <c r="Q395" s="14" t="str">
        <f>IFERROR(__xludf.DUMMYFUNCTION("IF($A395="""","""",LEN(REGEXREPLACE($I395,"",\s?"","""")))"),"")</f>
        <v/>
      </c>
      <c r="S395" s="14"/>
      <c r="T395" s="14"/>
      <c r="U395" s="14"/>
      <c r="V395" s="14"/>
      <c r="W395" s="14"/>
      <c r="X395" s="14"/>
      <c r="Y395" s="14"/>
      <c r="Z395" s="14"/>
      <c r="AA395" s="14"/>
      <c r="AB395" s="14"/>
    </row>
    <row r="396">
      <c r="C396" s="93"/>
      <c r="D396" s="93"/>
      <c r="G396" s="60"/>
      <c r="H396" s="93"/>
      <c r="I396" s="93"/>
      <c r="J396" s="93"/>
      <c r="L396" s="14" t="str">
        <f>IFERROR(__xludf.DUMMYFUNCTION("IF(REGEXMATCH($B396,L$1),$D396,"""")"),"")</f>
        <v/>
      </c>
      <c r="M396" s="14" t="str">
        <f>IFERROR(__xludf.DUMMYFUNCTION("IF(REGEXMATCH($B396,M$1),$D396,"""")"),"")</f>
        <v/>
      </c>
      <c r="N396" s="14" t="str">
        <f>IFERROR(__xludf.DUMMYFUNCTION("IF(REGEXMATCH($B396,N$1),$D396,"""")"),"")</f>
        <v/>
      </c>
      <c r="O396" s="14" t="str">
        <f>IFERROR(__xludf.DUMMYFUNCTION("IF(REGEXMATCH($B396,O$1),$D396,"""")"),"")</f>
        <v/>
      </c>
      <c r="P396" s="14" t="str">
        <f>IFERROR(__xludf.DUMMYFUNCTION("IF(REGEXMATCH($B396,P$1),$D396,"""")"),"")</f>
        <v/>
      </c>
      <c r="Q396" s="14" t="str">
        <f>IFERROR(__xludf.DUMMYFUNCTION("IF($A396="""","""",LEN(REGEXREPLACE($I396,"",\s?"","""")))"),"")</f>
        <v/>
      </c>
      <c r="S396" s="14"/>
      <c r="T396" s="14"/>
      <c r="U396" s="14"/>
      <c r="V396" s="14"/>
      <c r="W396" s="14"/>
      <c r="X396" s="14"/>
      <c r="Y396" s="14"/>
      <c r="Z396" s="14"/>
      <c r="AA396" s="14"/>
      <c r="AB396" s="14"/>
    </row>
    <row r="397">
      <c r="C397" s="93"/>
      <c r="D397" s="93"/>
      <c r="G397" s="60"/>
      <c r="H397" s="93"/>
      <c r="I397" s="93"/>
      <c r="J397" s="93"/>
      <c r="Q397" s="14" t="str">
        <f>IFERROR(__xludf.DUMMYFUNCTION("IF($A397="""","""",LEN(REGEXREPLACE($I397,"",\s?"","""")))"),"")</f>
        <v/>
      </c>
      <c r="S397" s="14"/>
      <c r="T397" s="14"/>
      <c r="U397" s="14"/>
      <c r="V397" s="14"/>
      <c r="W397" s="14"/>
      <c r="X397" s="14"/>
      <c r="Y397" s="14"/>
      <c r="Z397" s="14"/>
      <c r="AA397" s="14"/>
      <c r="AB397" s="14"/>
    </row>
    <row r="398">
      <c r="C398" s="93"/>
      <c r="D398" s="93"/>
      <c r="G398" s="60"/>
      <c r="H398" s="93"/>
      <c r="I398" s="93"/>
      <c r="J398" s="93"/>
      <c r="Q398" s="14" t="str">
        <f>IFERROR(__xludf.DUMMYFUNCTION("IF($A398="""","""",LEN(REGEXREPLACE($I398,"",\s?"","""")))"),"")</f>
        <v/>
      </c>
      <c r="S398" s="14"/>
      <c r="T398" s="14"/>
      <c r="U398" s="14"/>
      <c r="V398" s="14"/>
      <c r="W398" s="14"/>
      <c r="X398" s="14"/>
      <c r="Y398" s="14"/>
      <c r="Z398" s="14"/>
      <c r="AA398" s="14"/>
      <c r="AB398" s="14"/>
    </row>
    <row r="399">
      <c r="C399" s="93"/>
      <c r="D399" s="93"/>
      <c r="G399" s="60"/>
      <c r="H399" s="93"/>
      <c r="I399" s="93"/>
      <c r="J399" s="93"/>
      <c r="Q399" s="14" t="str">
        <f>IFERROR(__xludf.DUMMYFUNCTION("IF($A399="""","""",LEN(REGEXREPLACE($I399,"",\s?"","""")))"),"")</f>
        <v/>
      </c>
      <c r="S399" s="14"/>
      <c r="T399" s="14"/>
      <c r="U399" s="14"/>
      <c r="V399" s="14"/>
      <c r="W399" s="14"/>
      <c r="X399" s="14"/>
      <c r="Y399" s="14"/>
      <c r="Z399" s="14"/>
      <c r="AA399" s="14"/>
      <c r="AB399" s="14"/>
    </row>
    <row r="400">
      <c r="C400" s="93"/>
      <c r="D400" s="93"/>
      <c r="G400" s="60"/>
      <c r="H400" s="93"/>
      <c r="I400" s="93"/>
      <c r="J400" s="93"/>
      <c r="Q400" s="14" t="str">
        <f>IFERROR(__xludf.DUMMYFUNCTION("IF($A400="""","""",LEN(REGEXREPLACE($I400,"",\s?"","""")))"),"")</f>
        <v/>
      </c>
      <c r="S400" s="14"/>
      <c r="T400" s="14"/>
      <c r="U400" s="14"/>
      <c r="V400" s="14"/>
      <c r="W400" s="14"/>
      <c r="X400" s="14"/>
      <c r="Y400" s="14"/>
      <c r="Z400" s="14"/>
      <c r="AA400" s="14"/>
      <c r="AB400" s="14"/>
    </row>
    <row r="401">
      <c r="C401" s="93"/>
      <c r="D401" s="93"/>
      <c r="G401" s="60"/>
      <c r="H401" s="93"/>
      <c r="I401" s="93"/>
      <c r="J401" s="93"/>
      <c r="Q401" s="14" t="str">
        <f>IFERROR(__xludf.DUMMYFUNCTION("IF($A401="""","""",LEN(REGEXREPLACE($I401,"",\s?"","""")))"),"")</f>
        <v/>
      </c>
      <c r="S401" s="14"/>
      <c r="T401" s="14"/>
      <c r="U401" s="14"/>
      <c r="V401" s="14"/>
      <c r="W401" s="14"/>
      <c r="X401" s="14"/>
      <c r="Y401" s="14"/>
      <c r="Z401" s="14"/>
      <c r="AA401" s="14"/>
      <c r="AB401" s="14"/>
    </row>
    <row r="402">
      <c r="C402" s="93"/>
      <c r="D402" s="93"/>
      <c r="G402" s="60"/>
      <c r="H402" s="93"/>
      <c r="I402" s="93"/>
      <c r="J402" s="93"/>
      <c r="Q402" s="14" t="str">
        <f>IFERROR(__xludf.DUMMYFUNCTION("IF($A402="""","""",LEN(REGEXREPLACE($I402,"",\s?"","""")))"),"")</f>
        <v/>
      </c>
      <c r="S402" s="14"/>
      <c r="T402" s="14"/>
      <c r="U402" s="14"/>
      <c r="V402" s="14"/>
      <c r="W402" s="14"/>
      <c r="X402" s="14"/>
      <c r="Y402" s="14"/>
      <c r="Z402" s="14"/>
      <c r="AA402" s="14"/>
      <c r="AB402" s="14"/>
    </row>
    <row r="403">
      <c r="C403" s="93"/>
      <c r="D403" s="93"/>
      <c r="G403" s="60"/>
      <c r="H403" s="93"/>
      <c r="I403" s="93"/>
      <c r="J403" s="93"/>
      <c r="Q403" s="14" t="str">
        <f>IFERROR(__xludf.DUMMYFUNCTION("IF($A403="""","""",LEN(REGEXREPLACE($I403,"",\s?"","""")))"),"")</f>
        <v/>
      </c>
      <c r="S403" s="14"/>
      <c r="T403" s="14"/>
      <c r="U403" s="14"/>
      <c r="V403" s="14"/>
      <c r="W403" s="14"/>
      <c r="X403" s="14"/>
      <c r="Y403" s="14"/>
      <c r="Z403" s="14"/>
      <c r="AA403" s="14"/>
      <c r="AB403" s="14"/>
    </row>
    <row r="404">
      <c r="C404" s="93"/>
      <c r="D404" s="93"/>
      <c r="G404" s="60"/>
      <c r="H404" s="93"/>
      <c r="I404" s="93"/>
      <c r="J404" s="93"/>
      <c r="Q404" s="14" t="str">
        <f>IFERROR(__xludf.DUMMYFUNCTION("IF($A404="""","""",LEN(REGEXREPLACE($I404,"",\s?"","""")))"),"")</f>
        <v/>
      </c>
      <c r="S404" s="14"/>
      <c r="T404" s="14"/>
      <c r="U404" s="14"/>
      <c r="V404" s="14"/>
      <c r="W404" s="14"/>
      <c r="X404" s="14"/>
      <c r="Y404" s="14"/>
      <c r="Z404" s="14"/>
      <c r="AA404" s="14"/>
      <c r="AB404" s="14"/>
    </row>
    <row r="405">
      <c r="C405" s="93"/>
      <c r="D405" s="93"/>
      <c r="G405" s="60"/>
      <c r="H405" s="93"/>
      <c r="I405" s="93"/>
      <c r="J405" s="93"/>
      <c r="Q405" s="14" t="str">
        <f>IFERROR(__xludf.DUMMYFUNCTION("IF($A405="""","""",LEN(REGEXREPLACE($I405,"",\s?"","""")))"),"")</f>
        <v/>
      </c>
      <c r="S405" s="14"/>
      <c r="T405" s="14"/>
      <c r="U405" s="14"/>
      <c r="V405" s="14"/>
      <c r="W405" s="14"/>
      <c r="X405" s="14"/>
      <c r="Y405" s="14"/>
      <c r="Z405" s="14"/>
      <c r="AA405" s="14"/>
      <c r="AB405" s="14"/>
    </row>
    <row r="406">
      <c r="C406" s="93"/>
      <c r="D406" s="93"/>
      <c r="G406" s="60"/>
      <c r="H406" s="93"/>
      <c r="I406" s="93"/>
      <c r="J406" s="93"/>
      <c r="Q406" s="14" t="str">
        <f>IFERROR(__xludf.DUMMYFUNCTION("IF($A406="""","""",LEN(REGEXREPLACE($I406,"",\s?"","""")))"),"")</f>
        <v/>
      </c>
      <c r="S406" s="14"/>
      <c r="T406" s="14"/>
      <c r="U406" s="14"/>
      <c r="V406" s="14"/>
      <c r="W406" s="14"/>
      <c r="X406" s="14"/>
      <c r="Y406" s="14"/>
      <c r="Z406" s="14"/>
      <c r="AA406" s="14"/>
      <c r="AB406" s="14"/>
    </row>
    <row r="407">
      <c r="C407" s="93"/>
      <c r="D407" s="93"/>
      <c r="G407" s="60"/>
      <c r="H407" s="93"/>
      <c r="I407" s="93"/>
      <c r="J407" s="93"/>
      <c r="Q407" s="14" t="str">
        <f>IFERROR(__xludf.DUMMYFUNCTION("IF($A407="""","""",LEN(REGEXREPLACE($I407,"",\s?"","""")))"),"")</f>
        <v/>
      </c>
      <c r="S407" s="14"/>
      <c r="T407" s="14"/>
      <c r="U407" s="14"/>
      <c r="V407" s="14"/>
      <c r="W407" s="14"/>
      <c r="X407" s="14"/>
      <c r="Y407" s="14"/>
      <c r="Z407" s="14"/>
      <c r="AA407" s="14"/>
      <c r="AB407" s="14"/>
    </row>
    <row r="408">
      <c r="C408" s="93"/>
      <c r="D408" s="93"/>
      <c r="G408" s="60"/>
      <c r="H408" s="93"/>
      <c r="I408" s="93"/>
      <c r="J408" s="93"/>
      <c r="Q408" s="14" t="str">
        <f>IFERROR(__xludf.DUMMYFUNCTION("IF($A408="""","""",LEN(REGEXREPLACE($I408,"",\s?"","""")))"),"")</f>
        <v/>
      </c>
      <c r="S408" s="14"/>
      <c r="T408" s="14"/>
      <c r="U408" s="14"/>
      <c r="V408" s="14"/>
      <c r="W408" s="14"/>
      <c r="X408" s="14"/>
      <c r="Y408" s="14"/>
      <c r="Z408" s="14"/>
      <c r="AA408" s="14"/>
      <c r="AB408" s="14"/>
    </row>
    <row r="409">
      <c r="C409" s="93"/>
      <c r="D409" s="93"/>
      <c r="G409" s="60"/>
      <c r="H409" s="93"/>
      <c r="I409" s="93"/>
      <c r="J409" s="93"/>
      <c r="Q409" s="14" t="str">
        <f>IFERROR(__xludf.DUMMYFUNCTION("IF($A409="""","""",LEN(REGEXREPLACE($I409,"",\s?"","""")))"),"")</f>
        <v/>
      </c>
      <c r="S409" s="14"/>
      <c r="T409" s="14"/>
      <c r="U409" s="14"/>
      <c r="V409" s="14"/>
      <c r="W409" s="14"/>
      <c r="X409" s="14"/>
      <c r="Y409" s="14"/>
      <c r="Z409" s="14"/>
      <c r="AA409" s="14"/>
      <c r="AB409" s="14"/>
    </row>
    <row r="410">
      <c r="C410" s="93"/>
      <c r="D410" s="93"/>
      <c r="G410" s="60"/>
      <c r="H410" s="93"/>
      <c r="I410" s="93"/>
      <c r="J410" s="93"/>
      <c r="Q410" s="14" t="str">
        <f>IFERROR(__xludf.DUMMYFUNCTION("IF($A410="""","""",LEN(REGEXREPLACE($I410,"",\s?"","""")))"),"")</f>
        <v/>
      </c>
      <c r="S410" s="14"/>
      <c r="T410" s="14"/>
      <c r="U410" s="14"/>
      <c r="V410" s="14"/>
      <c r="W410" s="14"/>
      <c r="X410" s="14"/>
      <c r="Y410" s="14"/>
      <c r="Z410" s="14"/>
      <c r="AA410" s="14"/>
      <c r="AB410" s="14"/>
    </row>
    <row r="411">
      <c r="C411" s="93"/>
      <c r="D411" s="93"/>
      <c r="G411" s="60"/>
      <c r="H411" s="93"/>
      <c r="I411" s="93"/>
      <c r="J411" s="93"/>
      <c r="Q411" s="14" t="str">
        <f>IFERROR(__xludf.DUMMYFUNCTION("IF($A411="""","""",LEN(REGEXREPLACE($I411,"",\s?"","""")))"),"")</f>
        <v/>
      </c>
      <c r="S411" s="14"/>
      <c r="T411" s="14"/>
      <c r="U411" s="14"/>
      <c r="V411" s="14"/>
      <c r="W411" s="14"/>
      <c r="X411" s="14"/>
      <c r="Y411" s="14"/>
      <c r="Z411" s="14"/>
      <c r="AA411" s="14"/>
      <c r="AB411" s="14"/>
    </row>
    <row r="412">
      <c r="C412" s="93"/>
      <c r="D412" s="93"/>
      <c r="G412" s="60"/>
      <c r="H412" s="93"/>
      <c r="I412" s="93"/>
      <c r="J412" s="93"/>
      <c r="Q412" s="14" t="str">
        <f>IFERROR(__xludf.DUMMYFUNCTION("IF($A412="""","""",LEN(REGEXREPLACE($I412,"",\s?"","""")))"),"")</f>
        <v/>
      </c>
      <c r="S412" s="14"/>
      <c r="T412" s="14"/>
      <c r="U412" s="14"/>
      <c r="V412" s="14"/>
      <c r="W412" s="14"/>
      <c r="X412" s="14"/>
      <c r="Y412" s="14"/>
      <c r="Z412" s="14"/>
      <c r="AA412" s="14"/>
      <c r="AB412" s="14"/>
    </row>
    <row r="413">
      <c r="C413" s="93"/>
      <c r="D413" s="93"/>
      <c r="G413" s="60"/>
      <c r="H413" s="93"/>
      <c r="I413" s="93"/>
      <c r="J413" s="93"/>
      <c r="Q413" s="14" t="str">
        <f>IFERROR(__xludf.DUMMYFUNCTION("IF($A413="""","""",LEN(REGEXREPLACE($I413,"",\s?"","""")))"),"")</f>
        <v/>
      </c>
      <c r="S413" s="14"/>
      <c r="T413" s="14"/>
      <c r="U413" s="14"/>
      <c r="V413" s="14"/>
      <c r="W413" s="14"/>
      <c r="X413" s="14"/>
      <c r="Y413" s="14"/>
      <c r="Z413" s="14"/>
      <c r="AA413" s="14"/>
      <c r="AB413" s="14"/>
    </row>
    <row r="414">
      <c r="C414" s="93"/>
      <c r="D414" s="93"/>
      <c r="G414" s="60"/>
      <c r="H414" s="93"/>
      <c r="I414" s="93"/>
      <c r="J414" s="93"/>
      <c r="Q414" s="14" t="str">
        <f>IFERROR(__xludf.DUMMYFUNCTION("IF($A414="""","""",LEN(REGEXREPLACE($I414,"",\s?"","""")))"),"")</f>
        <v/>
      </c>
      <c r="S414" s="14"/>
      <c r="T414" s="14"/>
      <c r="U414" s="14"/>
      <c r="V414" s="14"/>
      <c r="W414" s="14"/>
      <c r="X414" s="14"/>
      <c r="Y414" s="14"/>
      <c r="Z414" s="14"/>
      <c r="AA414" s="14"/>
      <c r="AB414" s="14"/>
    </row>
    <row r="415">
      <c r="C415" s="93"/>
      <c r="D415" s="93"/>
      <c r="G415" s="60"/>
      <c r="H415" s="93"/>
      <c r="I415" s="93"/>
      <c r="J415" s="93"/>
      <c r="Q415" s="14" t="str">
        <f>IFERROR(__xludf.DUMMYFUNCTION("IF($A415="""","""",LEN(REGEXREPLACE($I415,"",\s?"","""")))"),"")</f>
        <v/>
      </c>
      <c r="S415" s="14"/>
      <c r="T415" s="14"/>
      <c r="U415" s="14"/>
      <c r="V415" s="14"/>
      <c r="W415" s="14"/>
      <c r="X415" s="14"/>
      <c r="Y415" s="14"/>
      <c r="Z415" s="14"/>
      <c r="AA415" s="14"/>
      <c r="AB415" s="14"/>
    </row>
    <row r="416">
      <c r="C416" s="93"/>
      <c r="D416" s="93"/>
      <c r="G416" s="60"/>
      <c r="H416" s="93"/>
      <c r="I416" s="93"/>
      <c r="J416" s="93"/>
      <c r="Q416" s="14" t="str">
        <f>IFERROR(__xludf.DUMMYFUNCTION("IF($A416="""","""",LEN(REGEXREPLACE($I416,"",\s?"","""")))"),"")</f>
        <v/>
      </c>
      <c r="S416" s="14"/>
      <c r="T416" s="14"/>
      <c r="U416" s="14"/>
      <c r="V416" s="14"/>
      <c r="W416" s="14"/>
      <c r="X416" s="14"/>
      <c r="Y416" s="14"/>
      <c r="Z416" s="14"/>
      <c r="AA416" s="14"/>
      <c r="AB416" s="14"/>
    </row>
    <row r="417">
      <c r="C417" s="93"/>
      <c r="D417" s="93"/>
      <c r="G417" s="60"/>
      <c r="H417" s="93"/>
      <c r="I417" s="93"/>
      <c r="J417" s="93"/>
      <c r="Q417" s="14" t="str">
        <f>IFERROR(__xludf.DUMMYFUNCTION("IF($A417="""","""",LEN(REGEXREPLACE($I417,"",\s?"","""")))"),"")</f>
        <v/>
      </c>
      <c r="S417" s="14"/>
      <c r="T417" s="14"/>
      <c r="U417" s="14"/>
      <c r="V417" s="14"/>
      <c r="W417" s="14"/>
      <c r="X417" s="14"/>
      <c r="Y417" s="14"/>
      <c r="Z417" s="14"/>
      <c r="AA417" s="14"/>
      <c r="AB417" s="14"/>
    </row>
    <row r="418">
      <c r="C418" s="93"/>
      <c r="D418" s="93"/>
      <c r="G418" s="60"/>
      <c r="H418" s="93"/>
      <c r="I418" s="93"/>
      <c r="J418" s="93"/>
      <c r="Q418" s="14" t="str">
        <f>IFERROR(__xludf.DUMMYFUNCTION("IF($A418="""","""",LEN(REGEXREPLACE($I418,"",\s?"","""")))"),"")</f>
        <v/>
      </c>
      <c r="S418" s="14"/>
      <c r="T418" s="14"/>
      <c r="U418" s="14"/>
      <c r="V418" s="14"/>
      <c r="W418" s="14"/>
      <c r="X418" s="14"/>
      <c r="Y418" s="14"/>
      <c r="Z418" s="14"/>
      <c r="AA418" s="14"/>
      <c r="AB418" s="14"/>
    </row>
    <row r="419">
      <c r="C419" s="93"/>
      <c r="D419" s="93"/>
      <c r="G419" s="60"/>
      <c r="H419" s="93"/>
      <c r="I419" s="93"/>
      <c r="J419" s="93"/>
      <c r="Q419" s="14" t="str">
        <f>IFERROR(__xludf.DUMMYFUNCTION("IF($A419="""","""",LEN(REGEXREPLACE($I419,"",\s?"","""")))"),"")</f>
        <v/>
      </c>
      <c r="S419" s="14"/>
      <c r="T419" s="14"/>
      <c r="U419" s="14"/>
      <c r="V419" s="14"/>
      <c r="W419" s="14"/>
      <c r="X419" s="14"/>
      <c r="Y419" s="14"/>
      <c r="Z419" s="14"/>
      <c r="AA419" s="14"/>
      <c r="AB419" s="14"/>
    </row>
    <row r="420">
      <c r="C420" s="93"/>
      <c r="D420" s="93"/>
      <c r="G420" s="60"/>
      <c r="H420" s="93"/>
      <c r="I420" s="93"/>
      <c r="J420" s="93"/>
      <c r="Q420" s="14" t="str">
        <f>IFERROR(__xludf.DUMMYFUNCTION("IF($A420="""","""",LEN(REGEXREPLACE($I420,"",\s?"","""")))"),"")</f>
        <v/>
      </c>
      <c r="S420" s="14"/>
      <c r="T420" s="14"/>
      <c r="U420" s="14"/>
      <c r="V420" s="14"/>
      <c r="W420" s="14"/>
      <c r="X420" s="14"/>
      <c r="Y420" s="14"/>
      <c r="Z420" s="14"/>
      <c r="AA420" s="14"/>
      <c r="AB420" s="14"/>
    </row>
    <row r="421">
      <c r="C421" s="93"/>
      <c r="D421" s="93"/>
      <c r="G421" s="60"/>
      <c r="H421" s="93"/>
      <c r="I421" s="93"/>
      <c r="J421" s="93"/>
      <c r="Q421" s="14" t="str">
        <f>IFERROR(__xludf.DUMMYFUNCTION("IF($A421="""","""",LEN(REGEXREPLACE($I421,"",\s?"","""")))"),"")</f>
        <v/>
      </c>
      <c r="S421" s="14"/>
      <c r="T421" s="14"/>
      <c r="U421" s="14"/>
      <c r="V421" s="14"/>
      <c r="W421" s="14"/>
      <c r="X421" s="14"/>
      <c r="Y421" s="14"/>
      <c r="Z421" s="14"/>
      <c r="AA421" s="14"/>
      <c r="AB421" s="14"/>
    </row>
    <row r="422">
      <c r="C422" s="93"/>
      <c r="D422" s="93"/>
      <c r="G422" s="60"/>
      <c r="H422" s="93"/>
      <c r="I422" s="93"/>
      <c r="J422" s="93"/>
      <c r="Q422" s="14" t="str">
        <f>IFERROR(__xludf.DUMMYFUNCTION("IF($A422="""","""",LEN(REGEXREPLACE($I422,"",\s?"","""")))"),"")</f>
        <v/>
      </c>
      <c r="S422" s="14"/>
      <c r="T422" s="14"/>
      <c r="U422" s="14"/>
      <c r="V422" s="14"/>
      <c r="W422" s="14"/>
      <c r="X422" s="14"/>
      <c r="Y422" s="14"/>
      <c r="Z422" s="14"/>
      <c r="AA422" s="14"/>
      <c r="AB422" s="14"/>
    </row>
    <row r="423">
      <c r="C423" s="93"/>
      <c r="D423" s="93"/>
      <c r="G423" s="60"/>
      <c r="H423" s="93"/>
      <c r="I423" s="93"/>
      <c r="J423" s="93"/>
      <c r="Q423" s="14" t="str">
        <f>IFERROR(__xludf.DUMMYFUNCTION("IF($A423="""","""",LEN(REGEXREPLACE($I423,"",\s?"","""")))"),"")</f>
        <v/>
      </c>
      <c r="S423" s="14"/>
      <c r="T423" s="14"/>
      <c r="U423" s="14"/>
      <c r="V423" s="14"/>
      <c r="W423" s="14"/>
      <c r="X423" s="14"/>
      <c r="Y423" s="14"/>
      <c r="Z423" s="14"/>
      <c r="AA423" s="14"/>
      <c r="AB423" s="14"/>
    </row>
    <row r="424">
      <c r="C424" s="93"/>
      <c r="D424" s="93"/>
      <c r="G424" s="60"/>
      <c r="H424" s="93"/>
      <c r="I424" s="93"/>
      <c r="J424" s="93"/>
      <c r="Q424" s="14" t="str">
        <f>IFERROR(__xludf.DUMMYFUNCTION("IF($A424="""","""",LEN(REGEXREPLACE($I424,"",\s?"","""")))"),"")</f>
        <v/>
      </c>
      <c r="S424" s="14"/>
      <c r="T424" s="14"/>
      <c r="U424" s="14"/>
      <c r="V424" s="14"/>
      <c r="W424" s="14"/>
      <c r="X424" s="14"/>
      <c r="Y424" s="14"/>
      <c r="Z424" s="14"/>
      <c r="AA424" s="14"/>
      <c r="AB424" s="14"/>
    </row>
    <row r="425">
      <c r="C425" s="93"/>
      <c r="D425" s="93"/>
      <c r="G425" s="60"/>
      <c r="H425" s="93"/>
      <c r="I425" s="93"/>
      <c r="J425" s="93"/>
      <c r="Q425" s="14" t="str">
        <f>IFERROR(__xludf.DUMMYFUNCTION("IF($A425="""","""",LEN(REGEXREPLACE($I425,"",\s?"","""")))"),"")</f>
        <v/>
      </c>
      <c r="S425" s="14"/>
      <c r="T425" s="14"/>
      <c r="U425" s="14"/>
      <c r="V425" s="14"/>
      <c r="W425" s="14"/>
      <c r="X425" s="14"/>
      <c r="Y425" s="14"/>
      <c r="Z425" s="14"/>
      <c r="AA425" s="14"/>
      <c r="AB425" s="14"/>
    </row>
    <row r="426">
      <c r="C426" s="93"/>
      <c r="D426" s="93"/>
      <c r="G426" s="60"/>
      <c r="H426" s="93"/>
      <c r="I426" s="93"/>
      <c r="J426" s="93"/>
      <c r="Q426" s="14" t="str">
        <f>IFERROR(__xludf.DUMMYFUNCTION("IF($A426="""","""",LEN(REGEXREPLACE($I426,"",\s?"","""")))"),"")</f>
        <v/>
      </c>
      <c r="S426" s="14"/>
      <c r="T426" s="14"/>
      <c r="U426" s="14"/>
      <c r="V426" s="14"/>
      <c r="W426" s="14"/>
      <c r="X426" s="14"/>
      <c r="Y426" s="14"/>
      <c r="Z426" s="14"/>
      <c r="AA426" s="14"/>
      <c r="AB426" s="14"/>
    </row>
    <row r="427">
      <c r="C427" s="93"/>
      <c r="D427" s="93"/>
      <c r="G427" s="60"/>
      <c r="H427" s="93"/>
      <c r="I427" s="93"/>
      <c r="J427" s="93"/>
      <c r="Q427" s="14" t="str">
        <f>IFERROR(__xludf.DUMMYFUNCTION("IF($A427="""","""",LEN(REGEXREPLACE($I427,"",\s?"","""")))"),"")</f>
        <v/>
      </c>
      <c r="S427" s="14"/>
      <c r="T427" s="14"/>
      <c r="U427" s="14"/>
      <c r="V427" s="14"/>
      <c r="W427" s="14"/>
      <c r="X427" s="14"/>
      <c r="Y427" s="14"/>
      <c r="Z427" s="14"/>
      <c r="AA427" s="14"/>
      <c r="AB427" s="14"/>
    </row>
    <row r="428">
      <c r="C428" s="93"/>
      <c r="D428" s="93"/>
      <c r="G428" s="60"/>
      <c r="H428" s="93"/>
      <c r="I428" s="93"/>
      <c r="J428" s="93"/>
      <c r="Q428" s="14" t="str">
        <f>IFERROR(__xludf.DUMMYFUNCTION("IF($A428="""","""",LEN(REGEXREPLACE($I428,"",\s?"","""")))"),"")</f>
        <v/>
      </c>
      <c r="S428" s="14"/>
      <c r="T428" s="14"/>
      <c r="U428" s="14"/>
      <c r="V428" s="14"/>
      <c r="W428" s="14"/>
      <c r="X428" s="14"/>
      <c r="Y428" s="14"/>
      <c r="Z428" s="14"/>
      <c r="AA428" s="14"/>
      <c r="AB428" s="14"/>
    </row>
    <row r="429">
      <c r="C429" s="93"/>
      <c r="D429" s="93"/>
      <c r="G429" s="60"/>
      <c r="H429" s="93"/>
      <c r="I429" s="93"/>
      <c r="J429" s="93"/>
      <c r="Q429" s="14" t="str">
        <f>IFERROR(__xludf.DUMMYFUNCTION("IF($A429="""","""",LEN(REGEXREPLACE($I429,"",\s?"","""")))"),"")</f>
        <v/>
      </c>
      <c r="S429" s="14"/>
      <c r="T429" s="14"/>
      <c r="U429" s="14"/>
      <c r="V429" s="14"/>
      <c r="W429" s="14"/>
      <c r="X429" s="14"/>
      <c r="Y429" s="14"/>
      <c r="Z429" s="14"/>
      <c r="AA429" s="14"/>
      <c r="AB429" s="14"/>
    </row>
    <row r="430">
      <c r="C430" s="93"/>
      <c r="D430" s="93"/>
      <c r="G430" s="60"/>
      <c r="H430" s="93"/>
      <c r="I430" s="93"/>
      <c r="J430" s="93"/>
      <c r="Q430" s="14" t="str">
        <f>IFERROR(__xludf.DUMMYFUNCTION("IF($A430="""","""",LEN(REGEXREPLACE($I430,"",\s?"","""")))"),"")</f>
        <v/>
      </c>
      <c r="S430" s="14"/>
      <c r="T430" s="14"/>
      <c r="U430" s="14"/>
      <c r="V430" s="14"/>
      <c r="W430" s="14"/>
      <c r="X430" s="14"/>
      <c r="Y430" s="14"/>
      <c r="Z430" s="14"/>
      <c r="AA430" s="14"/>
      <c r="AB430" s="14"/>
    </row>
    <row r="431">
      <c r="C431" s="93"/>
      <c r="D431" s="93"/>
      <c r="G431" s="60"/>
      <c r="H431" s="93"/>
      <c r="I431" s="93"/>
      <c r="J431" s="93"/>
      <c r="Q431" s="14" t="str">
        <f>IFERROR(__xludf.DUMMYFUNCTION("IF($A431="""","""",LEN(REGEXREPLACE($I431,"",\s?"","""")))"),"")</f>
        <v/>
      </c>
      <c r="S431" s="14"/>
      <c r="T431" s="14"/>
      <c r="U431" s="14"/>
      <c r="V431" s="14"/>
      <c r="W431" s="14"/>
      <c r="X431" s="14"/>
      <c r="Y431" s="14"/>
      <c r="Z431" s="14"/>
      <c r="AA431" s="14"/>
      <c r="AB431" s="14"/>
    </row>
    <row r="432">
      <c r="C432" s="93"/>
      <c r="D432" s="93"/>
      <c r="G432" s="60"/>
      <c r="H432" s="93"/>
      <c r="I432" s="93"/>
      <c r="J432" s="93"/>
      <c r="Q432" s="14" t="str">
        <f>IFERROR(__xludf.DUMMYFUNCTION("IF($A432="""","""",LEN(REGEXREPLACE($I432,"",\s?"","""")))"),"")</f>
        <v/>
      </c>
      <c r="S432" s="14"/>
      <c r="T432" s="14"/>
      <c r="U432" s="14"/>
      <c r="V432" s="14"/>
      <c r="W432" s="14"/>
      <c r="X432" s="14"/>
      <c r="Y432" s="14"/>
      <c r="Z432" s="14"/>
      <c r="AA432" s="14"/>
      <c r="AB432" s="14"/>
    </row>
    <row r="433">
      <c r="C433" s="93"/>
      <c r="D433" s="93"/>
      <c r="G433" s="60"/>
      <c r="H433" s="93"/>
      <c r="I433" s="93"/>
      <c r="J433" s="93"/>
      <c r="Q433" s="14" t="str">
        <f>IFERROR(__xludf.DUMMYFUNCTION("IF($A433="""","""",LEN(REGEXREPLACE($I433,"",\s?"","""")))"),"")</f>
        <v/>
      </c>
      <c r="S433" s="14"/>
      <c r="T433" s="14"/>
      <c r="U433" s="14"/>
      <c r="V433" s="14"/>
      <c r="W433" s="14"/>
      <c r="X433" s="14"/>
      <c r="Y433" s="14"/>
      <c r="Z433" s="14"/>
      <c r="AA433" s="14"/>
      <c r="AB433" s="14"/>
    </row>
    <row r="434">
      <c r="C434" s="93"/>
      <c r="D434" s="93"/>
      <c r="G434" s="60"/>
      <c r="H434" s="93"/>
      <c r="I434" s="93"/>
      <c r="J434" s="93"/>
      <c r="Q434" s="14" t="str">
        <f>IFERROR(__xludf.DUMMYFUNCTION("IF($A434="""","""",LEN(REGEXREPLACE($I434,"",\s?"","""")))"),"")</f>
        <v/>
      </c>
      <c r="S434" s="14"/>
      <c r="T434" s="14"/>
      <c r="U434" s="14"/>
      <c r="V434" s="14"/>
      <c r="W434" s="14"/>
      <c r="X434" s="14"/>
      <c r="Y434" s="14"/>
      <c r="Z434" s="14"/>
      <c r="AA434" s="14"/>
      <c r="AB434" s="14"/>
    </row>
    <row r="435">
      <c r="C435" s="93"/>
      <c r="D435" s="93"/>
      <c r="G435" s="60"/>
      <c r="H435" s="93"/>
      <c r="I435" s="93"/>
      <c r="J435" s="93"/>
      <c r="Q435" s="14" t="str">
        <f>IFERROR(__xludf.DUMMYFUNCTION("IF($A435="""","""",LEN(REGEXREPLACE($I435,"",\s?"","""")))"),"")</f>
        <v/>
      </c>
      <c r="S435" s="14"/>
      <c r="T435" s="14"/>
      <c r="U435" s="14"/>
      <c r="V435" s="14"/>
      <c r="W435" s="14"/>
      <c r="X435" s="14"/>
      <c r="Y435" s="14"/>
      <c r="Z435" s="14"/>
      <c r="AA435" s="14"/>
      <c r="AB435" s="14"/>
    </row>
    <row r="436">
      <c r="C436" s="93"/>
      <c r="D436" s="93"/>
      <c r="G436" s="60"/>
      <c r="H436" s="93"/>
      <c r="I436" s="93"/>
      <c r="J436" s="93"/>
      <c r="Q436" s="14" t="str">
        <f>IFERROR(__xludf.DUMMYFUNCTION("IF($A436="""","""",LEN(REGEXREPLACE($I436,"",\s?"","""")))"),"")</f>
        <v/>
      </c>
      <c r="S436" s="14"/>
      <c r="T436" s="14"/>
      <c r="U436" s="14"/>
      <c r="V436" s="14"/>
      <c r="W436" s="14"/>
      <c r="X436" s="14"/>
      <c r="Y436" s="14"/>
      <c r="Z436" s="14"/>
      <c r="AA436" s="14"/>
      <c r="AB436" s="14"/>
    </row>
    <row r="437">
      <c r="C437" s="93"/>
      <c r="D437" s="93"/>
      <c r="G437" s="60"/>
      <c r="H437" s="93"/>
      <c r="I437" s="93"/>
      <c r="J437" s="93"/>
      <c r="Q437" s="14" t="str">
        <f>IFERROR(__xludf.DUMMYFUNCTION("IF($A437="""","""",LEN(REGEXREPLACE($I437,"",\s?"","""")))"),"")</f>
        <v/>
      </c>
      <c r="S437" s="14"/>
      <c r="T437" s="14"/>
      <c r="U437" s="14"/>
      <c r="V437" s="14"/>
      <c r="W437" s="14"/>
      <c r="X437" s="14"/>
      <c r="Y437" s="14"/>
      <c r="Z437" s="14"/>
      <c r="AA437" s="14"/>
      <c r="AB437" s="14"/>
    </row>
    <row r="438">
      <c r="C438" s="93"/>
      <c r="D438" s="93"/>
      <c r="G438" s="60"/>
      <c r="H438" s="93"/>
      <c r="I438" s="93"/>
      <c r="J438" s="93"/>
      <c r="Q438" s="14" t="str">
        <f>IFERROR(__xludf.DUMMYFUNCTION("IF($A438="""","""",LEN(REGEXREPLACE($I438,"",\s?"","""")))"),"")</f>
        <v/>
      </c>
      <c r="S438" s="14"/>
      <c r="T438" s="14"/>
      <c r="U438" s="14"/>
      <c r="V438" s="14"/>
      <c r="W438" s="14"/>
      <c r="X438" s="14"/>
      <c r="Y438" s="14"/>
      <c r="Z438" s="14"/>
      <c r="AA438" s="14"/>
      <c r="AB438" s="14"/>
    </row>
    <row r="439">
      <c r="C439" s="93"/>
      <c r="D439" s="93"/>
      <c r="G439" s="60"/>
      <c r="H439" s="93"/>
      <c r="I439" s="93"/>
      <c r="J439" s="93"/>
      <c r="Q439" s="14" t="str">
        <f>IFERROR(__xludf.DUMMYFUNCTION("IF($A439="""","""",LEN(REGEXREPLACE($I439,"",\s?"","""")))"),"")</f>
        <v/>
      </c>
      <c r="S439" s="14"/>
      <c r="T439" s="14"/>
      <c r="U439" s="14"/>
      <c r="V439" s="14"/>
      <c r="W439" s="14"/>
      <c r="X439" s="14"/>
      <c r="Y439" s="14"/>
      <c r="Z439" s="14"/>
      <c r="AA439" s="14"/>
      <c r="AB439" s="14"/>
    </row>
    <row r="440">
      <c r="C440" s="93"/>
      <c r="D440" s="93"/>
      <c r="G440" s="60"/>
      <c r="H440" s="93"/>
      <c r="I440" s="93"/>
      <c r="J440" s="93"/>
      <c r="Q440" s="14" t="str">
        <f>IFERROR(__xludf.DUMMYFUNCTION("IF($A440="""","""",LEN(REGEXREPLACE($I440,"",\s?"","""")))"),"")</f>
        <v/>
      </c>
      <c r="S440" s="14"/>
      <c r="T440" s="14"/>
      <c r="U440" s="14"/>
      <c r="V440" s="14"/>
      <c r="W440" s="14"/>
      <c r="X440" s="14"/>
      <c r="Y440" s="14"/>
      <c r="Z440" s="14"/>
      <c r="AA440" s="14"/>
      <c r="AB440" s="14"/>
    </row>
    <row r="441">
      <c r="C441" s="93"/>
      <c r="D441" s="93"/>
      <c r="G441" s="60"/>
      <c r="H441" s="93"/>
      <c r="I441" s="93"/>
      <c r="J441" s="93"/>
      <c r="Q441" s="14" t="str">
        <f>IFERROR(__xludf.DUMMYFUNCTION("IF($A441="""","""",LEN(REGEXREPLACE($I441,"",\s?"","""")))"),"")</f>
        <v/>
      </c>
      <c r="S441" s="14"/>
      <c r="T441" s="14"/>
      <c r="U441" s="14"/>
      <c r="V441" s="14"/>
      <c r="W441" s="14"/>
      <c r="X441" s="14"/>
      <c r="Y441" s="14"/>
      <c r="Z441" s="14"/>
      <c r="AA441" s="14"/>
      <c r="AB441" s="14"/>
    </row>
    <row r="442">
      <c r="C442" s="93"/>
      <c r="D442" s="93"/>
      <c r="G442" s="60"/>
      <c r="H442" s="93"/>
      <c r="I442" s="93"/>
      <c r="J442" s="93"/>
      <c r="Q442" s="14" t="str">
        <f>IFERROR(__xludf.DUMMYFUNCTION("IF($A442="""","""",LEN(REGEXREPLACE($I442,"",\s?"","""")))"),"")</f>
        <v/>
      </c>
      <c r="S442" s="14"/>
      <c r="T442" s="14"/>
      <c r="U442" s="14"/>
      <c r="V442" s="14"/>
      <c r="W442" s="14"/>
      <c r="X442" s="14"/>
      <c r="Y442" s="14"/>
      <c r="Z442" s="14"/>
      <c r="AA442" s="14"/>
      <c r="AB442" s="14"/>
    </row>
    <row r="443">
      <c r="C443" s="93"/>
      <c r="D443" s="93"/>
      <c r="G443" s="60"/>
      <c r="H443" s="93"/>
      <c r="I443" s="93"/>
      <c r="J443" s="93"/>
      <c r="Q443" s="14" t="str">
        <f>IFERROR(__xludf.DUMMYFUNCTION("IF($A443="""","""",LEN(REGEXREPLACE($I443,"",\s?"","""")))"),"")</f>
        <v/>
      </c>
      <c r="S443" s="14"/>
      <c r="T443" s="14"/>
      <c r="U443" s="14"/>
      <c r="V443" s="14"/>
      <c r="W443" s="14"/>
      <c r="X443" s="14"/>
      <c r="Y443" s="14"/>
      <c r="Z443" s="14"/>
      <c r="AA443" s="14"/>
      <c r="AB443" s="14"/>
    </row>
    <row r="444">
      <c r="C444" s="93"/>
      <c r="D444" s="93"/>
      <c r="G444" s="60"/>
      <c r="H444" s="93"/>
      <c r="I444" s="93"/>
      <c r="J444" s="93"/>
      <c r="Q444" s="14" t="str">
        <f>IFERROR(__xludf.DUMMYFUNCTION("IF($A444="""","""",LEN(REGEXREPLACE($I444,"",\s?"","""")))"),"")</f>
        <v/>
      </c>
      <c r="S444" s="14"/>
      <c r="T444" s="14"/>
      <c r="U444" s="14"/>
      <c r="V444" s="14"/>
      <c r="W444" s="14"/>
      <c r="X444" s="14"/>
      <c r="Y444" s="14"/>
      <c r="Z444" s="14"/>
      <c r="AA444" s="14"/>
      <c r="AB444" s="14"/>
    </row>
    <row r="445">
      <c r="C445" s="93"/>
      <c r="D445" s="93"/>
      <c r="G445" s="60"/>
      <c r="H445" s="93"/>
      <c r="I445" s="93"/>
      <c r="J445" s="93"/>
      <c r="Q445" s="14" t="str">
        <f>IFERROR(__xludf.DUMMYFUNCTION("IF($A445="""","""",LEN(REGEXREPLACE($I445,"",\s?"","""")))"),"")</f>
        <v/>
      </c>
      <c r="S445" s="14"/>
      <c r="T445" s="14"/>
      <c r="U445" s="14"/>
      <c r="V445" s="14"/>
      <c r="W445" s="14"/>
      <c r="X445" s="14"/>
      <c r="Y445" s="14"/>
      <c r="Z445" s="14"/>
      <c r="AA445" s="14"/>
      <c r="AB445" s="14"/>
    </row>
    <row r="446">
      <c r="C446" s="93"/>
      <c r="D446" s="93"/>
      <c r="G446" s="60"/>
      <c r="H446" s="93"/>
      <c r="I446" s="93"/>
      <c r="J446" s="93"/>
      <c r="Q446" s="14" t="str">
        <f>IFERROR(__xludf.DUMMYFUNCTION("IF($A446="""","""",LEN(REGEXREPLACE($I446,"",\s?"","""")))"),"")</f>
        <v/>
      </c>
      <c r="S446" s="14"/>
      <c r="T446" s="14"/>
      <c r="U446" s="14"/>
      <c r="V446" s="14"/>
      <c r="W446" s="14"/>
      <c r="X446" s="14"/>
      <c r="Y446" s="14"/>
      <c r="Z446" s="14"/>
      <c r="AA446" s="14"/>
      <c r="AB446" s="14"/>
    </row>
    <row r="447">
      <c r="C447" s="93"/>
      <c r="D447" s="93"/>
      <c r="G447" s="60"/>
      <c r="H447" s="93"/>
      <c r="I447" s="93"/>
      <c r="J447" s="93"/>
      <c r="Q447" s="14" t="str">
        <f>IFERROR(__xludf.DUMMYFUNCTION("IF($A447="""","""",LEN(REGEXREPLACE($I447,"",\s?"","""")))"),"")</f>
        <v/>
      </c>
      <c r="S447" s="14"/>
      <c r="T447" s="14"/>
      <c r="U447" s="14"/>
      <c r="V447" s="14"/>
      <c r="W447" s="14"/>
      <c r="X447" s="14"/>
      <c r="Y447" s="14"/>
      <c r="Z447" s="14"/>
      <c r="AA447" s="14"/>
      <c r="AB447" s="14"/>
    </row>
    <row r="448">
      <c r="C448" s="93"/>
      <c r="D448" s="93"/>
      <c r="G448" s="60"/>
      <c r="H448" s="93"/>
      <c r="I448" s="93"/>
      <c r="J448" s="93"/>
      <c r="Q448" s="14" t="str">
        <f>IFERROR(__xludf.DUMMYFUNCTION("IF($A448="""","""",LEN(REGEXREPLACE($I448,"",\s?"","""")))"),"")</f>
        <v/>
      </c>
      <c r="S448" s="14"/>
      <c r="T448" s="14"/>
      <c r="U448" s="14"/>
      <c r="V448" s="14"/>
      <c r="W448" s="14"/>
      <c r="X448" s="14"/>
      <c r="Y448" s="14"/>
      <c r="Z448" s="14"/>
      <c r="AA448" s="14"/>
      <c r="AB448" s="14"/>
    </row>
    <row r="449">
      <c r="C449" s="93"/>
      <c r="D449" s="93"/>
      <c r="G449" s="60"/>
      <c r="H449" s="93"/>
      <c r="I449" s="93"/>
      <c r="J449" s="93"/>
      <c r="Q449" s="14" t="str">
        <f>IFERROR(__xludf.DUMMYFUNCTION("IF($A449="""","""",LEN(REGEXREPLACE($I449,"",\s?"","""")))"),"")</f>
        <v/>
      </c>
      <c r="S449" s="14"/>
      <c r="T449" s="14"/>
      <c r="U449" s="14"/>
      <c r="V449" s="14"/>
      <c r="W449" s="14"/>
      <c r="X449" s="14"/>
      <c r="Y449" s="14"/>
      <c r="Z449" s="14"/>
      <c r="AA449" s="14"/>
      <c r="AB449" s="14"/>
    </row>
    <row r="450">
      <c r="C450" s="93"/>
      <c r="D450" s="93"/>
      <c r="G450" s="60"/>
      <c r="H450" s="93"/>
      <c r="I450" s="93"/>
      <c r="J450" s="93"/>
      <c r="Q450" s="14" t="str">
        <f>IFERROR(__xludf.DUMMYFUNCTION("IF($A450="""","""",LEN(REGEXREPLACE($I450,"",\s?"","""")))"),"")</f>
        <v/>
      </c>
      <c r="S450" s="14"/>
      <c r="T450" s="14"/>
      <c r="U450" s="14"/>
      <c r="V450" s="14"/>
      <c r="W450" s="14"/>
      <c r="X450" s="14"/>
      <c r="Y450" s="14"/>
      <c r="Z450" s="14"/>
      <c r="AA450" s="14"/>
      <c r="AB450" s="14"/>
    </row>
    <row r="451">
      <c r="C451" s="93"/>
      <c r="D451" s="93"/>
      <c r="G451" s="60"/>
      <c r="H451" s="93"/>
      <c r="I451" s="93"/>
      <c r="J451" s="93"/>
      <c r="Q451" s="14" t="str">
        <f>IFERROR(__xludf.DUMMYFUNCTION("IF($A451="""","""",LEN(REGEXREPLACE($I451,"",\s?"","""")))"),"")</f>
        <v/>
      </c>
      <c r="S451" s="14"/>
      <c r="T451" s="14"/>
      <c r="U451" s="14"/>
      <c r="V451" s="14"/>
      <c r="W451" s="14"/>
      <c r="X451" s="14"/>
      <c r="Y451" s="14"/>
      <c r="Z451" s="14"/>
      <c r="AA451" s="14"/>
      <c r="AB451" s="14"/>
    </row>
    <row r="452">
      <c r="C452" s="93"/>
      <c r="D452" s="93"/>
      <c r="G452" s="60"/>
      <c r="H452" s="93"/>
      <c r="I452" s="93"/>
      <c r="J452" s="93"/>
      <c r="Q452" s="14" t="str">
        <f>IFERROR(__xludf.DUMMYFUNCTION("IF($A452="""","""",LEN(REGEXREPLACE($I452,"",\s?"","""")))"),"")</f>
        <v/>
      </c>
      <c r="S452" s="14"/>
      <c r="T452" s="14"/>
      <c r="U452" s="14"/>
      <c r="V452" s="14"/>
      <c r="W452" s="14"/>
      <c r="X452" s="14"/>
      <c r="Y452" s="14"/>
      <c r="Z452" s="14"/>
      <c r="AA452" s="14"/>
      <c r="AB452" s="14"/>
    </row>
    <row r="453">
      <c r="C453" s="93"/>
      <c r="D453" s="93"/>
      <c r="G453" s="60"/>
      <c r="H453" s="93"/>
      <c r="I453" s="93"/>
      <c r="J453" s="93"/>
      <c r="Q453" s="14" t="str">
        <f>IFERROR(__xludf.DUMMYFUNCTION("IF($A453="""","""",LEN(REGEXREPLACE($I453,"",\s?"","""")))"),"")</f>
        <v/>
      </c>
      <c r="S453" s="14"/>
      <c r="T453" s="14"/>
      <c r="U453" s="14"/>
      <c r="V453" s="14"/>
      <c r="W453" s="14"/>
      <c r="X453" s="14"/>
      <c r="Y453" s="14"/>
      <c r="Z453" s="14"/>
      <c r="AA453" s="14"/>
      <c r="AB453" s="14"/>
    </row>
    <row r="454">
      <c r="C454" s="93"/>
      <c r="D454" s="93"/>
      <c r="G454" s="60"/>
      <c r="H454" s="93"/>
      <c r="I454" s="93"/>
      <c r="J454" s="93"/>
      <c r="Q454" s="14" t="str">
        <f>IFERROR(__xludf.DUMMYFUNCTION("IF($A454="""","""",LEN(REGEXREPLACE($I454,"",\s?"","""")))"),"")</f>
        <v/>
      </c>
      <c r="S454" s="14"/>
      <c r="T454" s="14"/>
      <c r="U454" s="14"/>
      <c r="V454" s="14"/>
      <c r="W454" s="14"/>
      <c r="X454" s="14"/>
      <c r="Y454" s="14"/>
      <c r="Z454" s="14"/>
      <c r="AA454" s="14"/>
      <c r="AB454" s="14"/>
    </row>
    <row r="455">
      <c r="C455" s="93"/>
      <c r="D455" s="93"/>
      <c r="G455" s="60"/>
      <c r="H455" s="93"/>
      <c r="I455" s="93"/>
      <c r="J455" s="93"/>
      <c r="Q455" s="14" t="str">
        <f>IFERROR(__xludf.DUMMYFUNCTION("IF($A455="""","""",LEN(REGEXREPLACE($I455,"",\s?"","""")))"),"")</f>
        <v/>
      </c>
      <c r="S455" s="14"/>
      <c r="T455" s="14"/>
      <c r="U455" s="14"/>
      <c r="V455" s="14"/>
      <c r="W455" s="14"/>
      <c r="X455" s="14"/>
      <c r="Y455" s="14"/>
      <c r="Z455" s="14"/>
      <c r="AA455" s="14"/>
      <c r="AB455" s="14"/>
    </row>
    <row r="456">
      <c r="C456" s="93"/>
      <c r="D456" s="93"/>
      <c r="G456" s="60"/>
      <c r="H456" s="93"/>
      <c r="I456" s="93"/>
      <c r="J456" s="93"/>
      <c r="Q456" s="14" t="str">
        <f>IFERROR(__xludf.DUMMYFUNCTION("IF($A456="""","""",LEN(REGEXREPLACE($I456,"",\s?"","""")))"),"")</f>
        <v/>
      </c>
      <c r="S456" s="14"/>
      <c r="T456" s="14"/>
      <c r="U456" s="14"/>
      <c r="V456" s="14"/>
      <c r="W456" s="14"/>
      <c r="X456" s="14"/>
      <c r="Y456" s="14"/>
      <c r="Z456" s="14"/>
      <c r="AA456" s="14"/>
      <c r="AB456" s="14"/>
    </row>
    <row r="457">
      <c r="C457" s="93"/>
      <c r="D457" s="93"/>
      <c r="G457" s="60"/>
      <c r="H457" s="93"/>
      <c r="I457" s="93"/>
      <c r="J457" s="93"/>
      <c r="Q457" s="14" t="str">
        <f>IFERROR(__xludf.DUMMYFUNCTION("IF($A457="""","""",LEN(REGEXREPLACE($I457,"",\s?"","""")))"),"")</f>
        <v/>
      </c>
      <c r="S457" s="14"/>
      <c r="T457" s="14"/>
      <c r="U457" s="14"/>
      <c r="V457" s="14"/>
      <c r="W457" s="14"/>
      <c r="X457" s="14"/>
      <c r="Y457" s="14"/>
      <c r="Z457" s="14"/>
      <c r="AA457" s="14"/>
      <c r="AB457" s="14"/>
    </row>
    <row r="458">
      <c r="C458" s="93"/>
      <c r="D458" s="93"/>
      <c r="G458" s="60"/>
      <c r="H458" s="93"/>
      <c r="I458" s="93"/>
      <c r="J458" s="93"/>
      <c r="Q458" s="14" t="str">
        <f>IFERROR(__xludf.DUMMYFUNCTION("IF($A458="""","""",LEN(REGEXREPLACE($I458,"",\s?"","""")))"),"")</f>
        <v/>
      </c>
      <c r="S458" s="14"/>
      <c r="T458" s="14"/>
      <c r="U458" s="14"/>
      <c r="V458" s="14"/>
      <c r="W458" s="14"/>
      <c r="X458" s="14"/>
      <c r="Y458" s="14"/>
      <c r="Z458" s="14"/>
      <c r="AA458" s="14"/>
      <c r="AB458" s="14"/>
    </row>
    <row r="459">
      <c r="C459" s="93"/>
      <c r="D459" s="93"/>
      <c r="G459" s="60"/>
      <c r="H459" s="93"/>
      <c r="I459" s="93"/>
      <c r="J459" s="93"/>
      <c r="Q459" s="14" t="str">
        <f>IFERROR(__xludf.DUMMYFUNCTION("IF($A459="""","""",LEN(REGEXREPLACE($I459,"",\s?"","""")))"),"")</f>
        <v/>
      </c>
      <c r="S459" s="14"/>
      <c r="T459" s="14"/>
      <c r="U459" s="14"/>
      <c r="V459" s="14"/>
      <c r="W459" s="14"/>
      <c r="X459" s="14"/>
      <c r="Y459" s="14"/>
      <c r="Z459" s="14"/>
      <c r="AA459" s="14"/>
      <c r="AB459" s="14"/>
    </row>
    <row r="460">
      <c r="C460" s="93"/>
      <c r="D460" s="93"/>
      <c r="G460" s="60"/>
      <c r="H460" s="93"/>
      <c r="I460" s="93"/>
      <c r="J460" s="93"/>
      <c r="Q460" s="14" t="str">
        <f>IFERROR(__xludf.DUMMYFUNCTION("IF($A460="""","""",LEN(REGEXREPLACE($I460,"",\s?"","""")))"),"")</f>
        <v/>
      </c>
      <c r="S460" s="14"/>
      <c r="T460" s="14"/>
      <c r="U460" s="14"/>
      <c r="V460" s="14"/>
      <c r="W460" s="14"/>
      <c r="X460" s="14"/>
      <c r="Y460" s="14"/>
      <c r="Z460" s="14"/>
      <c r="AA460" s="14"/>
      <c r="AB460" s="14"/>
    </row>
    <row r="461">
      <c r="C461" s="93"/>
      <c r="D461" s="93"/>
      <c r="G461" s="60"/>
      <c r="H461" s="93"/>
      <c r="I461" s="93"/>
      <c r="J461" s="93"/>
      <c r="Q461" s="14" t="str">
        <f>IFERROR(__xludf.DUMMYFUNCTION("IF($A461="""","""",LEN(REGEXREPLACE($I461,"",\s?"","""")))"),"")</f>
        <v/>
      </c>
      <c r="S461" s="14"/>
      <c r="T461" s="14"/>
      <c r="U461" s="14"/>
      <c r="V461" s="14"/>
      <c r="W461" s="14"/>
      <c r="X461" s="14"/>
      <c r="Y461" s="14"/>
      <c r="Z461" s="14"/>
      <c r="AA461" s="14"/>
      <c r="AB461" s="14"/>
    </row>
    <row r="462">
      <c r="C462" s="93"/>
      <c r="D462" s="93"/>
      <c r="G462" s="60"/>
      <c r="H462" s="93"/>
      <c r="I462" s="93"/>
      <c r="J462" s="93"/>
      <c r="Q462" s="14" t="str">
        <f>IFERROR(__xludf.DUMMYFUNCTION("IF($A462="""","""",LEN(REGEXREPLACE($I462,"",\s?"","""")))"),"")</f>
        <v/>
      </c>
      <c r="S462" s="14"/>
      <c r="T462" s="14"/>
      <c r="U462" s="14"/>
      <c r="V462" s="14"/>
      <c r="W462" s="14"/>
      <c r="X462" s="14"/>
      <c r="Y462" s="14"/>
      <c r="Z462" s="14"/>
      <c r="AA462" s="14"/>
      <c r="AB462" s="14"/>
    </row>
    <row r="463">
      <c r="C463" s="93"/>
      <c r="D463" s="93"/>
      <c r="G463" s="60"/>
      <c r="H463" s="93"/>
      <c r="I463" s="93"/>
      <c r="J463" s="93"/>
      <c r="Q463" s="14" t="str">
        <f>IFERROR(__xludf.DUMMYFUNCTION("IF($A463="""","""",LEN(REGEXREPLACE($I463,"",\s?"","""")))"),"")</f>
        <v/>
      </c>
      <c r="S463" s="14"/>
      <c r="T463" s="14"/>
      <c r="U463" s="14"/>
      <c r="V463" s="14"/>
      <c r="W463" s="14"/>
      <c r="X463" s="14"/>
      <c r="Y463" s="14"/>
      <c r="Z463" s="14"/>
      <c r="AA463" s="14"/>
      <c r="AB463" s="14"/>
    </row>
    <row r="464">
      <c r="C464" s="93"/>
      <c r="D464" s="93"/>
      <c r="G464" s="60"/>
      <c r="H464" s="93"/>
      <c r="I464" s="93"/>
      <c r="J464" s="93"/>
      <c r="Q464" s="14" t="str">
        <f>IFERROR(__xludf.DUMMYFUNCTION("IF($A464="""","""",LEN(REGEXREPLACE($I464,"",\s?"","""")))"),"")</f>
        <v/>
      </c>
      <c r="S464" s="14"/>
      <c r="T464" s="14"/>
      <c r="U464" s="14"/>
      <c r="V464" s="14"/>
      <c r="W464" s="14"/>
      <c r="X464" s="14"/>
      <c r="Y464" s="14"/>
      <c r="Z464" s="14"/>
      <c r="AA464" s="14"/>
      <c r="AB464" s="14"/>
    </row>
    <row r="465">
      <c r="C465" s="93"/>
      <c r="D465" s="93"/>
      <c r="G465" s="60"/>
      <c r="H465" s="93"/>
      <c r="I465" s="93"/>
      <c r="J465" s="93"/>
      <c r="Q465" s="14" t="str">
        <f>IFERROR(__xludf.DUMMYFUNCTION("IF($A465="""","""",LEN(REGEXREPLACE($I465,"",\s?"","""")))"),"")</f>
        <v/>
      </c>
      <c r="S465" s="14"/>
      <c r="T465" s="14"/>
      <c r="U465" s="14"/>
      <c r="V465" s="14"/>
      <c r="W465" s="14"/>
      <c r="X465" s="14"/>
      <c r="Y465" s="14"/>
      <c r="Z465" s="14"/>
      <c r="AA465" s="14"/>
      <c r="AB465" s="14"/>
    </row>
    <row r="466">
      <c r="C466" s="93"/>
      <c r="D466" s="93"/>
      <c r="G466" s="60"/>
      <c r="H466" s="93"/>
      <c r="I466" s="93"/>
      <c r="J466" s="93"/>
      <c r="Q466" s="14" t="str">
        <f>IFERROR(__xludf.DUMMYFUNCTION("IF($A466="""","""",LEN(REGEXREPLACE($I466,"",\s?"","""")))"),"")</f>
        <v/>
      </c>
      <c r="S466" s="14"/>
      <c r="T466" s="14"/>
      <c r="U466" s="14"/>
      <c r="V466" s="14"/>
      <c r="W466" s="14"/>
      <c r="X466" s="14"/>
      <c r="Y466" s="14"/>
      <c r="Z466" s="14"/>
      <c r="AA466" s="14"/>
      <c r="AB466" s="14"/>
    </row>
    <row r="467">
      <c r="C467" s="93"/>
      <c r="D467" s="93"/>
      <c r="G467" s="60"/>
      <c r="H467" s="93"/>
      <c r="I467" s="93"/>
      <c r="J467" s="93"/>
      <c r="Q467" s="14" t="str">
        <f>IFERROR(__xludf.DUMMYFUNCTION("IF($A467="""","""",LEN(REGEXREPLACE($I467,"",\s?"","""")))"),"")</f>
        <v/>
      </c>
      <c r="S467" s="14"/>
      <c r="T467" s="14"/>
      <c r="U467" s="14"/>
      <c r="V467" s="14"/>
      <c r="W467" s="14"/>
      <c r="X467" s="14"/>
      <c r="Y467" s="14"/>
      <c r="Z467" s="14"/>
      <c r="AA467" s="14"/>
      <c r="AB467" s="14"/>
    </row>
    <row r="468">
      <c r="C468" s="93"/>
      <c r="D468" s="93"/>
      <c r="G468" s="60"/>
      <c r="H468" s="93"/>
      <c r="I468" s="93"/>
      <c r="J468" s="93"/>
      <c r="Q468" s="14" t="str">
        <f>IFERROR(__xludf.DUMMYFUNCTION("IF($A468="""","""",LEN(REGEXREPLACE($I468,"",\s?"","""")))"),"")</f>
        <v/>
      </c>
      <c r="S468" s="14"/>
      <c r="T468" s="14"/>
      <c r="U468" s="14"/>
      <c r="V468" s="14"/>
      <c r="W468" s="14"/>
      <c r="X468" s="14"/>
      <c r="Y468" s="14"/>
      <c r="Z468" s="14"/>
      <c r="AA468" s="14"/>
      <c r="AB468" s="14"/>
    </row>
    <row r="469">
      <c r="C469" s="93"/>
      <c r="D469" s="93"/>
      <c r="G469" s="60"/>
      <c r="H469" s="93"/>
      <c r="I469" s="93"/>
      <c r="J469" s="93"/>
      <c r="Q469" s="14" t="str">
        <f>IFERROR(__xludf.DUMMYFUNCTION("IF($A469="""","""",LEN(REGEXREPLACE($I469,"",\s?"","""")))"),"")</f>
        <v/>
      </c>
      <c r="S469" s="14"/>
      <c r="T469" s="14"/>
      <c r="U469" s="14"/>
      <c r="V469" s="14"/>
      <c r="W469" s="14"/>
      <c r="X469" s="14"/>
      <c r="Y469" s="14"/>
      <c r="Z469" s="14"/>
      <c r="AA469" s="14"/>
      <c r="AB469" s="14"/>
    </row>
    <row r="470">
      <c r="C470" s="93"/>
      <c r="D470" s="93"/>
      <c r="G470" s="60"/>
      <c r="H470" s="93"/>
      <c r="I470" s="93"/>
      <c r="J470" s="93"/>
      <c r="Q470" s="14" t="str">
        <f>IFERROR(__xludf.DUMMYFUNCTION("IF($A470="""","""",LEN(REGEXREPLACE($I470,"",\s?"","""")))"),"")</f>
        <v/>
      </c>
      <c r="S470" s="14"/>
      <c r="T470" s="14"/>
      <c r="U470" s="14"/>
      <c r="V470" s="14"/>
      <c r="W470" s="14"/>
      <c r="X470" s="14"/>
      <c r="Y470" s="14"/>
      <c r="Z470" s="14"/>
      <c r="AA470" s="14"/>
      <c r="AB470" s="14"/>
    </row>
    <row r="471">
      <c r="C471" s="93"/>
      <c r="D471" s="93"/>
      <c r="G471" s="60"/>
      <c r="H471" s="93"/>
      <c r="I471" s="93"/>
      <c r="J471" s="93"/>
      <c r="Q471" s="14" t="str">
        <f>IFERROR(__xludf.DUMMYFUNCTION("IF($A471="""","""",LEN(REGEXREPLACE($I471,"",\s?"","""")))"),"")</f>
        <v/>
      </c>
      <c r="S471" s="14"/>
      <c r="T471" s="14"/>
      <c r="U471" s="14"/>
      <c r="V471" s="14"/>
      <c r="W471" s="14"/>
      <c r="X471" s="14"/>
      <c r="Y471" s="14"/>
      <c r="Z471" s="14"/>
      <c r="AA471" s="14"/>
      <c r="AB471" s="14"/>
    </row>
    <row r="472">
      <c r="C472" s="93"/>
      <c r="D472" s="93"/>
      <c r="G472" s="60"/>
      <c r="H472" s="93"/>
      <c r="I472" s="93"/>
      <c r="J472" s="93"/>
      <c r="Q472" s="14" t="str">
        <f>IFERROR(__xludf.DUMMYFUNCTION("IF($A472="""","""",LEN(REGEXREPLACE($I472,"",\s?"","""")))"),"")</f>
        <v/>
      </c>
      <c r="S472" s="14"/>
      <c r="T472" s="14"/>
      <c r="U472" s="14"/>
      <c r="V472" s="14"/>
      <c r="W472" s="14"/>
      <c r="X472" s="14"/>
      <c r="Y472" s="14"/>
      <c r="Z472" s="14"/>
      <c r="AA472" s="14"/>
      <c r="AB472" s="14"/>
    </row>
    <row r="473">
      <c r="C473" s="93"/>
      <c r="D473" s="93"/>
      <c r="G473" s="60"/>
      <c r="H473" s="93"/>
      <c r="I473" s="93"/>
      <c r="J473" s="93"/>
      <c r="Q473" s="14" t="str">
        <f>IFERROR(__xludf.DUMMYFUNCTION("IF($A473="""","""",LEN(REGEXREPLACE($I473,"",\s?"","""")))"),"")</f>
        <v/>
      </c>
      <c r="S473" s="14"/>
      <c r="T473" s="14"/>
      <c r="U473" s="14"/>
      <c r="V473" s="14"/>
      <c r="W473" s="14"/>
      <c r="X473" s="14"/>
      <c r="Y473" s="14"/>
      <c r="Z473" s="14"/>
      <c r="AA473" s="14"/>
      <c r="AB473" s="14"/>
    </row>
    <row r="474">
      <c r="C474" s="93"/>
      <c r="D474" s="93"/>
      <c r="G474" s="60"/>
      <c r="H474" s="93"/>
      <c r="I474" s="93"/>
      <c r="J474" s="93"/>
      <c r="Q474" s="14" t="str">
        <f>IFERROR(__xludf.DUMMYFUNCTION("IF($A474="""","""",LEN(REGEXREPLACE($I474,"",\s?"","""")))"),"")</f>
        <v/>
      </c>
      <c r="S474" s="14"/>
      <c r="T474" s="14"/>
      <c r="U474" s="14"/>
      <c r="V474" s="14"/>
      <c r="W474" s="14"/>
      <c r="X474" s="14"/>
      <c r="Y474" s="14"/>
      <c r="Z474" s="14"/>
      <c r="AA474" s="14"/>
      <c r="AB474" s="14"/>
    </row>
    <row r="475">
      <c r="C475" s="93"/>
      <c r="D475" s="93"/>
      <c r="G475" s="60"/>
      <c r="H475" s="93"/>
      <c r="I475" s="93"/>
      <c r="J475" s="93"/>
      <c r="Q475" s="14" t="str">
        <f>IFERROR(__xludf.DUMMYFUNCTION("IF($A475="""","""",LEN(REGEXREPLACE($I475,"",\s?"","""")))"),"")</f>
        <v/>
      </c>
      <c r="S475" s="14"/>
      <c r="T475" s="14"/>
      <c r="U475" s="14"/>
      <c r="V475" s="14"/>
      <c r="W475" s="14"/>
      <c r="X475" s="14"/>
      <c r="Y475" s="14"/>
      <c r="Z475" s="14"/>
      <c r="AA475" s="14"/>
      <c r="AB475" s="14"/>
    </row>
    <row r="476">
      <c r="C476" s="93"/>
      <c r="D476" s="93"/>
      <c r="G476" s="60"/>
      <c r="H476" s="93"/>
      <c r="I476" s="93"/>
      <c r="J476" s="93"/>
      <c r="Q476" s="14" t="str">
        <f>IFERROR(__xludf.DUMMYFUNCTION("IF($A476="""","""",LEN(REGEXREPLACE($I476,"",\s?"","""")))"),"")</f>
        <v/>
      </c>
      <c r="S476" s="14"/>
      <c r="T476" s="14"/>
      <c r="U476" s="14"/>
      <c r="V476" s="14"/>
      <c r="W476" s="14"/>
      <c r="X476" s="14"/>
      <c r="Y476" s="14"/>
      <c r="Z476" s="14"/>
      <c r="AA476" s="14"/>
      <c r="AB476" s="14"/>
    </row>
    <row r="477">
      <c r="C477" s="93"/>
      <c r="D477" s="93"/>
      <c r="G477" s="60"/>
      <c r="H477" s="93"/>
      <c r="I477" s="93"/>
      <c r="J477" s="93"/>
      <c r="Q477" s="14" t="str">
        <f>IFERROR(__xludf.DUMMYFUNCTION("IF($A477="""","""",LEN(REGEXREPLACE($I477,"",\s?"","""")))"),"")</f>
        <v/>
      </c>
      <c r="S477" s="14"/>
      <c r="T477" s="14"/>
      <c r="U477" s="14"/>
      <c r="V477" s="14"/>
      <c r="W477" s="14"/>
      <c r="X477" s="14"/>
      <c r="Y477" s="14"/>
      <c r="Z477" s="14"/>
      <c r="AA477" s="14"/>
      <c r="AB477" s="14"/>
    </row>
    <row r="478">
      <c r="C478" s="93"/>
      <c r="D478" s="93"/>
      <c r="G478" s="60"/>
      <c r="H478" s="93"/>
      <c r="I478" s="93"/>
      <c r="J478" s="93"/>
      <c r="Q478" s="14" t="str">
        <f>IFERROR(__xludf.DUMMYFUNCTION("IF($A478="""","""",LEN(REGEXREPLACE($I478,"",\s?"","""")))"),"")</f>
        <v/>
      </c>
      <c r="S478" s="14"/>
      <c r="T478" s="14"/>
      <c r="U478" s="14"/>
      <c r="V478" s="14"/>
      <c r="W478" s="14"/>
      <c r="X478" s="14"/>
      <c r="Y478" s="14"/>
      <c r="Z478" s="14"/>
      <c r="AA478" s="14"/>
      <c r="AB478" s="14"/>
    </row>
    <row r="479">
      <c r="C479" s="93"/>
      <c r="D479" s="93"/>
      <c r="G479" s="60"/>
      <c r="H479" s="93"/>
      <c r="I479" s="93"/>
      <c r="J479" s="93"/>
      <c r="Q479" s="14" t="str">
        <f>IFERROR(__xludf.DUMMYFUNCTION("IF($A479="""","""",LEN(REGEXREPLACE($I479,"",\s?"","""")))"),"")</f>
        <v/>
      </c>
      <c r="S479" s="14"/>
      <c r="T479" s="14"/>
      <c r="U479" s="14"/>
      <c r="V479" s="14"/>
      <c r="W479" s="14"/>
      <c r="X479" s="14"/>
      <c r="Y479" s="14"/>
      <c r="Z479" s="14"/>
      <c r="AA479" s="14"/>
      <c r="AB479" s="14"/>
    </row>
    <row r="480">
      <c r="C480" s="93"/>
      <c r="D480" s="93"/>
      <c r="G480" s="60"/>
      <c r="H480" s="93"/>
      <c r="I480" s="93"/>
      <c r="J480" s="93"/>
      <c r="Q480" s="14" t="str">
        <f>IFERROR(__xludf.DUMMYFUNCTION("IF($A480="""","""",LEN(REGEXREPLACE($I480,"",\s?"","""")))"),"")</f>
        <v/>
      </c>
      <c r="S480" s="14"/>
      <c r="T480" s="14"/>
      <c r="U480" s="14"/>
      <c r="V480" s="14"/>
      <c r="W480" s="14"/>
      <c r="X480" s="14"/>
      <c r="Y480" s="14"/>
      <c r="Z480" s="14"/>
      <c r="AA480" s="14"/>
      <c r="AB480" s="14"/>
    </row>
    <row r="481">
      <c r="C481" s="93"/>
      <c r="D481" s="93"/>
      <c r="G481" s="60"/>
      <c r="H481" s="93"/>
      <c r="I481" s="93"/>
      <c r="J481" s="93"/>
      <c r="Q481" s="14" t="str">
        <f>IFERROR(__xludf.DUMMYFUNCTION("IF($A481="""","""",LEN(REGEXREPLACE($I481,"",\s?"","""")))"),"")</f>
        <v/>
      </c>
      <c r="S481" s="14"/>
      <c r="T481" s="14"/>
      <c r="U481" s="14"/>
      <c r="V481" s="14"/>
      <c r="W481" s="14"/>
      <c r="X481" s="14"/>
      <c r="Y481" s="14"/>
      <c r="Z481" s="14"/>
      <c r="AA481" s="14"/>
      <c r="AB481" s="14"/>
    </row>
    <row r="482">
      <c r="C482" s="93"/>
      <c r="D482" s="93"/>
      <c r="G482" s="60"/>
      <c r="H482" s="93"/>
      <c r="I482" s="93"/>
      <c r="J482" s="93"/>
      <c r="Q482" s="14" t="str">
        <f>IFERROR(__xludf.DUMMYFUNCTION("IF($A482="""","""",LEN(REGEXREPLACE($I482,"",\s?"","""")))"),"")</f>
        <v/>
      </c>
      <c r="S482" s="14"/>
      <c r="T482" s="14"/>
      <c r="U482" s="14"/>
      <c r="V482" s="14"/>
      <c r="W482" s="14"/>
      <c r="X482" s="14"/>
      <c r="Y482" s="14"/>
      <c r="Z482" s="14"/>
      <c r="AA482" s="14"/>
      <c r="AB482" s="14"/>
    </row>
    <row r="483">
      <c r="C483" s="93"/>
      <c r="D483" s="93"/>
      <c r="G483" s="60"/>
      <c r="H483" s="93"/>
      <c r="I483" s="93"/>
      <c r="J483" s="93"/>
      <c r="Q483" s="14" t="str">
        <f>IFERROR(__xludf.DUMMYFUNCTION("IF($A483="""","""",LEN(REGEXREPLACE($I483,"",\s?"","""")))"),"")</f>
        <v/>
      </c>
      <c r="S483" s="14"/>
      <c r="T483" s="14"/>
      <c r="U483" s="14"/>
      <c r="V483" s="14"/>
      <c r="W483" s="14"/>
      <c r="X483" s="14"/>
      <c r="Y483" s="14"/>
      <c r="Z483" s="14"/>
      <c r="AA483" s="14"/>
      <c r="AB483" s="14"/>
    </row>
    <row r="484">
      <c r="C484" s="93"/>
      <c r="D484" s="93"/>
      <c r="G484" s="60"/>
      <c r="H484" s="93"/>
      <c r="I484" s="93"/>
      <c r="J484" s="93"/>
      <c r="Q484" s="14" t="str">
        <f>IFERROR(__xludf.DUMMYFUNCTION("IF($A484="""","""",LEN(REGEXREPLACE($I484,"",\s?"","""")))"),"")</f>
        <v/>
      </c>
      <c r="S484" s="14"/>
      <c r="T484" s="14"/>
      <c r="U484" s="14"/>
      <c r="V484" s="14"/>
      <c r="W484" s="14"/>
      <c r="X484" s="14"/>
      <c r="Y484" s="14"/>
      <c r="Z484" s="14"/>
      <c r="AA484" s="14"/>
      <c r="AB484" s="14"/>
    </row>
    <row r="485">
      <c r="C485" s="93"/>
      <c r="D485" s="93"/>
      <c r="G485" s="60"/>
      <c r="H485" s="93"/>
      <c r="I485" s="93"/>
      <c r="J485" s="93"/>
      <c r="Q485" s="14" t="str">
        <f>IFERROR(__xludf.DUMMYFUNCTION("IF($A485="""","""",LEN(REGEXREPLACE($I485,"",\s?"","""")))"),"")</f>
        <v/>
      </c>
      <c r="S485" s="14"/>
      <c r="T485" s="14"/>
      <c r="U485" s="14"/>
      <c r="V485" s="14"/>
      <c r="W485" s="14"/>
      <c r="X485" s="14"/>
      <c r="Y485" s="14"/>
      <c r="Z485" s="14"/>
      <c r="AA485" s="14"/>
      <c r="AB485" s="14"/>
    </row>
    <row r="486">
      <c r="C486" s="93"/>
      <c r="D486" s="93"/>
      <c r="G486" s="60"/>
      <c r="H486" s="93"/>
      <c r="I486" s="93"/>
      <c r="J486" s="93"/>
      <c r="Q486" s="14" t="str">
        <f>IFERROR(__xludf.DUMMYFUNCTION("IF($A486="""","""",LEN(REGEXREPLACE($I486,"",\s?"","""")))"),"")</f>
        <v/>
      </c>
      <c r="S486" s="14"/>
      <c r="T486" s="14"/>
      <c r="U486" s="14"/>
      <c r="V486" s="14"/>
      <c r="W486" s="14"/>
      <c r="X486" s="14"/>
      <c r="Y486" s="14"/>
      <c r="Z486" s="14"/>
      <c r="AA486" s="14"/>
      <c r="AB486" s="14"/>
    </row>
    <row r="487">
      <c r="C487" s="93"/>
      <c r="D487" s="93"/>
      <c r="G487" s="60"/>
      <c r="H487" s="93"/>
      <c r="I487" s="93"/>
      <c r="J487" s="93"/>
      <c r="Q487" s="14" t="str">
        <f>IFERROR(__xludf.DUMMYFUNCTION("IF($A487="""","""",LEN(REGEXREPLACE($I487,"",\s?"","""")))"),"")</f>
        <v/>
      </c>
      <c r="S487" s="14"/>
      <c r="T487" s="14"/>
      <c r="U487" s="14"/>
      <c r="V487" s="14"/>
      <c r="W487" s="14"/>
      <c r="X487" s="14"/>
      <c r="Y487" s="14"/>
      <c r="Z487" s="14"/>
      <c r="AA487" s="14"/>
      <c r="AB487" s="14"/>
    </row>
    <row r="488">
      <c r="C488" s="93"/>
      <c r="D488" s="93"/>
      <c r="G488" s="60"/>
      <c r="H488" s="93"/>
      <c r="I488" s="93"/>
      <c r="J488" s="93"/>
      <c r="Q488" s="14" t="str">
        <f>IFERROR(__xludf.DUMMYFUNCTION("IF($A488="""","""",LEN(REGEXREPLACE($I488,"",\s?"","""")))"),"")</f>
        <v/>
      </c>
      <c r="S488" s="14"/>
      <c r="T488" s="14"/>
      <c r="U488" s="14"/>
      <c r="V488" s="14"/>
      <c r="W488" s="14"/>
      <c r="X488" s="14"/>
      <c r="Y488" s="14"/>
      <c r="Z488" s="14"/>
      <c r="AA488" s="14"/>
      <c r="AB488" s="14"/>
    </row>
    <row r="489">
      <c r="C489" s="93"/>
      <c r="D489" s="93"/>
      <c r="G489" s="60"/>
      <c r="H489" s="93"/>
      <c r="I489" s="93"/>
      <c r="J489" s="93"/>
      <c r="Q489" s="14" t="str">
        <f>IFERROR(__xludf.DUMMYFUNCTION("IF($A489="""","""",LEN(REGEXREPLACE($I489,"",\s?"","""")))"),"")</f>
        <v/>
      </c>
      <c r="S489" s="14"/>
      <c r="T489" s="14"/>
      <c r="U489" s="14"/>
      <c r="V489" s="14"/>
      <c r="W489" s="14"/>
      <c r="X489" s="14"/>
      <c r="Y489" s="14"/>
      <c r="Z489" s="14"/>
      <c r="AA489" s="14"/>
      <c r="AB489" s="14"/>
    </row>
    <row r="490">
      <c r="C490" s="93"/>
      <c r="D490" s="93"/>
      <c r="G490" s="60"/>
      <c r="H490" s="93"/>
      <c r="I490" s="93"/>
      <c r="J490" s="93"/>
      <c r="Q490" s="14" t="str">
        <f>IFERROR(__xludf.DUMMYFUNCTION("IF($A490="""","""",LEN(REGEXREPLACE($I490,"",\s?"","""")))"),"")</f>
        <v/>
      </c>
      <c r="S490" s="14"/>
      <c r="T490" s="14"/>
      <c r="U490" s="14"/>
      <c r="V490" s="14"/>
      <c r="W490" s="14"/>
      <c r="X490" s="14"/>
      <c r="Y490" s="14"/>
      <c r="Z490" s="14"/>
      <c r="AA490" s="14"/>
      <c r="AB490" s="14"/>
    </row>
    <row r="491">
      <c r="C491" s="93"/>
      <c r="D491" s="93"/>
      <c r="G491" s="60"/>
      <c r="H491" s="93"/>
      <c r="I491" s="93"/>
      <c r="J491" s="93"/>
      <c r="Q491" s="14" t="str">
        <f>IFERROR(__xludf.DUMMYFUNCTION("IF($A491="""","""",LEN(REGEXREPLACE($I491,"",\s?"","""")))"),"")</f>
        <v/>
      </c>
      <c r="S491" s="14"/>
      <c r="T491" s="14"/>
      <c r="U491" s="14"/>
      <c r="V491" s="14"/>
      <c r="W491" s="14"/>
      <c r="X491" s="14"/>
      <c r="Y491" s="14"/>
      <c r="Z491" s="14"/>
      <c r="AA491" s="14"/>
      <c r="AB491" s="14"/>
    </row>
    <row r="492">
      <c r="C492" s="93"/>
      <c r="D492" s="93"/>
      <c r="G492" s="60"/>
      <c r="H492" s="93"/>
      <c r="I492" s="93"/>
      <c r="J492" s="93"/>
      <c r="S492" s="14"/>
      <c r="T492" s="14"/>
      <c r="U492" s="14"/>
      <c r="V492" s="14"/>
      <c r="W492" s="14"/>
      <c r="X492" s="14"/>
      <c r="Y492" s="14"/>
      <c r="Z492" s="14"/>
      <c r="AA492" s="14"/>
      <c r="AB492" s="14"/>
    </row>
    <row r="493">
      <c r="C493" s="93"/>
      <c r="D493" s="93"/>
      <c r="G493" s="60"/>
      <c r="H493" s="93"/>
      <c r="I493" s="93"/>
      <c r="J493" s="93"/>
      <c r="S493" s="14"/>
      <c r="T493" s="14"/>
      <c r="U493" s="14"/>
      <c r="V493" s="14"/>
      <c r="W493" s="14"/>
      <c r="X493" s="14"/>
      <c r="Y493" s="14"/>
      <c r="Z493" s="14"/>
      <c r="AA493" s="14"/>
      <c r="AB493" s="14"/>
    </row>
    <row r="494">
      <c r="C494" s="93"/>
      <c r="D494" s="93"/>
      <c r="G494" s="60"/>
      <c r="H494" s="93"/>
      <c r="I494" s="93"/>
      <c r="J494" s="93"/>
      <c r="S494" s="14"/>
      <c r="T494" s="14"/>
      <c r="U494" s="14"/>
      <c r="V494" s="14"/>
      <c r="W494" s="14"/>
      <c r="X494" s="14"/>
      <c r="Y494" s="14"/>
      <c r="Z494" s="14"/>
      <c r="AA494" s="14"/>
      <c r="AB494" s="14"/>
    </row>
    <row r="495">
      <c r="C495" s="93"/>
      <c r="D495" s="93"/>
      <c r="G495" s="60"/>
      <c r="H495" s="93"/>
      <c r="I495" s="93"/>
      <c r="J495" s="93"/>
      <c r="S495" s="14"/>
      <c r="T495" s="14"/>
      <c r="U495" s="14"/>
      <c r="V495" s="14"/>
      <c r="W495" s="14"/>
      <c r="X495" s="14"/>
      <c r="Y495" s="14"/>
      <c r="Z495" s="14"/>
      <c r="AA495" s="14"/>
      <c r="AB495" s="14"/>
    </row>
    <row r="496">
      <c r="C496" s="93"/>
      <c r="D496" s="93"/>
      <c r="G496" s="60"/>
      <c r="H496" s="93"/>
      <c r="I496" s="93"/>
      <c r="J496" s="93"/>
      <c r="S496" s="14"/>
      <c r="T496" s="14"/>
      <c r="U496" s="14"/>
      <c r="V496" s="14"/>
      <c r="W496" s="14"/>
      <c r="X496" s="14"/>
      <c r="Y496" s="14"/>
      <c r="Z496" s="14"/>
      <c r="AA496" s="14"/>
      <c r="AB496" s="14"/>
    </row>
    <row r="497">
      <c r="C497" s="93"/>
      <c r="D497" s="93"/>
      <c r="G497" s="60"/>
      <c r="H497" s="93"/>
      <c r="I497" s="93"/>
      <c r="J497" s="93"/>
      <c r="S497" s="14"/>
      <c r="T497" s="14"/>
      <c r="U497" s="14"/>
      <c r="V497" s="14"/>
      <c r="W497" s="14"/>
      <c r="X497" s="14"/>
      <c r="Y497" s="14"/>
      <c r="Z497" s="14"/>
      <c r="AA497" s="14"/>
      <c r="AB497" s="14"/>
    </row>
    <row r="498">
      <c r="C498" s="93"/>
      <c r="D498" s="93"/>
      <c r="G498" s="60"/>
      <c r="H498" s="93"/>
      <c r="I498" s="93"/>
      <c r="J498" s="93"/>
      <c r="S498" s="14"/>
      <c r="T498" s="14"/>
      <c r="U498" s="14"/>
      <c r="V498" s="14"/>
      <c r="W498" s="14"/>
      <c r="X498" s="14"/>
      <c r="Y498" s="14"/>
      <c r="Z498" s="14"/>
      <c r="AA498" s="14"/>
      <c r="AB498" s="14"/>
    </row>
    <row r="499">
      <c r="C499" s="93"/>
      <c r="D499" s="93"/>
      <c r="G499" s="60"/>
      <c r="H499" s="93"/>
      <c r="I499" s="93"/>
      <c r="J499" s="93"/>
      <c r="S499" s="14"/>
      <c r="T499" s="14"/>
      <c r="U499" s="14"/>
      <c r="V499" s="14"/>
      <c r="W499" s="14"/>
      <c r="X499" s="14"/>
      <c r="Y499" s="14"/>
      <c r="Z499" s="14"/>
      <c r="AA499" s="14"/>
      <c r="AB499" s="14"/>
    </row>
    <row r="500">
      <c r="C500" s="93"/>
      <c r="D500" s="93"/>
      <c r="G500" s="60"/>
      <c r="H500" s="93"/>
      <c r="I500" s="93"/>
      <c r="J500" s="93"/>
      <c r="S500" s="14"/>
      <c r="T500" s="14"/>
      <c r="U500" s="14"/>
      <c r="V500" s="14"/>
      <c r="W500" s="14"/>
      <c r="X500" s="14"/>
      <c r="Y500" s="14"/>
      <c r="Z500" s="14"/>
      <c r="AA500" s="14"/>
      <c r="AB500" s="14"/>
    </row>
    <row r="501">
      <c r="C501" s="93"/>
      <c r="D501" s="93"/>
      <c r="G501" s="60"/>
      <c r="H501" s="93"/>
      <c r="I501" s="93"/>
      <c r="J501" s="93"/>
      <c r="S501" s="14"/>
      <c r="T501" s="14"/>
      <c r="U501" s="14"/>
      <c r="V501" s="14"/>
      <c r="W501" s="14"/>
      <c r="X501" s="14"/>
      <c r="Y501" s="14"/>
      <c r="Z501" s="14"/>
      <c r="AA501" s="14"/>
      <c r="AB501" s="14"/>
    </row>
    <row r="502">
      <c r="C502" s="93"/>
      <c r="D502" s="93"/>
      <c r="G502" s="60"/>
      <c r="H502" s="93"/>
      <c r="I502" s="93"/>
      <c r="J502" s="93"/>
      <c r="S502" s="14"/>
      <c r="T502" s="14"/>
      <c r="U502" s="14"/>
      <c r="V502" s="14"/>
      <c r="W502" s="14"/>
      <c r="X502" s="14"/>
      <c r="Y502" s="14"/>
      <c r="Z502" s="14"/>
      <c r="AA502" s="14"/>
      <c r="AB502" s="14"/>
    </row>
    <row r="503">
      <c r="C503" s="93"/>
      <c r="D503" s="93"/>
      <c r="G503" s="60"/>
      <c r="H503" s="93"/>
      <c r="I503" s="93"/>
      <c r="J503" s="93"/>
      <c r="S503" s="14"/>
      <c r="T503" s="14"/>
      <c r="U503" s="14"/>
      <c r="V503" s="14"/>
      <c r="W503" s="14"/>
      <c r="X503" s="14"/>
      <c r="Y503" s="14"/>
      <c r="Z503" s="14"/>
      <c r="AA503" s="14"/>
      <c r="AB503" s="14"/>
    </row>
    <row r="504">
      <c r="C504" s="93"/>
      <c r="D504" s="93"/>
      <c r="G504" s="60"/>
      <c r="H504" s="93"/>
      <c r="I504" s="93"/>
      <c r="J504" s="93"/>
      <c r="S504" s="14"/>
      <c r="T504" s="14"/>
      <c r="U504" s="14"/>
      <c r="V504" s="14"/>
      <c r="W504" s="14"/>
      <c r="X504" s="14"/>
      <c r="Y504" s="14"/>
      <c r="Z504" s="14"/>
      <c r="AA504" s="14"/>
      <c r="AB504" s="14"/>
    </row>
    <row r="505">
      <c r="C505" s="93"/>
      <c r="D505" s="93"/>
      <c r="G505" s="60"/>
      <c r="H505" s="93"/>
      <c r="I505" s="93"/>
      <c r="J505" s="93"/>
      <c r="S505" s="14"/>
      <c r="T505" s="14"/>
      <c r="U505" s="14"/>
      <c r="V505" s="14"/>
      <c r="W505" s="14"/>
      <c r="X505" s="14"/>
      <c r="Y505" s="14"/>
      <c r="Z505" s="14"/>
      <c r="AA505" s="14"/>
      <c r="AB505" s="14"/>
    </row>
    <row r="506">
      <c r="C506" s="93"/>
      <c r="D506" s="93"/>
      <c r="G506" s="60"/>
      <c r="H506" s="93"/>
      <c r="I506" s="93"/>
      <c r="J506" s="93"/>
      <c r="S506" s="14"/>
      <c r="T506" s="14"/>
      <c r="U506" s="14"/>
      <c r="V506" s="14"/>
      <c r="W506" s="14"/>
      <c r="X506" s="14"/>
      <c r="Y506" s="14"/>
      <c r="Z506" s="14"/>
      <c r="AA506" s="14"/>
      <c r="AB506" s="14"/>
    </row>
    <row r="507">
      <c r="C507" s="93"/>
      <c r="D507" s="93"/>
      <c r="G507" s="60"/>
      <c r="H507" s="93"/>
      <c r="I507" s="93"/>
      <c r="J507" s="93"/>
      <c r="S507" s="14"/>
      <c r="T507" s="14"/>
      <c r="U507" s="14"/>
      <c r="V507" s="14"/>
      <c r="W507" s="14"/>
      <c r="X507" s="14"/>
      <c r="Y507" s="14"/>
      <c r="Z507" s="14"/>
      <c r="AA507" s="14"/>
      <c r="AB507" s="14"/>
    </row>
    <row r="508">
      <c r="C508" s="93"/>
      <c r="D508" s="93"/>
      <c r="G508" s="60"/>
      <c r="H508" s="93"/>
      <c r="I508" s="93"/>
      <c r="J508" s="93"/>
      <c r="S508" s="14"/>
      <c r="T508" s="14"/>
      <c r="U508" s="14"/>
      <c r="V508" s="14"/>
      <c r="W508" s="14"/>
      <c r="X508" s="14"/>
      <c r="Y508" s="14"/>
      <c r="Z508" s="14"/>
      <c r="AA508" s="14"/>
      <c r="AB508" s="14"/>
    </row>
    <row r="509">
      <c r="C509" s="93"/>
      <c r="D509" s="93"/>
      <c r="G509" s="60"/>
      <c r="H509" s="93"/>
      <c r="I509" s="93"/>
      <c r="J509" s="93"/>
      <c r="S509" s="14"/>
      <c r="T509" s="14"/>
      <c r="U509" s="14"/>
      <c r="V509" s="14"/>
      <c r="W509" s="14"/>
      <c r="X509" s="14"/>
      <c r="Y509" s="14"/>
      <c r="Z509" s="14"/>
      <c r="AA509" s="14"/>
      <c r="AB509" s="14"/>
    </row>
    <row r="510">
      <c r="C510" s="93"/>
      <c r="D510" s="93"/>
      <c r="G510" s="60"/>
      <c r="H510" s="93"/>
      <c r="I510" s="93"/>
      <c r="J510" s="93"/>
      <c r="S510" s="14"/>
      <c r="T510" s="14"/>
      <c r="U510" s="14"/>
      <c r="V510" s="14"/>
      <c r="W510" s="14"/>
      <c r="X510" s="14"/>
      <c r="Y510" s="14"/>
      <c r="Z510" s="14"/>
      <c r="AA510" s="14"/>
      <c r="AB510" s="14"/>
    </row>
    <row r="511">
      <c r="C511" s="93"/>
      <c r="D511" s="93"/>
      <c r="G511" s="60"/>
      <c r="H511" s="93"/>
      <c r="I511" s="93"/>
      <c r="J511" s="93"/>
      <c r="S511" s="14"/>
      <c r="T511" s="14"/>
      <c r="U511" s="14"/>
      <c r="V511" s="14"/>
      <c r="W511" s="14"/>
      <c r="X511" s="14"/>
      <c r="Y511" s="14"/>
      <c r="Z511" s="14"/>
      <c r="AA511" s="14"/>
      <c r="AB511" s="14"/>
    </row>
    <row r="512">
      <c r="C512" s="93"/>
      <c r="D512" s="93"/>
      <c r="G512" s="60"/>
      <c r="H512" s="93"/>
      <c r="I512" s="93"/>
      <c r="J512" s="93"/>
      <c r="S512" s="14"/>
      <c r="T512" s="14"/>
      <c r="U512" s="14"/>
      <c r="V512" s="14"/>
      <c r="W512" s="14"/>
      <c r="X512" s="14"/>
      <c r="Y512" s="14"/>
      <c r="Z512" s="14"/>
      <c r="AA512" s="14"/>
      <c r="AB512" s="14"/>
    </row>
    <row r="513">
      <c r="C513" s="93"/>
      <c r="D513" s="93"/>
      <c r="G513" s="60"/>
      <c r="H513" s="93"/>
      <c r="I513" s="93"/>
      <c r="J513" s="93"/>
      <c r="S513" s="14"/>
      <c r="T513" s="14"/>
      <c r="U513" s="14"/>
      <c r="V513" s="14"/>
      <c r="W513" s="14"/>
      <c r="X513" s="14"/>
      <c r="Y513" s="14"/>
      <c r="Z513" s="14"/>
      <c r="AA513" s="14"/>
      <c r="AB513" s="14"/>
    </row>
    <row r="514">
      <c r="C514" s="93"/>
      <c r="D514" s="93"/>
      <c r="G514" s="60"/>
      <c r="H514" s="93"/>
      <c r="I514" s="93"/>
      <c r="J514" s="93"/>
      <c r="S514" s="14"/>
      <c r="T514" s="14"/>
      <c r="U514" s="14"/>
      <c r="V514" s="14"/>
      <c r="W514" s="14"/>
      <c r="X514" s="14"/>
      <c r="Y514" s="14"/>
      <c r="Z514" s="14"/>
      <c r="AA514" s="14"/>
      <c r="AB514" s="14"/>
    </row>
    <row r="515">
      <c r="C515" s="93"/>
      <c r="D515" s="93"/>
      <c r="G515" s="60"/>
      <c r="H515" s="93"/>
      <c r="I515" s="93"/>
      <c r="J515" s="93"/>
      <c r="S515" s="14"/>
      <c r="T515" s="14"/>
      <c r="U515" s="14"/>
      <c r="V515" s="14"/>
      <c r="W515" s="14"/>
      <c r="X515" s="14"/>
      <c r="Y515" s="14"/>
      <c r="Z515" s="14"/>
      <c r="AA515" s="14"/>
      <c r="AB515" s="14"/>
    </row>
    <row r="516">
      <c r="C516" s="93"/>
      <c r="D516" s="93"/>
      <c r="G516" s="60"/>
      <c r="H516" s="93"/>
      <c r="I516" s="93"/>
      <c r="J516" s="93"/>
      <c r="S516" s="14"/>
      <c r="T516" s="14"/>
      <c r="U516" s="14"/>
      <c r="V516" s="14"/>
      <c r="W516" s="14"/>
      <c r="X516" s="14"/>
      <c r="Y516" s="14"/>
      <c r="Z516" s="14"/>
      <c r="AA516" s="14"/>
      <c r="AB516" s="14"/>
    </row>
    <row r="517">
      <c r="C517" s="93"/>
      <c r="D517" s="93"/>
      <c r="G517" s="60"/>
      <c r="H517" s="93"/>
      <c r="I517" s="93"/>
      <c r="J517" s="93"/>
      <c r="S517" s="14"/>
      <c r="T517" s="14"/>
      <c r="U517" s="14"/>
      <c r="V517" s="14"/>
      <c r="W517" s="14"/>
      <c r="X517" s="14"/>
      <c r="Y517" s="14"/>
      <c r="Z517" s="14"/>
      <c r="AA517" s="14"/>
      <c r="AB517" s="14"/>
    </row>
    <row r="518">
      <c r="C518" s="93"/>
      <c r="D518" s="93"/>
      <c r="G518" s="60"/>
      <c r="H518" s="93"/>
      <c r="I518" s="93"/>
      <c r="J518" s="93"/>
      <c r="S518" s="14"/>
      <c r="T518" s="14"/>
      <c r="U518" s="14"/>
      <c r="V518" s="14"/>
      <c r="W518" s="14"/>
      <c r="X518" s="14"/>
      <c r="Y518" s="14"/>
      <c r="Z518" s="14"/>
      <c r="AA518" s="14"/>
      <c r="AB518" s="14"/>
    </row>
    <row r="519">
      <c r="C519" s="93"/>
      <c r="D519" s="93"/>
      <c r="G519" s="60"/>
      <c r="H519" s="93"/>
      <c r="I519" s="93"/>
      <c r="J519" s="93"/>
      <c r="S519" s="14"/>
      <c r="T519" s="14"/>
      <c r="U519" s="14"/>
      <c r="V519" s="14"/>
      <c r="W519" s="14"/>
      <c r="X519" s="14"/>
      <c r="Y519" s="14"/>
      <c r="Z519" s="14"/>
      <c r="AA519" s="14"/>
      <c r="AB519" s="14"/>
    </row>
    <row r="520">
      <c r="C520" s="93"/>
      <c r="D520" s="93"/>
      <c r="G520" s="60"/>
      <c r="H520" s="93"/>
      <c r="I520" s="93"/>
      <c r="J520" s="93"/>
      <c r="S520" s="14"/>
      <c r="T520" s="14"/>
      <c r="U520" s="14"/>
      <c r="V520" s="14"/>
      <c r="W520" s="14"/>
      <c r="X520" s="14"/>
      <c r="Y520" s="14"/>
      <c r="Z520" s="14"/>
      <c r="AA520" s="14"/>
      <c r="AB520" s="14"/>
    </row>
    <row r="521">
      <c r="C521" s="93"/>
      <c r="D521" s="93"/>
      <c r="G521" s="60"/>
      <c r="H521" s="93"/>
      <c r="I521" s="93"/>
      <c r="J521" s="93"/>
      <c r="S521" s="14"/>
      <c r="T521" s="14"/>
      <c r="U521" s="14"/>
      <c r="V521" s="14"/>
      <c r="W521" s="14"/>
      <c r="X521" s="14"/>
      <c r="Y521" s="14"/>
      <c r="Z521" s="14"/>
      <c r="AA521" s="14"/>
      <c r="AB521" s="14"/>
    </row>
    <row r="522">
      <c r="C522" s="93"/>
      <c r="D522" s="93"/>
      <c r="G522" s="60"/>
      <c r="H522" s="93"/>
      <c r="I522" s="93"/>
      <c r="J522" s="93"/>
      <c r="S522" s="14"/>
      <c r="T522" s="14"/>
      <c r="U522" s="14"/>
      <c r="V522" s="14"/>
      <c r="W522" s="14"/>
      <c r="X522" s="14"/>
      <c r="Y522" s="14"/>
      <c r="Z522" s="14"/>
      <c r="AA522" s="14"/>
      <c r="AB522" s="14"/>
    </row>
    <row r="523">
      <c r="C523" s="93"/>
      <c r="D523" s="93"/>
      <c r="G523" s="60"/>
      <c r="H523" s="93"/>
      <c r="I523" s="93"/>
      <c r="J523" s="93"/>
      <c r="S523" s="14"/>
      <c r="T523" s="14"/>
      <c r="U523" s="14"/>
      <c r="V523" s="14"/>
      <c r="W523" s="14"/>
      <c r="X523" s="14"/>
      <c r="Y523" s="14"/>
      <c r="Z523" s="14"/>
      <c r="AA523" s="14"/>
      <c r="AB523" s="14"/>
    </row>
    <row r="524">
      <c r="C524" s="93"/>
      <c r="D524" s="93"/>
      <c r="G524" s="60"/>
      <c r="H524" s="93"/>
      <c r="I524" s="93"/>
      <c r="J524" s="93"/>
      <c r="S524" s="14"/>
      <c r="T524" s="14"/>
      <c r="U524" s="14"/>
      <c r="V524" s="14"/>
      <c r="W524" s="14"/>
      <c r="X524" s="14"/>
      <c r="Y524" s="14"/>
      <c r="Z524" s="14"/>
      <c r="AA524" s="14"/>
      <c r="AB524" s="14"/>
    </row>
    <row r="525">
      <c r="C525" s="93"/>
      <c r="D525" s="93"/>
      <c r="G525" s="60"/>
      <c r="H525" s="93"/>
      <c r="I525" s="93"/>
      <c r="J525" s="93"/>
      <c r="S525" s="14"/>
      <c r="T525" s="14"/>
      <c r="U525" s="14"/>
      <c r="V525" s="14"/>
      <c r="W525" s="14"/>
      <c r="X525" s="14"/>
      <c r="Y525" s="14"/>
      <c r="Z525" s="14"/>
      <c r="AA525" s="14"/>
      <c r="AB525" s="14"/>
    </row>
    <row r="526">
      <c r="C526" s="93"/>
      <c r="D526" s="93"/>
      <c r="G526" s="60"/>
      <c r="H526" s="93"/>
      <c r="I526" s="93"/>
      <c r="J526" s="93"/>
      <c r="S526" s="14"/>
      <c r="T526" s="14"/>
      <c r="U526" s="14"/>
      <c r="V526" s="14"/>
      <c r="W526" s="14"/>
      <c r="X526" s="14"/>
      <c r="Y526" s="14"/>
      <c r="Z526" s="14"/>
      <c r="AA526" s="14"/>
      <c r="AB526" s="14"/>
    </row>
    <row r="527">
      <c r="C527" s="93"/>
      <c r="D527" s="93"/>
      <c r="G527" s="60"/>
      <c r="H527" s="93"/>
      <c r="I527" s="93"/>
      <c r="J527" s="93"/>
      <c r="S527" s="14"/>
      <c r="T527" s="14"/>
      <c r="U527" s="14"/>
      <c r="V527" s="14"/>
      <c r="W527" s="14"/>
      <c r="X527" s="14"/>
      <c r="Y527" s="14"/>
      <c r="Z527" s="14"/>
      <c r="AA527" s="14"/>
      <c r="AB527" s="14"/>
    </row>
    <row r="528">
      <c r="C528" s="93"/>
      <c r="D528" s="93"/>
      <c r="G528" s="60"/>
      <c r="H528" s="93"/>
      <c r="I528" s="93"/>
      <c r="J528" s="93"/>
      <c r="S528" s="14"/>
      <c r="T528" s="14"/>
      <c r="U528" s="14"/>
      <c r="V528" s="14"/>
      <c r="W528" s="14"/>
      <c r="X528" s="14"/>
      <c r="Y528" s="14"/>
      <c r="Z528" s="14"/>
      <c r="AA528" s="14"/>
      <c r="AB528" s="14"/>
    </row>
    <row r="529">
      <c r="C529" s="93"/>
      <c r="D529" s="93"/>
      <c r="G529" s="60"/>
      <c r="H529" s="93"/>
      <c r="I529" s="93"/>
      <c r="J529" s="93"/>
      <c r="S529" s="14"/>
      <c r="T529" s="14"/>
      <c r="U529" s="14"/>
      <c r="V529" s="14"/>
      <c r="W529" s="14"/>
      <c r="X529" s="14"/>
      <c r="Y529" s="14"/>
      <c r="Z529" s="14"/>
      <c r="AA529" s="14"/>
      <c r="AB529" s="14"/>
    </row>
    <row r="530">
      <c r="C530" s="93"/>
      <c r="D530" s="93"/>
      <c r="G530" s="60"/>
      <c r="H530" s="93"/>
      <c r="I530" s="93"/>
      <c r="J530" s="93"/>
      <c r="S530" s="14"/>
      <c r="T530" s="14"/>
      <c r="U530" s="14"/>
      <c r="V530" s="14"/>
      <c r="W530" s="14"/>
      <c r="X530" s="14"/>
      <c r="Y530" s="14"/>
      <c r="Z530" s="14"/>
      <c r="AA530" s="14"/>
      <c r="AB530" s="14"/>
    </row>
    <row r="531">
      <c r="C531" s="93"/>
      <c r="D531" s="93"/>
      <c r="G531" s="60"/>
      <c r="H531" s="93"/>
      <c r="I531" s="93"/>
      <c r="J531" s="93"/>
      <c r="S531" s="14"/>
      <c r="T531" s="14"/>
      <c r="U531" s="14"/>
      <c r="V531" s="14"/>
      <c r="W531" s="14"/>
      <c r="X531" s="14"/>
      <c r="Y531" s="14"/>
      <c r="Z531" s="14"/>
      <c r="AA531" s="14"/>
      <c r="AB531" s="14"/>
    </row>
    <row r="532">
      <c r="C532" s="93"/>
      <c r="D532" s="93"/>
      <c r="G532" s="60"/>
      <c r="H532" s="93"/>
      <c r="I532" s="93"/>
      <c r="J532" s="93"/>
      <c r="S532" s="14"/>
      <c r="T532" s="14"/>
      <c r="U532" s="14"/>
      <c r="V532" s="14"/>
      <c r="W532" s="14"/>
      <c r="X532" s="14"/>
      <c r="Y532" s="14"/>
      <c r="Z532" s="14"/>
      <c r="AA532" s="14"/>
      <c r="AB532" s="14"/>
    </row>
    <row r="533">
      <c r="C533" s="93"/>
      <c r="D533" s="93"/>
      <c r="G533" s="60"/>
      <c r="H533" s="93"/>
      <c r="I533" s="93"/>
      <c r="J533" s="93"/>
      <c r="S533" s="14"/>
      <c r="T533" s="14"/>
      <c r="U533" s="14"/>
      <c r="V533" s="14"/>
      <c r="W533" s="14"/>
      <c r="X533" s="14"/>
      <c r="Y533" s="14"/>
      <c r="Z533" s="14"/>
      <c r="AA533" s="14"/>
      <c r="AB533" s="14"/>
    </row>
    <row r="534">
      <c r="C534" s="93"/>
      <c r="D534" s="93"/>
      <c r="G534" s="60"/>
      <c r="H534" s="93"/>
      <c r="I534" s="93"/>
      <c r="J534" s="93"/>
      <c r="S534" s="14"/>
      <c r="T534" s="14"/>
      <c r="U534" s="14"/>
      <c r="V534" s="14"/>
      <c r="W534" s="14"/>
      <c r="X534" s="14"/>
      <c r="Y534" s="14"/>
      <c r="Z534" s="14"/>
      <c r="AA534" s="14"/>
      <c r="AB534" s="14"/>
    </row>
    <row r="535">
      <c r="C535" s="93"/>
      <c r="D535" s="93"/>
      <c r="G535" s="60"/>
      <c r="H535" s="93"/>
      <c r="I535" s="93"/>
      <c r="J535" s="93"/>
      <c r="S535" s="14"/>
      <c r="T535" s="14"/>
      <c r="U535" s="14"/>
      <c r="V535" s="14"/>
      <c r="W535" s="14"/>
      <c r="X535" s="14"/>
      <c r="Y535" s="14"/>
      <c r="Z535" s="14"/>
      <c r="AA535" s="14"/>
      <c r="AB535" s="14"/>
    </row>
    <row r="536">
      <c r="C536" s="93"/>
      <c r="D536" s="93"/>
      <c r="G536" s="60"/>
      <c r="H536" s="93"/>
      <c r="I536" s="93"/>
      <c r="J536" s="93"/>
      <c r="S536" s="14"/>
      <c r="T536" s="14"/>
      <c r="U536" s="14"/>
      <c r="V536" s="14"/>
      <c r="W536" s="14"/>
      <c r="X536" s="14"/>
      <c r="Y536" s="14"/>
      <c r="Z536" s="14"/>
      <c r="AA536" s="14"/>
      <c r="AB536" s="14"/>
    </row>
    <row r="537">
      <c r="C537" s="93"/>
      <c r="D537" s="93"/>
      <c r="G537" s="60"/>
      <c r="H537" s="93"/>
      <c r="I537" s="93"/>
      <c r="J537" s="93"/>
      <c r="S537" s="14"/>
      <c r="T537" s="14"/>
      <c r="U537" s="14"/>
      <c r="V537" s="14"/>
      <c r="W537" s="14"/>
      <c r="X537" s="14"/>
      <c r="Y537" s="14"/>
      <c r="Z537" s="14"/>
      <c r="AA537" s="14"/>
      <c r="AB537" s="14"/>
    </row>
    <row r="538">
      <c r="C538" s="93"/>
      <c r="D538" s="93"/>
      <c r="G538" s="60"/>
      <c r="H538" s="93"/>
      <c r="I538" s="93"/>
      <c r="J538" s="93"/>
      <c r="S538" s="14"/>
      <c r="T538" s="14"/>
      <c r="U538" s="14"/>
      <c r="V538" s="14"/>
      <c r="W538" s="14"/>
      <c r="X538" s="14"/>
      <c r="Y538" s="14"/>
      <c r="Z538" s="14"/>
      <c r="AA538" s="14"/>
      <c r="AB538" s="14"/>
    </row>
    <row r="539">
      <c r="C539" s="93"/>
      <c r="D539" s="93"/>
      <c r="G539" s="60"/>
      <c r="H539" s="93"/>
      <c r="I539" s="93"/>
      <c r="J539" s="93"/>
      <c r="S539" s="14"/>
      <c r="T539" s="14"/>
      <c r="U539" s="14"/>
      <c r="V539" s="14"/>
      <c r="W539" s="14"/>
      <c r="X539" s="14"/>
      <c r="Y539" s="14"/>
      <c r="Z539" s="14"/>
      <c r="AA539" s="14"/>
      <c r="AB539" s="14"/>
    </row>
    <row r="540">
      <c r="C540" s="93"/>
      <c r="D540" s="93"/>
      <c r="G540" s="60"/>
      <c r="H540" s="93"/>
      <c r="I540" s="93"/>
      <c r="J540" s="93"/>
      <c r="S540" s="14"/>
      <c r="T540" s="14"/>
      <c r="U540" s="14"/>
      <c r="V540" s="14"/>
      <c r="W540" s="14"/>
      <c r="X540" s="14"/>
      <c r="Y540" s="14"/>
      <c r="Z540" s="14"/>
      <c r="AA540" s="14"/>
      <c r="AB540" s="14"/>
    </row>
    <row r="541">
      <c r="C541" s="93"/>
      <c r="D541" s="93"/>
      <c r="G541" s="60"/>
      <c r="H541" s="93"/>
      <c r="I541" s="93"/>
      <c r="J541" s="93"/>
      <c r="S541" s="14"/>
      <c r="T541" s="14"/>
      <c r="U541" s="14"/>
      <c r="V541" s="14"/>
      <c r="W541" s="14"/>
      <c r="X541" s="14"/>
      <c r="Y541" s="14"/>
      <c r="Z541" s="14"/>
      <c r="AA541" s="14"/>
      <c r="AB541" s="14"/>
    </row>
    <row r="542">
      <c r="C542" s="93"/>
      <c r="D542" s="93"/>
      <c r="G542" s="60"/>
      <c r="H542" s="93"/>
      <c r="I542" s="93"/>
      <c r="J542" s="93"/>
      <c r="S542" s="14"/>
      <c r="T542" s="14"/>
      <c r="U542" s="14"/>
      <c r="V542" s="14"/>
      <c r="W542" s="14"/>
      <c r="X542" s="14"/>
      <c r="Y542" s="14"/>
      <c r="Z542" s="14"/>
      <c r="AA542" s="14"/>
      <c r="AB542" s="14"/>
    </row>
    <row r="543">
      <c r="C543" s="93"/>
      <c r="D543" s="93"/>
      <c r="G543" s="60"/>
      <c r="H543" s="93"/>
      <c r="I543" s="93"/>
      <c r="J543" s="93"/>
      <c r="S543" s="14"/>
      <c r="T543" s="14"/>
      <c r="U543" s="14"/>
      <c r="V543" s="14"/>
      <c r="W543" s="14"/>
      <c r="X543" s="14"/>
      <c r="Y543" s="14"/>
      <c r="Z543" s="14"/>
      <c r="AA543" s="14"/>
      <c r="AB543" s="14"/>
    </row>
    <row r="544">
      <c r="C544" s="93"/>
      <c r="D544" s="93"/>
      <c r="G544" s="60"/>
      <c r="H544" s="93"/>
      <c r="I544" s="93"/>
      <c r="J544" s="93"/>
      <c r="S544" s="14"/>
      <c r="T544" s="14"/>
      <c r="U544" s="14"/>
      <c r="V544" s="14"/>
      <c r="W544" s="14"/>
      <c r="X544" s="14"/>
      <c r="Y544" s="14"/>
      <c r="Z544" s="14"/>
      <c r="AA544" s="14"/>
      <c r="AB544" s="14"/>
    </row>
    <row r="545">
      <c r="C545" s="93"/>
      <c r="D545" s="93"/>
      <c r="G545" s="60"/>
      <c r="H545" s="93"/>
      <c r="I545" s="93"/>
      <c r="J545" s="93"/>
      <c r="S545" s="14"/>
      <c r="T545" s="14"/>
      <c r="U545" s="14"/>
      <c r="V545" s="14"/>
      <c r="W545" s="14"/>
      <c r="X545" s="14"/>
      <c r="Y545" s="14"/>
      <c r="Z545" s="14"/>
      <c r="AA545" s="14"/>
      <c r="AB545" s="14"/>
    </row>
    <row r="546">
      <c r="C546" s="93"/>
      <c r="D546" s="93"/>
      <c r="G546" s="60"/>
      <c r="H546" s="93"/>
      <c r="I546" s="93"/>
      <c r="J546" s="93"/>
      <c r="S546" s="14"/>
      <c r="T546" s="14"/>
      <c r="U546" s="14"/>
      <c r="V546" s="14"/>
      <c r="W546" s="14"/>
      <c r="X546" s="14"/>
      <c r="Y546" s="14"/>
      <c r="Z546" s="14"/>
      <c r="AA546" s="14"/>
      <c r="AB546" s="14"/>
    </row>
    <row r="547">
      <c r="C547" s="93"/>
      <c r="D547" s="93"/>
      <c r="G547" s="60"/>
      <c r="H547" s="93"/>
      <c r="I547" s="93"/>
      <c r="J547" s="93"/>
      <c r="S547" s="14"/>
      <c r="T547" s="14"/>
      <c r="U547" s="14"/>
      <c r="V547" s="14"/>
      <c r="W547" s="14"/>
      <c r="X547" s="14"/>
      <c r="Y547" s="14"/>
      <c r="Z547" s="14"/>
      <c r="AA547" s="14"/>
      <c r="AB547" s="14"/>
    </row>
    <row r="548">
      <c r="C548" s="93"/>
      <c r="D548" s="93"/>
      <c r="G548" s="60"/>
      <c r="H548" s="93"/>
      <c r="I548" s="93"/>
      <c r="J548" s="93"/>
      <c r="S548" s="14"/>
      <c r="T548" s="14"/>
      <c r="U548" s="14"/>
      <c r="V548" s="14"/>
      <c r="W548" s="14"/>
      <c r="X548" s="14"/>
      <c r="Y548" s="14"/>
      <c r="Z548" s="14"/>
      <c r="AA548" s="14"/>
      <c r="AB548" s="14"/>
    </row>
    <row r="549">
      <c r="C549" s="93"/>
      <c r="D549" s="93"/>
      <c r="G549" s="60"/>
      <c r="H549" s="93"/>
      <c r="I549" s="93"/>
      <c r="J549" s="93"/>
      <c r="S549" s="14"/>
      <c r="T549" s="14"/>
      <c r="U549" s="14"/>
      <c r="V549" s="14"/>
      <c r="W549" s="14"/>
      <c r="X549" s="14"/>
      <c r="Y549" s="14"/>
      <c r="Z549" s="14"/>
      <c r="AA549" s="14"/>
      <c r="AB549" s="14"/>
    </row>
    <row r="550">
      <c r="C550" s="93"/>
      <c r="D550" s="93"/>
      <c r="G550" s="60"/>
      <c r="H550" s="93"/>
      <c r="I550" s="93"/>
      <c r="J550" s="93"/>
      <c r="S550" s="14"/>
      <c r="T550" s="14"/>
      <c r="U550" s="14"/>
      <c r="V550" s="14"/>
      <c r="W550" s="14"/>
      <c r="X550" s="14"/>
      <c r="Y550" s="14"/>
      <c r="Z550" s="14"/>
      <c r="AA550" s="14"/>
      <c r="AB550" s="14"/>
    </row>
    <row r="551">
      <c r="C551" s="93"/>
      <c r="D551" s="93"/>
      <c r="G551" s="60"/>
      <c r="H551" s="93"/>
      <c r="I551" s="93"/>
      <c r="J551" s="93"/>
      <c r="S551" s="14"/>
      <c r="T551" s="14"/>
      <c r="U551" s="14"/>
      <c r="V551" s="14"/>
      <c r="W551" s="14"/>
      <c r="X551" s="14"/>
      <c r="Y551" s="14"/>
      <c r="Z551" s="14"/>
      <c r="AA551" s="14"/>
      <c r="AB551" s="14"/>
    </row>
    <row r="552">
      <c r="C552" s="93"/>
      <c r="D552" s="93"/>
      <c r="G552" s="60"/>
      <c r="H552" s="93"/>
      <c r="I552" s="93"/>
      <c r="J552" s="93"/>
      <c r="S552" s="14"/>
      <c r="T552" s="14"/>
      <c r="U552" s="14"/>
      <c r="V552" s="14"/>
      <c r="W552" s="14"/>
      <c r="X552" s="14"/>
      <c r="Y552" s="14"/>
      <c r="Z552" s="14"/>
      <c r="AA552" s="14"/>
      <c r="AB552" s="14"/>
    </row>
    <row r="553">
      <c r="C553" s="93"/>
      <c r="D553" s="93"/>
      <c r="G553" s="60"/>
      <c r="H553" s="93"/>
      <c r="I553" s="93"/>
      <c r="J553" s="93"/>
      <c r="S553" s="14"/>
      <c r="T553" s="14"/>
      <c r="U553" s="14"/>
      <c r="V553" s="14"/>
      <c r="W553" s="14"/>
      <c r="X553" s="14"/>
      <c r="Y553" s="14"/>
      <c r="Z553" s="14"/>
      <c r="AA553" s="14"/>
      <c r="AB553" s="14"/>
    </row>
    <row r="554">
      <c r="C554" s="93"/>
      <c r="D554" s="93"/>
      <c r="G554" s="60"/>
      <c r="H554" s="93"/>
      <c r="I554" s="93"/>
      <c r="J554" s="93"/>
      <c r="S554" s="14"/>
      <c r="T554" s="14"/>
      <c r="U554" s="14"/>
      <c r="V554" s="14"/>
      <c r="W554" s="14"/>
      <c r="X554" s="14"/>
      <c r="Y554" s="14"/>
      <c r="Z554" s="14"/>
      <c r="AA554" s="14"/>
      <c r="AB554" s="14"/>
    </row>
    <row r="555">
      <c r="C555" s="93"/>
      <c r="D555" s="93"/>
      <c r="G555" s="60"/>
      <c r="H555" s="93"/>
      <c r="I555" s="93"/>
      <c r="J555" s="93"/>
      <c r="S555" s="14"/>
      <c r="T555" s="14"/>
      <c r="U555" s="14"/>
      <c r="V555" s="14"/>
      <c r="W555" s="14"/>
      <c r="X555" s="14"/>
      <c r="Y555" s="14"/>
      <c r="Z555" s="14"/>
      <c r="AA555" s="14"/>
      <c r="AB555" s="14"/>
    </row>
    <row r="556">
      <c r="C556" s="93"/>
      <c r="D556" s="93"/>
      <c r="G556" s="60"/>
      <c r="H556" s="93"/>
      <c r="I556" s="93"/>
      <c r="J556" s="93"/>
      <c r="S556" s="14"/>
      <c r="T556" s="14"/>
      <c r="U556" s="14"/>
      <c r="V556" s="14"/>
      <c r="W556" s="14"/>
      <c r="X556" s="14"/>
      <c r="Y556" s="14"/>
      <c r="Z556" s="14"/>
      <c r="AA556" s="14"/>
      <c r="AB556" s="14"/>
    </row>
    <row r="557">
      <c r="C557" s="93"/>
      <c r="D557" s="93"/>
      <c r="G557" s="60"/>
      <c r="H557" s="93"/>
      <c r="I557" s="93"/>
      <c r="J557" s="93"/>
      <c r="S557" s="14"/>
      <c r="T557" s="14"/>
      <c r="U557" s="14"/>
      <c r="V557" s="14"/>
      <c r="W557" s="14"/>
      <c r="X557" s="14"/>
      <c r="Y557" s="14"/>
      <c r="Z557" s="14"/>
      <c r="AA557" s="14"/>
      <c r="AB557" s="14"/>
    </row>
    <row r="558">
      <c r="C558" s="93"/>
      <c r="D558" s="93"/>
      <c r="G558" s="60"/>
      <c r="H558" s="93"/>
      <c r="I558" s="93"/>
      <c r="J558" s="93"/>
      <c r="S558" s="14"/>
      <c r="T558" s="14"/>
      <c r="U558" s="14"/>
      <c r="V558" s="14"/>
      <c r="W558" s="14"/>
      <c r="X558" s="14"/>
      <c r="Y558" s="14"/>
      <c r="Z558" s="14"/>
      <c r="AA558" s="14"/>
      <c r="AB558" s="14"/>
    </row>
    <row r="559">
      <c r="C559" s="93"/>
      <c r="D559" s="93"/>
      <c r="G559" s="60"/>
      <c r="H559" s="93"/>
      <c r="I559" s="93"/>
      <c r="J559" s="93"/>
      <c r="S559" s="14"/>
      <c r="T559" s="14"/>
      <c r="U559" s="14"/>
      <c r="V559" s="14"/>
      <c r="W559" s="14"/>
      <c r="X559" s="14"/>
      <c r="Y559" s="14"/>
      <c r="Z559" s="14"/>
      <c r="AA559" s="14"/>
      <c r="AB559" s="14"/>
    </row>
    <row r="560">
      <c r="C560" s="93"/>
      <c r="D560" s="93"/>
      <c r="G560" s="60"/>
      <c r="H560" s="93"/>
      <c r="I560" s="93"/>
      <c r="J560" s="93"/>
      <c r="S560" s="14"/>
      <c r="T560" s="14"/>
      <c r="U560" s="14"/>
      <c r="V560" s="14"/>
      <c r="W560" s="14"/>
      <c r="X560" s="14"/>
      <c r="Y560" s="14"/>
      <c r="Z560" s="14"/>
      <c r="AA560" s="14"/>
      <c r="AB560" s="14"/>
    </row>
    <row r="561">
      <c r="C561" s="93"/>
      <c r="D561" s="93"/>
      <c r="G561" s="60"/>
      <c r="H561" s="93"/>
      <c r="I561" s="93"/>
      <c r="J561" s="93"/>
      <c r="S561" s="14"/>
      <c r="T561" s="14"/>
      <c r="U561" s="14"/>
      <c r="V561" s="14"/>
      <c r="W561" s="14"/>
      <c r="X561" s="14"/>
      <c r="Y561" s="14"/>
      <c r="Z561" s="14"/>
      <c r="AA561" s="14"/>
      <c r="AB561" s="14"/>
    </row>
    <row r="562">
      <c r="C562" s="93"/>
      <c r="D562" s="93"/>
      <c r="G562" s="60"/>
      <c r="H562" s="93"/>
      <c r="I562" s="93"/>
      <c r="J562" s="93"/>
      <c r="S562" s="14"/>
      <c r="T562" s="14"/>
      <c r="U562" s="14"/>
      <c r="V562" s="14"/>
      <c r="W562" s="14"/>
      <c r="X562" s="14"/>
      <c r="Y562" s="14"/>
      <c r="Z562" s="14"/>
      <c r="AA562" s="14"/>
      <c r="AB562" s="14"/>
    </row>
    <row r="563">
      <c r="C563" s="93"/>
      <c r="D563" s="93"/>
      <c r="G563" s="60"/>
      <c r="H563" s="93"/>
      <c r="I563" s="93"/>
      <c r="J563" s="93"/>
      <c r="S563" s="14"/>
      <c r="T563" s="14"/>
      <c r="U563" s="14"/>
      <c r="V563" s="14"/>
      <c r="W563" s="14"/>
      <c r="X563" s="14"/>
      <c r="Y563" s="14"/>
      <c r="Z563" s="14"/>
      <c r="AA563" s="14"/>
      <c r="AB563" s="14"/>
    </row>
    <row r="564">
      <c r="C564" s="93"/>
      <c r="D564" s="93"/>
      <c r="G564" s="60"/>
      <c r="H564" s="93"/>
      <c r="I564" s="93"/>
      <c r="J564" s="93"/>
      <c r="S564" s="14"/>
      <c r="T564" s="14"/>
      <c r="U564" s="14"/>
      <c r="V564" s="14"/>
      <c r="W564" s="14"/>
      <c r="X564" s="14"/>
      <c r="Y564" s="14"/>
      <c r="Z564" s="14"/>
      <c r="AA564" s="14"/>
      <c r="AB564" s="14"/>
    </row>
    <row r="565">
      <c r="C565" s="93"/>
      <c r="D565" s="93"/>
      <c r="G565" s="60"/>
      <c r="H565" s="93"/>
      <c r="I565" s="93"/>
      <c r="J565" s="93"/>
      <c r="S565" s="14"/>
      <c r="T565" s="14"/>
      <c r="U565" s="14"/>
      <c r="V565" s="14"/>
      <c r="W565" s="14"/>
      <c r="X565" s="14"/>
      <c r="Y565" s="14"/>
      <c r="Z565" s="14"/>
      <c r="AA565" s="14"/>
      <c r="AB565" s="14"/>
    </row>
    <row r="566">
      <c r="C566" s="93"/>
      <c r="D566" s="93"/>
      <c r="G566" s="60"/>
      <c r="H566" s="93"/>
      <c r="I566" s="93"/>
      <c r="J566" s="93"/>
      <c r="S566" s="14"/>
      <c r="T566" s="14"/>
      <c r="U566" s="14"/>
      <c r="V566" s="14"/>
      <c r="W566" s="14"/>
      <c r="X566" s="14"/>
      <c r="Y566" s="14"/>
      <c r="Z566" s="14"/>
      <c r="AA566" s="14"/>
      <c r="AB566" s="14"/>
    </row>
    <row r="567">
      <c r="C567" s="93"/>
      <c r="D567" s="93"/>
      <c r="G567" s="60"/>
      <c r="H567" s="93"/>
      <c r="I567" s="93"/>
      <c r="J567" s="93"/>
      <c r="S567" s="14"/>
      <c r="T567" s="14"/>
      <c r="U567" s="14"/>
      <c r="V567" s="14"/>
      <c r="W567" s="14"/>
      <c r="X567" s="14"/>
      <c r="Y567" s="14"/>
      <c r="Z567" s="14"/>
      <c r="AA567" s="14"/>
      <c r="AB567" s="14"/>
    </row>
    <row r="568">
      <c r="C568" s="93"/>
      <c r="D568" s="93"/>
      <c r="G568" s="60"/>
      <c r="H568" s="93"/>
      <c r="I568" s="93"/>
      <c r="J568" s="93"/>
      <c r="S568" s="14"/>
      <c r="T568" s="14"/>
      <c r="U568" s="14"/>
      <c r="V568" s="14"/>
      <c r="W568" s="14"/>
      <c r="X568" s="14"/>
      <c r="Y568" s="14"/>
      <c r="Z568" s="14"/>
      <c r="AA568" s="14"/>
      <c r="AB568" s="14"/>
    </row>
    <row r="569">
      <c r="C569" s="93"/>
      <c r="D569" s="93"/>
      <c r="G569" s="60"/>
      <c r="H569" s="93"/>
      <c r="I569" s="93"/>
      <c r="J569" s="93"/>
      <c r="S569" s="14"/>
      <c r="T569" s="14"/>
      <c r="U569" s="14"/>
      <c r="V569" s="14"/>
      <c r="W569" s="14"/>
      <c r="X569" s="14"/>
      <c r="Y569" s="14"/>
      <c r="Z569" s="14"/>
      <c r="AA569" s="14"/>
      <c r="AB569" s="14"/>
    </row>
    <row r="570">
      <c r="C570" s="93"/>
      <c r="D570" s="93"/>
      <c r="G570" s="60"/>
      <c r="H570" s="93"/>
      <c r="I570" s="93"/>
      <c r="J570" s="93"/>
      <c r="S570" s="14"/>
      <c r="T570" s="14"/>
      <c r="U570" s="14"/>
      <c r="V570" s="14"/>
      <c r="W570" s="14"/>
      <c r="X570" s="14"/>
      <c r="Y570" s="14"/>
      <c r="Z570" s="14"/>
      <c r="AA570" s="14"/>
      <c r="AB570" s="14"/>
    </row>
    <row r="571">
      <c r="C571" s="93"/>
      <c r="D571" s="93"/>
      <c r="G571" s="60"/>
      <c r="H571" s="93"/>
      <c r="I571" s="93"/>
      <c r="J571" s="93"/>
      <c r="S571" s="14"/>
      <c r="T571" s="14"/>
      <c r="U571" s="14"/>
      <c r="V571" s="14"/>
      <c r="W571" s="14"/>
      <c r="X571" s="14"/>
      <c r="Y571" s="14"/>
      <c r="Z571" s="14"/>
      <c r="AA571" s="14"/>
      <c r="AB571" s="14"/>
    </row>
    <row r="572">
      <c r="C572" s="93"/>
      <c r="D572" s="93"/>
      <c r="G572" s="60"/>
      <c r="H572" s="93"/>
      <c r="I572" s="93"/>
      <c r="J572" s="93"/>
      <c r="S572" s="14"/>
      <c r="T572" s="14"/>
      <c r="U572" s="14"/>
      <c r="V572" s="14"/>
      <c r="W572" s="14"/>
      <c r="X572" s="14"/>
      <c r="Y572" s="14"/>
      <c r="Z572" s="14"/>
      <c r="AA572" s="14"/>
      <c r="AB572" s="14"/>
    </row>
    <row r="573">
      <c r="C573" s="93"/>
      <c r="D573" s="93"/>
      <c r="G573" s="60"/>
      <c r="H573" s="93"/>
      <c r="I573" s="93"/>
      <c r="J573" s="93"/>
      <c r="S573" s="14"/>
      <c r="T573" s="14"/>
      <c r="U573" s="14"/>
      <c r="V573" s="14"/>
      <c r="W573" s="14"/>
      <c r="X573" s="14"/>
      <c r="Y573" s="14"/>
      <c r="Z573" s="14"/>
      <c r="AA573" s="14"/>
      <c r="AB573" s="14"/>
    </row>
    <row r="574">
      <c r="C574" s="93"/>
      <c r="D574" s="93"/>
      <c r="G574" s="60"/>
      <c r="H574" s="93"/>
      <c r="I574" s="93"/>
      <c r="J574" s="93"/>
      <c r="S574" s="14"/>
      <c r="T574" s="14"/>
      <c r="U574" s="14"/>
      <c r="V574" s="14"/>
      <c r="W574" s="14"/>
      <c r="X574" s="14"/>
      <c r="Y574" s="14"/>
      <c r="Z574" s="14"/>
      <c r="AA574" s="14"/>
      <c r="AB574" s="14"/>
    </row>
    <row r="575">
      <c r="C575" s="93"/>
      <c r="D575" s="93"/>
      <c r="G575" s="60"/>
      <c r="H575" s="93"/>
      <c r="I575" s="93"/>
      <c r="J575" s="93"/>
      <c r="S575" s="14"/>
      <c r="T575" s="14"/>
      <c r="U575" s="14"/>
      <c r="V575" s="14"/>
      <c r="W575" s="14"/>
      <c r="X575" s="14"/>
      <c r="Y575" s="14"/>
      <c r="Z575" s="14"/>
      <c r="AA575" s="14"/>
      <c r="AB575" s="14"/>
    </row>
    <row r="576">
      <c r="C576" s="93"/>
      <c r="D576" s="93"/>
      <c r="G576" s="60"/>
      <c r="H576" s="93"/>
      <c r="I576" s="93"/>
      <c r="J576" s="93"/>
      <c r="S576" s="14"/>
      <c r="T576" s="14"/>
      <c r="U576" s="14"/>
      <c r="V576" s="14"/>
      <c r="W576" s="14"/>
      <c r="X576" s="14"/>
      <c r="Y576" s="14"/>
      <c r="Z576" s="14"/>
      <c r="AA576" s="14"/>
      <c r="AB576" s="14"/>
    </row>
    <row r="577">
      <c r="C577" s="93"/>
      <c r="D577" s="93"/>
      <c r="G577" s="60"/>
      <c r="H577" s="93"/>
      <c r="I577" s="93"/>
      <c r="J577" s="93"/>
      <c r="S577" s="14"/>
      <c r="T577" s="14"/>
      <c r="U577" s="14"/>
      <c r="V577" s="14"/>
      <c r="W577" s="14"/>
      <c r="X577" s="14"/>
      <c r="Y577" s="14"/>
      <c r="Z577" s="14"/>
      <c r="AA577" s="14"/>
      <c r="AB577" s="14"/>
    </row>
    <row r="578">
      <c r="C578" s="93"/>
      <c r="D578" s="93"/>
      <c r="G578" s="60"/>
      <c r="H578" s="93"/>
      <c r="I578" s="93"/>
      <c r="J578" s="93"/>
      <c r="S578" s="14"/>
      <c r="T578" s="14"/>
      <c r="U578" s="14"/>
      <c r="V578" s="14"/>
      <c r="W578" s="14"/>
      <c r="X578" s="14"/>
      <c r="Y578" s="14"/>
      <c r="Z578" s="14"/>
      <c r="AA578" s="14"/>
      <c r="AB578" s="14"/>
    </row>
    <row r="579">
      <c r="C579" s="93"/>
      <c r="D579" s="93"/>
      <c r="G579" s="60"/>
      <c r="H579" s="93"/>
      <c r="I579" s="93"/>
      <c r="J579" s="93"/>
      <c r="S579" s="14"/>
      <c r="T579" s="14"/>
      <c r="U579" s="14"/>
      <c r="V579" s="14"/>
      <c r="W579" s="14"/>
      <c r="X579" s="14"/>
      <c r="Y579" s="14"/>
      <c r="Z579" s="14"/>
      <c r="AA579" s="14"/>
      <c r="AB579" s="14"/>
    </row>
    <row r="580">
      <c r="C580" s="93"/>
      <c r="D580" s="93"/>
      <c r="G580" s="60"/>
      <c r="H580" s="93"/>
      <c r="I580" s="93"/>
      <c r="J580" s="93"/>
      <c r="S580" s="14"/>
      <c r="T580" s="14"/>
      <c r="U580" s="14"/>
      <c r="V580" s="14"/>
      <c r="W580" s="14"/>
      <c r="X580" s="14"/>
      <c r="Y580" s="14"/>
      <c r="Z580" s="14"/>
      <c r="AA580" s="14"/>
      <c r="AB580" s="14"/>
    </row>
    <row r="581">
      <c r="C581" s="93"/>
      <c r="D581" s="93"/>
      <c r="G581" s="60"/>
      <c r="H581" s="93"/>
      <c r="I581" s="93"/>
      <c r="J581" s="93"/>
      <c r="S581" s="14"/>
      <c r="T581" s="14"/>
      <c r="U581" s="14"/>
      <c r="V581" s="14"/>
      <c r="W581" s="14"/>
      <c r="X581" s="14"/>
      <c r="Y581" s="14"/>
      <c r="Z581" s="14"/>
      <c r="AA581" s="14"/>
      <c r="AB581" s="14"/>
    </row>
    <row r="582">
      <c r="C582" s="93"/>
      <c r="D582" s="93"/>
      <c r="G582" s="60"/>
      <c r="H582" s="93"/>
      <c r="I582" s="93"/>
      <c r="J582" s="93"/>
      <c r="S582" s="14"/>
      <c r="T582" s="14"/>
      <c r="U582" s="14"/>
      <c r="V582" s="14"/>
      <c r="W582" s="14"/>
      <c r="X582" s="14"/>
      <c r="Y582" s="14"/>
      <c r="Z582" s="14"/>
      <c r="AA582" s="14"/>
      <c r="AB582" s="14"/>
    </row>
    <row r="583">
      <c r="C583" s="93"/>
      <c r="D583" s="93"/>
      <c r="G583" s="60"/>
      <c r="H583" s="93"/>
      <c r="I583" s="93"/>
      <c r="J583" s="93"/>
      <c r="S583" s="14"/>
      <c r="T583" s="14"/>
      <c r="U583" s="14"/>
      <c r="V583" s="14"/>
      <c r="W583" s="14"/>
      <c r="X583" s="14"/>
      <c r="Y583" s="14"/>
      <c r="Z583" s="14"/>
      <c r="AA583" s="14"/>
      <c r="AB583" s="14"/>
    </row>
    <row r="584">
      <c r="C584" s="93"/>
      <c r="D584" s="93"/>
      <c r="G584" s="60"/>
      <c r="H584" s="93"/>
      <c r="I584" s="93"/>
      <c r="J584" s="93"/>
      <c r="S584" s="14"/>
      <c r="T584" s="14"/>
      <c r="U584" s="14"/>
      <c r="V584" s="14"/>
      <c r="W584" s="14"/>
      <c r="X584" s="14"/>
      <c r="Y584" s="14"/>
      <c r="Z584" s="14"/>
      <c r="AA584" s="14"/>
      <c r="AB584" s="14"/>
    </row>
    <row r="585">
      <c r="C585" s="93"/>
      <c r="D585" s="93"/>
      <c r="G585" s="60"/>
      <c r="H585" s="93"/>
      <c r="I585" s="93"/>
      <c r="J585" s="93"/>
      <c r="S585" s="14"/>
      <c r="T585" s="14"/>
      <c r="U585" s="14"/>
      <c r="V585" s="14"/>
      <c r="W585" s="14"/>
      <c r="X585" s="14"/>
      <c r="Y585" s="14"/>
      <c r="Z585" s="14"/>
      <c r="AA585" s="14"/>
      <c r="AB585" s="14"/>
    </row>
    <row r="586">
      <c r="C586" s="93"/>
      <c r="D586" s="93"/>
      <c r="G586" s="60"/>
      <c r="H586" s="93"/>
      <c r="I586" s="93"/>
      <c r="J586" s="93"/>
      <c r="S586" s="14"/>
      <c r="T586" s="14"/>
      <c r="U586" s="14"/>
      <c r="V586" s="14"/>
      <c r="W586" s="14"/>
      <c r="X586" s="14"/>
      <c r="Y586" s="14"/>
      <c r="Z586" s="14"/>
      <c r="AA586" s="14"/>
      <c r="AB586" s="14"/>
    </row>
    <row r="587">
      <c r="C587" s="93"/>
      <c r="D587" s="93"/>
      <c r="G587" s="60"/>
      <c r="H587" s="93"/>
      <c r="I587" s="93"/>
      <c r="J587" s="93"/>
      <c r="S587" s="14"/>
      <c r="T587" s="14"/>
      <c r="U587" s="14"/>
      <c r="V587" s="14"/>
      <c r="W587" s="14"/>
      <c r="X587" s="14"/>
      <c r="Y587" s="14"/>
      <c r="Z587" s="14"/>
      <c r="AA587" s="14"/>
      <c r="AB587" s="14"/>
    </row>
    <row r="588">
      <c r="C588" s="93"/>
      <c r="D588" s="93"/>
      <c r="G588" s="60"/>
      <c r="H588" s="93"/>
      <c r="I588" s="93"/>
      <c r="J588" s="93"/>
      <c r="S588" s="14"/>
      <c r="T588" s="14"/>
      <c r="U588" s="14"/>
      <c r="V588" s="14"/>
      <c r="W588" s="14"/>
      <c r="X588" s="14"/>
      <c r="Y588" s="14"/>
      <c r="Z588" s="14"/>
      <c r="AA588" s="14"/>
      <c r="AB588" s="14"/>
    </row>
    <row r="589">
      <c r="C589" s="93"/>
      <c r="D589" s="93"/>
      <c r="G589" s="60"/>
      <c r="H589" s="93"/>
      <c r="I589" s="93"/>
      <c r="J589" s="93"/>
      <c r="S589" s="14"/>
      <c r="T589" s="14"/>
      <c r="U589" s="14"/>
      <c r="V589" s="14"/>
      <c r="W589" s="14"/>
      <c r="X589" s="14"/>
      <c r="Y589" s="14"/>
      <c r="Z589" s="14"/>
      <c r="AA589" s="14"/>
      <c r="AB589" s="14"/>
    </row>
    <row r="590">
      <c r="C590" s="93"/>
      <c r="D590" s="93"/>
      <c r="G590" s="60"/>
      <c r="H590" s="93"/>
      <c r="I590" s="93"/>
      <c r="J590" s="93"/>
      <c r="S590" s="14"/>
      <c r="T590" s="14"/>
      <c r="U590" s="14"/>
      <c r="V590" s="14"/>
      <c r="W590" s="14"/>
      <c r="X590" s="14"/>
      <c r="Y590" s="14"/>
      <c r="Z590" s="14"/>
      <c r="AA590" s="14"/>
      <c r="AB590" s="14"/>
    </row>
    <row r="591">
      <c r="C591" s="93"/>
      <c r="D591" s="93"/>
      <c r="G591" s="60"/>
      <c r="H591" s="93"/>
      <c r="I591" s="93"/>
      <c r="J591" s="93"/>
      <c r="S591" s="14"/>
      <c r="T591" s="14"/>
      <c r="U591" s="14"/>
      <c r="V591" s="14"/>
      <c r="W591" s="14"/>
      <c r="X591" s="14"/>
      <c r="Y591" s="14"/>
      <c r="Z591" s="14"/>
      <c r="AA591" s="14"/>
      <c r="AB591" s="14"/>
    </row>
    <row r="592">
      <c r="C592" s="93"/>
      <c r="D592" s="93"/>
      <c r="G592" s="60"/>
      <c r="H592" s="93"/>
      <c r="I592" s="93"/>
      <c r="J592" s="93"/>
      <c r="S592" s="14"/>
      <c r="T592" s="14"/>
      <c r="U592" s="14"/>
      <c r="V592" s="14"/>
      <c r="W592" s="14"/>
      <c r="X592" s="14"/>
      <c r="Y592" s="14"/>
      <c r="Z592" s="14"/>
      <c r="AA592" s="14"/>
      <c r="AB592" s="14"/>
    </row>
    <row r="593">
      <c r="C593" s="93"/>
      <c r="D593" s="93"/>
      <c r="G593" s="60"/>
      <c r="H593" s="93"/>
      <c r="I593" s="93"/>
      <c r="J593" s="93"/>
      <c r="S593" s="14"/>
      <c r="T593" s="14"/>
      <c r="U593" s="14"/>
      <c r="V593" s="14"/>
      <c r="W593" s="14"/>
      <c r="X593" s="14"/>
      <c r="Y593" s="14"/>
      <c r="Z593" s="14"/>
      <c r="AA593" s="14"/>
      <c r="AB593" s="14"/>
    </row>
    <row r="594">
      <c r="C594" s="93"/>
      <c r="D594" s="93"/>
      <c r="G594" s="60"/>
      <c r="H594" s="93"/>
      <c r="I594" s="93"/>
      <c r="J594" s="93"/>
      <c r="S594" s="14"/>
      <c r="T594" s="14"/>
      <c r="U594" s="14"/>
      <c r="V594" s="14"/>
      <c r="W594" s="14"/>
      <c r="X594" s="14"/>
      <c r="Y594" s="14"/>
      <c r="Z594" s="14"/>
      <c r="AA594" s="14"/>
      <c r="AB594" s="14"/>
    </row>
    <row r="595">
      <c r="C595" s="93"/>
      <c r="D595" s="93"/>
      <c r="G595" s="60"/>
      <c r="H595" s="93"/>
      <c r="I595" s="93"/>
      <c r="J595" s="93"/>
      <c r="S595" s="14"/>
      <c r="T595" s="14"/>
      <c r="U595" s="14"/>
      <c r="V595" s="14"/>
      <c r="W595" s="14"/>
      <c r="X595" s="14"/>
      <c r="Y595" s="14"/>
      <c r="Z595" s="14"/>
      <c r="AA595" s="14"/>
      <c r="AB595" s="14"/>
    </row>
    <row r="596">
      <c r="C596" s="93"/>
      <c r="D596" s="93"/>
      <c r="G596" s="60"/>
      <c r="H596" s="93"/>
      <c r="I596" s="93"/>
      <c r="J596" s="93"/>
      <c r="S596" s="14"/>
      <c r="T596" s="14"/>
      <c r="U596" s="14"/>
      <c r="V596" s="14"/>
      <c r="W596" s="14"/>
      <c r="X596" s="14"/>
      <c r="Y596" s="14"/>
      <c r="Z596" s="14"/>
      <c r="AA596" s="14"/>
      <c r="AB596" s="14"/>
    </row>
    <row r="597">
      <c r="C597" s="93"/>
      <c r="D597" s="93"/>
      <c r="G597" s="60"/>
      <c r="H597" s="93"/>
      <c r="I597" s="93"/>
      <c r="J597" s="93"/>
      <c r="S597" s="14"/>
      <c r="T597" s="14"/>
      <c r="U597" s="14"/>
      <c r="V597" s="14"/>
      <c r="W597" s="14"/>
      <c r="X597" s="14"/>
      <c r="Y597" s="14"/>
      <c r="Z597" s="14"/>
      <c r="AA597" s="14"/>
      <c r="AB597" s="14"/>
    </row>
    <row r="598">
      <c r="C598" s="93"/>
      <c r="D598" s="93"/>
      <c r="G598" s="60"/>
      <c r="H598" s="93"/>
      <c r="I598" s="93"/>
      <c r="J598" s="93"/>
      <c r="S598" s="14"/>
      <c r="T598" s="14"/>
      <c r="U598" s="14"/>
      <c r="V598" s="14"/>
      <c r="W598" s="14"/>
      <c r="X598" s="14"/>
      <c r="Y598" s="14"/>
      <c r="Z598" s="14"/>
      <c r="AA598" s="14"/>
      <c r="AB598" s="14"/>
    </row>
    <row r="599">
      <c r="C599" s="93"/>
      <c r="D599" s="93"/>
      <c r="G599" s="60"/>
      <c r="H599" s="93"/>
      <c r="I599" s="93"/>
      <c r="J599" s="93"/>
      <c r="S599" s="14"/>
      <c r="T599" s="14"/>
      <c r="U599" s="14"/>
      <c r="V599" s="14"/>
      <c r="W599" s="14"/>
      <c r="X599" s="14"/>
      <c r="Y599" s="14"/>
      <c r="Z599" s="14"/>
      <c r="AA599" s="14"/>
      <c r="AB599" s="14"/>
    </row>
    <row r="600">
      <c r="C600" s="93"/>
      <c r="D600" s="93"/>
      <c r="G600" s="60"/>
      <c r="H600" s="93"/>
      <c r="I600" s="93"/>
      <c r="J600" s="93"/>
      <c r="S600" s="14"/>
      <c r="T600" s="14"/>
      <c r="U600" s="14"/>
      <c r="V600" s="14"/>
      <c r="W600" s="14"/>
      <c r="X600" s="14"/>
      <c r="Y600" s="14"/>
      <c r="Z600" s="14"/>
      <c r="AA600" s="14"/>
      <c r="AB600" s="14"/>
    </row>
    <row r="601">
      <c r="C601" s="93"/>
      <c r="D601" s="93"/>
      <c r="G601" s="60"/>
      <c r="H601" s="93"/>
      <c r="I601" s="93"/>
      <c r="J601" s="93"/>
      <c r="S601" s="14"/>
      <c r="T601" s="14"/>
      <c r="U601" s="14"/>
      <c r="V601" s="14"/>
      <c r="W601" s="14"/>
      <c r="X601" s="14"/>
      <c r="Y601" s="14"/>
      <c r="Z601" s="14"/>
      <c r="AA601" s="14"/>
      <c r="AB601" s="14"/>
    </row>
    <row r="602">
      <c r="C602" s="93"/>
      <c r="D602" s="93"/>
      <c r="G602" s="60"/>
      <c r="H602" s="93"/>
      <c r="I602" s="93"/>
      <c r="J602" s="93"/>
      <c r="S602" s="14"/>
      <c r="T602" s="14"/>
      <c r="U602" s="14"/>
      <c r="V602" s="14"/>
      <c r="W602" s="14"/>
      <c r="X602" s="14"/>
      <c r="Y602" s="14"/>
      <c r="Z602" s="14"/>
      <c r="AA602" s="14"/>
      <c r="AB602" s="14"/>
    </row>
    <row r="603">
      <c r="C603" s="93"/>
      <c r="D603" s="93"/>
      <c r="G603" s="60"/>
      <c r="H603" s="93"/>
      <c r="I603" s="93"/>
      <c r="J603" s="93"/>
      <c r="S603" s="14"/>
      <c r="T603" s="14"/>
      <c r="U603" s="14"/>
      <c r="V603" s="14"/>
      <c r="W603" s="14"/>
      <c r="X603" s="14"/>
      <c r="Y603" s="14"/>
      <c r="Z603" s="14"/>
      <c r="AA603" s="14"/>
      <c r="AB603" s="14"/>
    </row>
    <row r="604">
      <c r="C604" s="93"/>
      <c r="D604" s="93"/>
      <c r="G604" s="60"/>
      <c r="H604" s="93"/>
      <c r="I604" s="93"/>
      <c r="J604" s="93"/>
      <c r="S604" s="14"/>
      <c r="T604" s="14"/>
      <c r="U604" s="14"/>
      <c r="V604" s="14"/>
      <c r="W604" s="14"/>
      <c r="X604" s="14"/>
      <c r="Y604" s="14"/>
      <c r="Z604" s="14"/>
      <c r="AA604" s="14"/>
      <c r="AB604" s="14"/>
    </row>
    <row r="605">
      <c r="C605" s="93"/>
      <c r="D605" s="93"/>
      <c r="G605" s="60"/>
      <c r="H605" s="93"/>
      <c r="I605" s="93"/>
      <c r="J605" s="93"/>
      <c r="S605" s="14"/>
      <c r="T605" s="14"/>
      <c r="U605" s="14"/>
      <c r="V605" s="14"/>
      <c r="W605" s="14"/>
      <c r="X605" s="14"/>
      <c r="Y605" s="14"/>
      <c r="Z605" s="14"/>
      <c r="AA605" s="14"/>
      <c r="AB605" s="14"/>
    </row>
    <row r="606">
      <c r="C606" s="93"/>
      <c r="D606" s="93"/>
      <c r="G606" s="60"/>
      <c r="H606" s="93"/>
      <c r="I606" s="93"/>
      <c r="J606" s="93"/>
      <c r="S606" s="14"/>
      <c r="T606" s="14"/>
      <c r="U606" s="14"/>
      <c r="V606" s="14"/>
      <c r="W606" s="14"/>
      <c r="X606" s="14"/>
      <c r="Y606" s="14"/>
      <c r="Z606" s="14"/>
      <c r="AA606" s="14"/>
      <c r="AB606" s="14"/>
    </row>
    <row r="607">
      <c r="C607" s="93"/>
      <c r="D607" s="93"/>
      <c r="G607" s="60"/>
      <c r="H607" s="93"/>
      <c r="I607" s="93"/>
      <c r="J607" s="93"/>
      <c r="S607" s="14"/>
      <c r="T607" s="14"/>
      <c r="U607" s="14"/>
      <c r="V607" s="14"/>
      <c r="W607" s="14"/>
      <c r="X607" s="14"/>
      <c r="Y607" s="14"/>
      <c r="Z607" s="14"/>
      <c r="AA607" s="14"/>
      <c r="AB607" s="14"/>
    </row>
    <row r="608">
      <c r="C608" s="93"/>
      <c r="D608" s="93"/>
      <c r="G608" s="60"/>
      <c r="H608" s="93"/>
      <c r="I608" s="93"/>
      <c r="J608" s="93"/>
      <c r="S608" s="14"/>
      <c r="T608" s="14"/>
      <c r="U608" s="14"/>
      <c r="V608" s="14"/>
      <c r="W608" s="14"/>
      <c r="X608" s="14"/>
      <c r="Y608" s="14"/>
      <c r="Z608" s="14"/>
      <c r="AA608" s="14"/>
      <c r="AB608" s="14"/>
    </row>
    <row r="609">
      <c r="C609" s="93"/>
      <c r="D609" s="93"/>
      <c r="G609" s="60"/>
      <c r="H609" s="93"/>
      <c r="I609" s="93"/>
      <c r="J609" s="93"/>
      <c r="S609" s="14"/>
      <c r="T609" s="14"/>
      <c r="U609" s="14"/>
      <c r="V609" s="14"/>
      <c r="W609" s="14"/>
      <c r="X609" s="14"/>
      <c r="Y609" s="14"/>
      <c r="Z609" s="14"/>
      <c r="AA609" s="14"/>
      <c r="AB609" s="14"/>
    </row>
    <row r="610">
      <c r="C610" s="93"/>
      <c r="D610" s="93"/>
      <c r="G610" s="60"/>
      <c r="H610" s="93"/>
      <c r="I610" s="93"/>
      <c r="J610" s="93"/>
      <c r="S610" s="14"/>
      <c r="T610" s="14"/>
      <c r="U610" s="14"/>
      <c r="V610" s="14"/>
      <c r="W610" s="14"/>
      <c r="X610" s="14"/>
      <c r="Y610" s="14"/>
      <c r="Z610" s="14"/>
      <c r="AA610" s="14"/>
      <c r="AB610" s="14"/>
    </row>
    <row r="611">
      <c r="C611" s="93"/>
      <c r="D611" s="93"/>
      <c r="G611" s="60"/>
      <c r="H611" s="93"/>
      <c r="I611" s="93"/>
      <c r="J611" s="93"/>
      <c r="S611" s="14"/>
      <c r="T611" s="14"/>
      <c r="U611" s="14"/>
      <c r="V611" s="14"/>
      <c r="W611" s="14"/>
      <c r="X611" s="14"/>
      <c r="Y611" s="14"/>
      <c r="Z611" s="14"/>
      <c r="AA611" s="14"/>
      <c r="AB611" s="14"/>
    </row>
    <row r="612">
      <c r="C612" s="93"/>
      <c r="D612" s="93"/>
      <c r="G612" s="60"/>
      <c r="H612" s="93"/>
      <c r="I612" s="93"/>
      <c r="J612" s="93"/>
      <c r="S612" s="14"/>
      <c r="T612" s="14"/>
      <c r="U612" s="14"/>
      <c r="V612" s="14"/>
      <c r="W612" s="14"/>
      <c r="X612" s="14"/>
      <c r="Y612" s="14"/>
      <c r="Z612" s="14"/>
      <c r="AA612" s="14"/>
      <c r="AB612" s="14"/>
    </row>
    <row r="613">
      <c r="C613" s="93"/>
      <c r="D613" s="93"/>
      <c r="G613" s="60"/>
      <c r="H613" s="93"/>
      <c r="I613" s="93"/>
      <c r="J613" s="93"/>
      <c r="S613" s="14"/>
      <c r="T613" s="14"/>
      <c r="U613" s="14"/>
      <c r="V613" s="14"/>
      <c r="W613" s="14"/>
      <c r="X613" s="14"/>
      <c r="Y613" s="14"/>
      <c r="Z613" s="14"/>
      <c r="AA613" s="14"/>
      <c r="AB613" s="14"/>
    </row>
    <row r="614">
      <c r="C614" s="93"/>
      <c r="D614" s="93"/>
      <c r="G614" s="60"/>
      <c r="H614" s="93"/>
      <c r="I614" s="93"/>
      <c r="J614" s="93"/>
      <c r="S614" s="14"/>
      <c r="T614" s="14"/>
      <c r="U614" s="14"/>
      <c r="V614" s="14"/>
      <c r="W614" s="14"/>
      <c r="X614" s="14"/>
      <c r="Y614" s="14"/>
      <c r="Z614" s="14"/>
      <c r="AA614" s="14"/>
      <c r="AB614" s="14"/>
    </row>
    <row r="615">
      <c r="C615" s="93"/>
      <c r="D615" s="93"/>
      <c r="G615" s="60"/>
      <c r="H615" s="93"/>
      <c r="I615" s="93"/>
      <c r="J615" s="93"/>
      <c r="S615" s="14"/>
      <c r="T615" s="14"/>
      <c r="U615" s="14"/>
      <c r="V615" s="14"/>
      <c r="W615" s="14"/>
      <c r="X615" s="14"/>
      <c r="Y615" s="14"/>
      <c r="Z615" s="14"/>
      <c r="AA615" s="14"/>
      <c r="AB615" s="14"/>
    </row>
    <row r="616">
      <c r="C616" s="93"/>
      <c r="D616" s="93"/>
      <c r="G616" s="60"/>
      <c r="H616" s="93"/>
      <c r="I616" s="93"/>
      <c r="J616" s="93"/>
      <c r="S616" s="14"/>
      <c r="T616" s="14"/>
      <c r="U616" s="14"/>
      <c r="V616" s="14"/>
      <c r="W616" s="14"/>
      <c r="X616" s="14"/>
      <c r="Y616" s="14"/>
      <c r="Z616" s="14"/>
      <c r="AA616" s="14"/>
      <c r="AB616" s="14"/>
    </row>
    <row r="617">
      <c r="C617" s="93"/>
      <c r="D617" s="93"/>
      <c r="G617" s="60"/>
      <c r="H617" s="93"/>
      <c r="I617" s="93"/>
      <c r="J617" s="93"/>
      <c r="S617" s="14"/>
      <c r="T617" s="14"/>
      <c r="U617" s="14"/>
      <c r="V617" s="14"/>
      <c r="W617" s="14"/>
      <c r="X617" s="14"/>
      <c r="Y617" s="14"/>
      <c r="Z617" s="14"/>
      <c r="AA617" s="14"/>
      <c r="AB617" s="14"/>
    </row>
    <row r="618">
      <c r="C618" s="93"/>
      <c r="D618" s="93"/>
      <c r="G618" s="60"/>
      <c r="H618" s="93"/>
      <c r="I618" s="93"/>
      <c r="J618" s="93"/>
      <c r="S618" s="14"/>
      <c r="T618" s="14"/>
      <c r="U618" s="14"/>
      <c r="V618" s="14"/>
      <c r="W618" s="14"/>
      <c r="X618" s="14"/>
      <c r="Y618" s="14"/>
      <c r="Z618" s="14"/>
      <c r="AA618" s="14"/>
      <c r="AB618" s="14"/>
    </row>
    <row r="619">
      <c r="C619" s="93"/>
      <c r="D619" s="93"/>
      <c r="G619" s="60"/>
      <c r="H619" s="93"/>
      <c r="I619" s="93"/>
      <c r="J619" s="93"/>
      <c r="S619" s="14"/>
      <c r="T619" s="14"/>
      <c r="U619" s="14"/>
      <c r="V619" s="14"/>
      <c r="W619" s="14"/>
      <c r="X619" s="14"/>
      <c r="Y619" s="14"/>
      <c r="Z619" s="14"/>
      <c r="AA619" s="14"/>
      <c r="AB619" s="14"/>
    </row>
    <row r="620">
      <c r="C620" s="93"/>
      <c r="D620" s="93"/>
      <c r="G620" s="60"/>
      <c r="H620" s="93"/>
      <c r="I620" s="93"/>
      <c r="J620" s="93"/>
      <c r="S620" s="14"/>
      <c r="T620" s="14"/>
      <c r="U620" s="14"/>
      <c r="V620" s="14"/>
      <c r="W620" s="14"/>
      <c r="X620" s="14"/>
      <c r="Y620" s="14"/>
      <c r="Z620" s="14"/>
      <c r="AA620" s="14"/>
      <c r="AB620" s="14"/>
    </row>
    <row r="621">
      <c r="C621" s="93"/>
      <c r="D621" s="93"/>
      <c r="G621" s="60"/>
      <c r="H621" s="93"/>
      <c r="I621" s="93"/>
      <c r="J621" s="93"/>
      <c r="S621" s="14"/>
      <c r="T621" s="14"/>
      <c r="U621" s="14"/>
      <c r="V621" s="14"/>
      <c r="W621" s="14"/>
      <c r="X621" s="14"/>
      <c r="Y621" s="14"/>
      <c r="Z621" s="14"/>
      <c r="AA621" s="14"/>
      <c r="AB621" s="14"/>
    </row>
    <row r="622">
      <c r="C622" s="93"/>
      <c r="D622" s="93"/>
      <c r="G622" s="60"/>
      <c r="H622" s="93"/>
      <c r="I622" s="93"/>
      <c r="J622" s="93"/>
      <c r="S622" s="14"/>
      <c r="T622" s="14"/>
      <c r="U622" s="14"/>
      <c r="V622" s="14"/>
      <c r="W622" s="14"/>
      <c r="X622" s="14"/>
      <c r="Y622" s="14"/>
      <c r="Z622" s="14"/>
      <c r="AA622" s="14"/>
      <c r="AB622" s="14"/>
    </row>
    <row r="623">
      <c r="C623" s="93"/>
      <c r="D623" s="93"/>
      <c r="G623" s="60"/>
      <c r="H623" s="93"/>
      <c r="I623" s="93"/>
      <c r="J623" s="93"/>
      <c r="S623" s="14"/>
      <c r="T623" s="14"/>
      <c r="U623" s="14"/>
      <c r="V623" s="14"/>
      <c r="W623" s="14"/>
      <c r="X623" s="14"/>
      <c r="Y623" s="14"/>
      <c r="Z623" s="14"/>
      <c r="AA623" s="14"/>
      <c r="AB623" s="14"/>
    </row>
    <row r="624">
      <c r="C624" s="93"/>
      <c r="D624" s="93"/>
      <c r="G624" s="60"/>
      <c r="H624" s="93"/>
      <c r="I624" s="93"/>
      <c r="J624" s="93"/>
      <c r="S624" s="14"/>
      <c r="T624" s="14"/>
      <c r="U624" s="14"/>
      <c r="V624" s="14"/>
      <c r="W624" s="14"/>
      <c r="X624" s="14"/>
      <c r="Y624" s="14"/>
      <c r="Z624" s="14"/>
      <c r="AA624" s="14"/>
      <c r="AB624" s="14"/>
    </row>
    <row r="625">
      <c r="C625" s="93"/>
      <c r="D625" s="93"/>
      <c r="G625" s="60"/>
      <c r="H625" s="93"/>
      <c r="I625" s="93"/>
      <c r="J625" s="93"/>
      <c r="S625" s="14"/>
      <c r="T625" s="14"/>
      <c r="U625" s="14"/>
      <c r="V625" s="14"/>
      <c r="W625" s="14"/>
      <c r="X625" s="14"/>
      <c r="Y625" s="14"/>
      <c r="Z625" s="14"/>
      <c r="AA625" s="14"/>
      <c r="AB625" s="14"/>
    </row>
    <row r="626">
      <c r="C626" s="93"/>
      <c r="D626" s="93"/>
      <c r="G626" s="60"/>
      <c r="H626" s="93"/>
      <c r="I626" s="93"/>
      <c r="J626" s="93"/>
      <c r="S626" s="14"/>
      <c r="T626" s="14"/>
      <c r="U626" s="14"/>
      <c r="V626" s="14"/>
      <c r="W626" s="14"/>
      <c r="X626" s="14"/>
      <c r="Y626" s="14"/>
      <c r="Z626" s="14"/>
      <c r="AA626" s="14"/>
      <c r="AB626" s="14"/>
    </row>
    <row r="627">
      <c r="C627" s="93"/>
      <c r="D627" s="93"/>
      <c r="G627" s="60"/>
      <c r="H627" s="93"/>
      <c r="I627" s="93"/>
      <c r="J627" s="93"/>
      <c r="S627" s="14"/>
      <c r="T627" s="14"/>
      <c r="U627" s="14"/>
      <c r="V627" s="14"/>
      <c r="W627" s="14"/>
      <c r="X627" s="14"/>
      <c r="Y627" s="14"/>
      <c r="Z627" s="14"/>
      <c r="AA627" s="14"/>
      <c r="AB627" s="14"/>
    </row>
    <row r="628">
      <c r="C628" s="93"/>
      <c r="D628" s="93"/>
      <c r="G628" s="60"/>
      <c r="H628" s="93"/>
      <c r="I628" s="93"/>
      <c r="J628" s="93"/>
      <c r="S628" s="14"/>
      <c r="T628" s="14"/>
      <c r="U628" s="14"/>
      <c r="V628" s="14"/>
      <c r="W628" s="14"/>
      <c r="X628" s="14"/>
      <c r="Y628" s="14"/>
      <c r="Z628" s="14"/>
      <c r="AA628" s="14"/>
      <c r="AB628" s="14"/>
    </row>
    <row r="629">
      <c r="C629" s="93"/>
      <c r="D629" s="93"/>
      <c r="G629" s="60"/>
      <c r="H629" s="93"/>
      <c r="I629" s="93"/>
      <c r="J629" s="93"/>
      <c r="S629" s="14"/>
      <c r="T629" s="14"/>
      <c r="U629" s="14"/>
      <c r="V629" s="14"/>
      <c r="W629" s="14"/>
      <c r="X629" s="14"/>
      <c r="Y629" s="14"/>
      <c r="Z629" s="14"/>
      <c r="AA629" s="14"/>
      <c r="AB629" s="14"/>
    </row>
    <row r="630">
      <c r="C630" s="93"/>
      <c r="D630" s="93"/>
      <c r="G630" s="60"/>
      <c r="H630" s="93"/>
      <c r="I630" s="93"/>
      <c r="J630" s="93"/>
      <c r="S630" s="14"/>
      <c r="T630" s="14"/>
      <c r="U630" s="14"/>
      <c r="V630" s="14"/>
      <c r="W630" s="14"/>
      <c r="X630" s="14"/>
      <c r="Y630" s="14"/>
      <c r="Z630" s="14"/>
      <c r="AA630" s="14"/>
      <c r="AB630" s="14"/>
    </row>
    <row r="631">
      <c r="C631" s="93"/>
      <c r="D631" s="93"/>
      <c r="G631" s="60"/>
      <c r="H631" s="93"/>
      <c r="I631" s="93"/>
      <c r="J631" s="93"/>
      <c r="S631" s="14"/>
      <c r="T631" s="14"/>
      <c r="U631" s="14"/>
      <c r="V631" s="14"/>
      <c r="W631" s="14"/>
      <c r="X631" s="14"/>
      <c r="Y631" s="14"/>
      <c r="Z631" s="14"/>
      <c r="AA631" s="14"/>
      <c r="AB631" s="14"/>
    </row>
    <row r="632">
      <c r="C632" s="93"/>
      <c r="D632" s="93"/>
      <c r="G632" s="60"/>
      <c r="H632" s="93"/>
      <c r="I632" s="93"/>
      <c r="J632" s="93"/>
      <c r="S632" s="14"/>
      <c r="T632" s="14"/>
      <c r="U632" s="14"/>
      <c r="V632" s="14"/>
      <c r="W632" s="14"/>
      <c r="X632" s="14"/>
      <c r="Y632" s="14"/>
      <c r="Z632" s="14"/>
      <c r="AA632" s="14"/>
      <c r="AB632" s="14"/>
    </row>
    <row r="633">
      <c r="C633" s="93"/>
      <c r="D633" s="93"/>
      <c r="G633" s="60"/>
      <c r="H633" s="93"/>
      <c r="I633" s="93"/>
      <c r="J633" s="93"/>
      <c r="S633" s="14"/>
      <c r="T633" s="14"/>
      <c r="U633" s="14"/>
      <c r="V633" s="14"/>
      <c r="W633" s="14"/>
      <c r="X633" s="14"/>
      <c r="Y633" s="14"/>
      <c r="Z633" s="14"/>
      <c r="AA633" s="14"/>
      <c r="AB633" s="14"/>
    </row>
    <row r="634">
      <c r="C634" s="93"/>
      <c r="D634" s="93"/>
      <c r="G634" s="60"/>
      <c r="H634" s="93"/>
      <c r="I634" s="93"/>
      <c r="J634" s="93"/>
      <c r="S634" s="14"/>
      <c r="T634" s="14"/>
      <c r="U634" s="14"/>
      <c r="V634" s="14"/>
      <c r="W634" s="14"/>
      <c r="X634" s="14"/>
      <c r="Y634" s="14"/>
      <c r="Z634" s="14"/>
      <c r="AA634" s="14"/>
      <c r="AB634" s="14"/>
    </row>
    <row r="635">
      <c r="C635" s="93"/>
      <c r="D635" s="93"/>
      <c r="G635" s="60"/>
      <c r="H635" s="93"/>
      <c r="I635" s="93"/>
      <c r="J635" s="93"/>
      <c r="S635" s="14"/>
      <c r="T635" s="14"/>
      <c r="U635" s="14"/>
      <c r="V635" s="14"/>
      <c r="W635" s="14"/>
      <c r="X635" s="14"/>
      <c r="Y635" s="14"/>
      <c r="Z635" s="14"/>
      <c r="AA635" s="14"/>
      <c r="AB635" s="14"/>
    </row>
    <row r="636">
      <c r="C636" s="93"/>
      <c r="D636" s="93"/>
      <c r="G636" s="60"/>
      <c r="H636" s="93"/>
      <c r="I636" s="93"/>
      <c r="J636" s="93"/>
      <c r="S636" s="14"/>
      <c r="T636" s="14"/>
      <c r="U636" s="14"/>
      <c r="V636" s="14"/>
      <c r="W636" s="14"/>
      <c r="X636" s="14"/>
      <c r="Y636" s="14"/>
      <c r="Z636" s="14"/>
      <c r="AA636" s="14"/>
      <c r="AB636" s="14"/>
    </row>
    <row r="637">
      <c r="C637" s="93"/>
      <c r="D637" s="93"/>
      <c r="G637" s="60"/>
      <c r="H637" s="93"/>
      <c r="I637" s="93"/>
      <c r="J637" s="93"/>
      <c r="S637" s="14"/>
      <c r="T637" s="14"/>
      <c r="U637" s="14"/>
      <c r="V637" s="14"/>
      <c r="W637" s="14"/>
      <c r="X637" s="14"/>
      <c r="Y637" s="14"/>
      <c r="Z637" s="14"/>
      <c r="AA637" s="14"/>
      <c r="AB637" s="14"/>
    </row>
    <row r="638">
      <c r="C638" s="93"/>
      <c r="D638" s="93"/>
      <c r="G638" s="60"/>
      <c r="H638" s="93"/>
      <c r="I638" s="93"/>
      <c r="J638" s="93"/>
      <c r="S638" s="14"/>
      <c r="T638" s="14"/>
      <c r="U638" s="14"/>
      <c r="V638" s="14"/>
      <c r="W638" s="14"/>
      <c r="X638" s="14"/>
      <c r="Y638" s="14"/>
      <c r="Z638" s="14"/>
      <c r="AA638" s="14"/>
      <c r="AB638" s="14"/>
    </row>
    <row r="639">
      <c r="C639" s="93"/>
      <c r="D639" s="93"/>
      <c r="G639" s="60"/>
      <c r="H639" s="93"/>
      <c r="I639" s="93"/>
      <c r="J639" s="93"/>
      <c r="S639" s="14"/>
      <c r="T639" s="14"/>
      <c r="U639" s="14"/>
      <c r="V639" s="14"/>
      <c r="W639" s="14"/>
      <c r="X639" s="14"/>
      <c r="Y639" s="14"/>
      <c r="Z639" s="14"/>
      <c r="AA639" s="14"/>
      <c r="AB639" s="14"/>
    </row>
    <row r="640">
      <c r="C640" s="93"/>
      <c r="D640" s="93"/>
      <c r="G640" s="60"/>
      <c r="H640" s="93"/>
      <c r="I640" s="93"/>
      <c r="J640" s="93"/>
      <c r="S640" s="14"/>
      <c r="T640" s="14"/>
      <c r="U640" s="14"/>
      <c r="V640" s="14"/>
      <c r="W640" s="14"/>
      <c r="X640" s="14"/>
      <c r="Y640" s="14"/>
      <c r="Z640" s="14"/>
      <c r="AA640" s="14"/>
      <c r="AB640" s="14"/>
    </row>
    <row r="641">
      <c r="C641" s="93"/>
      <c r="D641" s="93"/>
      <c r="G641" s="60"/>
      <c r="H641" s="93"/>
      <c r="I641" s="93"/>
      <c r="J641" s="93"/>
      <c r="S641" s="14"/>
      <c r="T641" s="14"/>
      <c r="U641" s="14"/>
      <c r="V641" s="14"/>
      <c r="W641" s="14"/>
      <c r="X641" s="14"/>
      <c r="Y641" s="14"/>
      <c r="Z641" s="14"/>
      <c r="AA641" s="14"/>
      <c r="AB641" s="14"/>
    </row>
    <row r="642">
      <c r="C642" s="93"/>
      <c r="D642" s="93"/>
      <c r="G642" s="60"/>
      <c r="H642" s="93"/>
      <c r="I642" s="93"/>
      <c r="J642" s="93"/>
      <c r="S642" s="14"/>
      <c r="T642" s="14"/>
      <c r="U642" s="14"/>
      <c r="V642" s="14"/>
      <c r="W642" s="14"/>
      <c r="X642" s="14"/>
      <c r="Y642" s="14"/>
      <c r="Z642" s="14"/>
      <c r="AA642" s="14"/>
      <c r="AB642" s="14"/>
    </row>
    <row r="643">
      <c r="C643" s="93"/>
      <c r="D643" s="93"/>
      <c r="G643" s="60"/>
      <c r="H643" s="93"/>
      <c r="I643" s="93"/>
      <c r="J643" s="93"/>
      <c r="S643" s="14"/>
      <c r="T643" s="14"/>
      <c r="U643" s="14"/>
      <c r="V643" s="14"/>
      <c r="W643" s="14"/>
      <c r="X643" s="14"/>
      <c r="Y643" s="14"/>
      <c r="Z643" s="14"/>
      <c r="AA643" s="14"/>
      <c r="AB643" s="14"/>
    </row>
    <row r="644">
      <c r="C644" s="93"/>
      <c r="D644" s="93"/>
      <c r="G644" s="60"/>
      <c r="H644" s="93"/>
      <c r="I644" s="93"/>
      <c r="J644" s="93"/>
      <c r="S644" s="14"/>
      <c r="T644" s="14"/>
      <c r="U644" s="14"/>
      <c r="V644" s="14"/>
      <c r="W644" s="14"/>
      <c r="X644" s="14"/>
      <c r="Y644" s="14"/>
      <c r="Z644" s="14"/>
      <c r="AA644" s="14"/>
      <c r="AB644" s="14"/>
    </row>
    <row r="645">
      <c r="C645" s="93"/>
      <c r="D645" s="93"/>
      <c r="G645" s="60"/>
      <c r="H645" s="93"/>
      <c r="I645" s="93"/>
      <c r="J645" s="93"/>
      <c r="S645" s="14"/>
      <c r="T645" s="14"/>
      <c r="U645" s="14"/>
      <c r="V645" s="14"/>
      <c r="W645" s="14"/>
      <c r="X645" s="14"/>
      <c r="Y645" s="14"/>
      <c r="Z645" s="14"/>
      <c r="AA645" s="14"/>
      <c r="AB645" s="14"/>
    </row>
    <row r="646">
      <c r="C646" s="93"/>
      <c r="D646" s="93"/>
      <c r="G646" s="60"/>
      <c r="H646" s="93"/>
      <c r="I646" s="93"/>
      <c r="J646" s="93"/>
      <c r="S646" s="14"/>
      <c r="T646" s="14"/>
      <c r="U646" s="14"/>
      <c r="V646" s="14"/>
      <c r="W646" s="14"/>
      <c r="X646" s="14"/>
      <c r="Y646" s="14"/>
      <c r="Z646" s="14"/>
      <c r="AA646" s="14"/>
      <c r="AB646" s="14"/>
    </row>
    <row r="647">
      <c r="C647" s="93"/>
      <c r="D647" s="93"/>
      <c r="G647" s="60"/>
      <c r="H647" s="93"/>
      <c r="I647" s="93"/>
      <c r="J647" s="93"/>
      <c r="S647" s="14"/>
      <c r="T647" s="14"/>
      <c r="U647" s="14"/>
      <c r="V647" s="14"/>
      <c r="W647" s="14"/>
      <c r="X647" s="14"/>
      <c r="Y647" s="14"/>
      <c r="Z647" s="14"/>
      <c r="AA647" s="14"/>
      <c r="AB647" s="14"/>
    </row>
    <row r="648">
      <c r="C648" s="93"/>
      <c r="D648" s="93"/>
      <c r="G648" s="60"/>
      <c r="H648" s="93"/>
      <c r="I648" s="93"/>
      <c r="J648" s="93"/>
      <c r="S648" s="14"/>
      <c r="T648" s="14"/>
      <c r="U648" s="14"/>
      <c r="V648" s="14"/>
      <c r="W648" s="14"/>
      <c r="X648" s="14"/>
      <c r="Y648" s="14"/>
      <c r="Z648" s="14"/>
      <c r="AA648" s="14"/>
      <c r="AB648" s="14"/>
    </row>
    <row r="649">
      <c r="C649" s="93"/>
      <c r="D649" s="93"/>
      <c r="G649" s="60"/>
      <c r="H649" s="93"/>
      <c r="I649" s="93"/>
      <c r="J649" s="93"/>
      <c r="S649" s="14"/>
      <c r="T649" s="14"/>
      <c r="U649" s="14"/>
      <c r="V649" s="14"/>
      <c r="W649" s="14"/>
      <c r="X649" s="14"/>
      <c r="Y649" s="14"/>
      <c r="Z649" s="14"/>
      <c r="AA649" s="14"/>
      <c r="AB649" s="14"/>
    </row>
    <row r="650">
      <c r="C650" s="93"/>
      <c r="D650" s="93"/>
      <c r="G650" s="60"/>
      <c r="H650" s="93"/>
      <c r="I650" s="93"/>
      <c r="J650" s="93"/>
      <c r="S650" s="14"/>
      <c r="T650" s="14"/>
      <c r="U650" s="14"/>
      <c r="V650" s="14"/>
      <c r="W650" s="14"/>
      <c r="X650" s="14"/>
      <c r="Y650" s="14"/>
      <c r="Z650" s="14"/>
      <c r="AA650" s="14"/>
      <c r="AB650" s="14"/>
    </row>
    <row r="651">
      <c r="C651" s="93"/>
      <c r="D651" s="93"/>
      <c r="G651" s="60"/>
      <c r="H651" s="93"/>
      <c r="I651" s="93"/>
      <c r="J651" s="93"/>
      <c r="S651" s="14"/>
      <c r="T651" s="14"/>
      <c r="U651" s="14"/>
      <c r="V651" s="14"/>
      <c r="W651" s="14"/>
      <c r="X651" s="14"/>
      <c r="Y651" s="14"/>
      <c r="Z651" s="14"/>
      <c r="AA651" s="14"/>
      <c r="AB651" s="14"/>
    </row>
    <row r="652">
      <c r="C652" s="93"/>
      <c r="D652" s="93"/>
      <c r="G652" s="60"/>
      <c r="H652" s="93"/>
      <c r="I652" s="93"/>
      <c r="J652" s="93"/>
      <c r="S652" s="14"/>
      <c r="T652" s="14"/>
      <c r="U652" s="14"/>
      <c r="V652" s="14"/>
      <c r="W652" s="14"/>
      <c r="X652" s="14"/>
      <c r="Y652" s="14"/>
      <c r="Z652" s="14"/>
      <c r="AA652" s="14"/>
      <c r="AB652" s="14"/>
    </row>
    <row r="653">
      <c r="C653" s="93"/>
      <c r="D653" s="93"/>
      <c r="G653" s="60"/>
      <c r="H653" s="93"/>
      <c r="I653" s="93"/>
      <c r="J653" s="93"/>
      <c r="S653" s="14"/>
      <c r="T653" s="14"/>
      <c r="U653" s="14"/>
      <c r="V653" s="14"/>
      <c r="W653" s="14"/>
      <c r="X653" s="14"/>
      <c r="Y653" s="14"/>
      <c r="Z653" s="14"/>
      <c r="AA653" s="14"/>
      <c r="AB653" s="14"/>
    </row>
    <row r="654">
      <c r="C654" s="93"/>
      <c r="D654" s="93"/>
      <c r="G654" s="60"/>
      <c r="H654" s="93"/>
      <c r="I654" s="93"/>
      <c r="J654" s="93"/>
      <c r="S654" s="14"/>
      <c r="T654" s="14"/>
      <c r="U654" s="14"/>
      <c r="V654" s="14"/>
      <c r="W654" s="14"/>
      <c r="X654" s="14"/>
      <c r="Y654" s="14"/>
      <c r="Z654" s="14"/>
      <c r="AA654" s="14"/>
      <c r="AB654" s="14"/>
    </row>
    <row r="655">
      <c r="C655" s="93"/>
      <c r="D655" s="93"/>
      <c r="G655" s="60"/>
      <c r="H655" s="93"/>
      <c r="I655" s="93"/>
      <c r="J655" s="93"/>
      <c r="S655" s="14"/>
      <c r="T655" s="14"/>
      <c r="U655" s="14"/>
      <c r="V655" s="14"/>
      <c r="W655" s="14"/>
      <c r="X655" s="14"/>
      <c r="Y655" s="14"/>
      <c r="Z655" s="14"/>
      <c r="AA655" s="14"/>
      <c r="AB655" s="14"/>
    </row>
    <row r="656">
      <c r="C656" s="93"/>
      <c r="D656" s="93"/>
      <c r="G656" s="60"/>
      <c r="H656" s="93"/>
      <c r="I656" s="93"/>
      <c r="J656" s="93"/>
      <c r="S656" s="14"/>
      <c r="T656" s="14"/>
      <c r="U656" s="14"/>
      <c r="V656" s="14"/>
      <c r="W656" s="14"/>
      <c r="X656" s="14"/>
      <c r="Y656" s="14"/>
      <c r="Z656" s="14"/>
      <c r="AA656" s="14"/>
      <c r="AB656" s="14"/>
    </row>
    <row r="657">
      <c r="C657" s="93"/>
      <c r="D657" s="93"/>
      <c r="G657" s="60"/>
      <c r="H657" s="93"/>
      <c r="I657" s="93"/>
      <c r="J657" s="93"/>
      <c r="S657" s="14"/>
      <c r="T657" s="14"/>
      <c r="U657" s="14"/>
      <c r="V657" s="14"/>
      <c r="W657" s="14"/>
      <c r="X657" s="14"/>
      <c r="Y657" s="14"/>
      <c r="Z657" s="14"/>
      <c r="AA657" s="14"/>
      <c r="AB657" s="14"/>
    </row>
    <row r="658">
      <c r="C658" s="93"/>
      <c r="D658" s="93"/>
      <c r="G658" s="60"/>
      <c r="H658" s="93"/>
      <c r="I658" s="93"/>
      <c r="J658" s="93"/>
      <c r="S658" s="14"/>
      <c r="T658" s="14"/>
      <c r="U658" s="14"/>
      <c r="V658" s="14"/>
      <c r="W658" s="14"/>
      <c r="X658" s="14"/>
      <c r="Y658" s="14"/>
      <c r="Z658" s="14"/>
      <c r="AA658" s="14"/>
      <c r="AB658" s="14"/>
    </row>
    <row r="659">
      <c r="C659" s="93"/>
      <c r="D659" s="93"/>
      <c r="G659" s="60"/>
      <c r="H659" s="93"/>
      <c r="I659" s="93"/>
      <c r="J659" s="93"/>
      <c r="S659" s="14"/>
      <c r="T659" s="14"/>
      <c r="U659" s="14"/>
      <c r="V659" s="14"/>
      <c r="W659" s="14"/>
      <c r="X659" s="14"/>
      <c r="Y659" s="14"/>
      <c r="Z659" s="14"/>
      <c r="AA659" s="14"/>
      <c r="AB659" s="14"/>
    </row>
    <row r="660">
      <c r="C660" s="93"/>
      <c r="D660" s="93"/>
      <c r="G660" s="60"/>
      <c r="H660" s="93"/>
      <c r="I660" s="93"/>
      <c r="J660" s="93"/>
      <c r="S660" s="14"/>
      <c r="T660" s="14"/>
      <c r="U660" s="14"/>
      <c r="V660" s="14"/>
      <c r="W660" s="14"/>
      <c r="X660" s="14"/>
      <c r="Y660" s="14"/>
      <c r="Z660" s="14"/>
      <c r="AA660" s="14"/>
      <c r="AB660" s="14"/>
    </row>
    <row r="661">
      <c r="C661" s="93"/>
      <c r="D661" s="93"/>
      <c r="G661" s="60"/>
      <c r="H661" s="93"/>
      <c r="I661" s="93"/>
      <c r="J661" s="93"/>
      <c r="S661" s="14"/>
      <c r="T661" s="14"/>
      <c r="U661" s="14"/>
      <c r="V661" s="14"/>
      <c r="W661" s="14"/>
      <c r="X661" s="14"/>
      <c r="Y661" s="14"/>
      <c r="Z661" s="14"/>
      <c r="AA661" s="14"/>
      <c r="AB661" s="14"/>
    </row>
    <row r="662">
      <c r="C662" s="93"/>
      <c r="D662" s="93"/>
      <c r="G662" s="60"/>
      <c r="H662" s="93"/>
      <c r="I662" s="93"/>
      <c r="J662" s="93"/>
      <c r="S662" s="14"/>
      <c r="T662" s="14"/>
      <c r="U662" s="14"/>
      <c r="V662" s="14"/>
      <c r="W662" s="14"/>
      <c r="X662" s="14"/>
      <c r="Y662" s="14"/>
      <c r="Z662" s="14"/>
      <c r="AA662" s="14"/>
      <c r="AB662" s="14"/>
    </row>
    <row r="663">
      <c r="C663" s="93"/>
      <c r="D663" s="93"/>
      <c r="G663" s="60"/>
      <c r="H663" s="93"/>
      <c r="I663" s="93"/>
      <c r="J663" s="93"/>
      <c r="S663" s="14"/>
      <c r="T663" s="14"/>
      <c r="U663" s="14"/>
      <c r="V663" s="14"/>
      <c r="W663" s="14"/>
      <c r="X663" s="14"/>
      <c r="Y663" s="14"/>
      <c r="Z663" s="14"/>
      <c r="AA663" s="14"/>
      <c r="AB663" s="14"/>
    </row>
    <row r="664">
      <c r="C664" s="93"/>
      <c r="D664" s="93"/>
      <c r="G664" s="60"/>
      <c r="H664" s="93"/>
      <c r="I664" s="93"/>
      <c r="J664" s="93"/>
      <c r="S664" s="14"/>
      <c r="T664" s="14"/>
      <c r="U664" s="14"/>
      <c r="V664" s="14"/>
      <c r="W664" s="14"/>
      <c r="X664" s="14"/>
      <c r="Y664" s="14"/>
      <c r="Z664" s="14"/>
      <c r="AA664" s="14"/>
      <c r="AB664" s="14"/>
    </row>
    <row r="665">
      <c r="C665" s="93"/>
      <c r="D665" s="93"/>
      <c r="G665" s="60"/>
      <c r="H665" s="93"/>
      <c r="I665" s="93"/>
      <c r="J665" s="93"/>
      <c r="S665" s="14"/>
      <c r="T665" s="14"/>
      <c r="U665" s="14"/>
      <c r="V665" s="14"/>
      <c r="W665" s="14"/>
      <c r="X665" s="14"/>
      <c r="Y665" s="14"/>
      <c r="Z665" s="14"/>
      <c r="AA665" s="14"/>
      <c r="AB665" s="14"/>
    </row>
    <row r="666">
      <c r="C666" s="93"/>
      <c r="D666" s="93"/>
      <c r="G666" s="60"/>
      <c r="H666" s="93"/>
      <c r="I666" s="93"/>
      <c r="J666" s="93"/>
      <c r="S666" s="14"/>
      <c r="T666" s="14"/>
      <c r="U666" s="14"/>
      <c r="V666" s="14"/>
      <c r="W666" s="14"/>
      <c r="X666" s="14"/>
      <c r="Y666" s="14"/>
      <c r="Z666" s="14"/>
      <c r="AA666" s="14"/>
      <c r="AB666" s="14"/>
    </row>
    <row r="667">
      <c r="C667" s="93"/>
      <c r="D667" s="93"/>
      <c r="G667" s="60"/>
      <c r="H667" s="93"/>
      <c r="I667" s="93"/>
      <c r="J667" s="93"/>
      <c r="S667" s="14"/>
      <c r="T667" s="14"/>
      <c r="U667" s="14"/>
      <c r="V667" s="14"/>
      <c r="W667" s="14"/>
      <c r="X667" s="14"/>
      <c r="Y667" s="14"/>
      <c r="Z667" s="14"/>
      <c r="AA667" s="14"/>
      <c r="AB667" s="14"/>
    </row>
    <row r="668">
      <c r="C668" s="93"/>
      <c r="D668" s="93"/>
      <c r="G668" s="60"/>
      <c r="H668" s="93"/>
      <c r="I668" s="93"/>
      <c r="J668" s="93"/>
      <c r="S668" s="14"/>
      <c r="T668" s="14"/>
      <c r="U668" s="14"/>
      <c r="V668" s="14"/>
      <c r="W668" s="14"/>
      <c r="X668" s="14"/>
      <c r="Y668" s="14"/>
      <c r="Z668" s="14"/>
      <c r="AA668" s="14"/>
      <c r="AB668" s="14"/>
    </row>
    <row r="669">
      <c r="C669" s="93"/>
      <c r="D669" s="93"/>
      <c r="G669" s="60"/>
      <c r="H669" s="93"/>
      <c r="I669" s="93"/>
      <c r="J669" s="93"/>
      <c r="S669" s="14"/>
      <c r="T669" s="14"/>
      <c r="U669" s="14"/>
      <c r="V669" s="14"/>
      <c r="W669" s="14"/>
      <c r="X669" s="14"/>
      <c r="Y669" s="14"/>
      <c r="Z669" s="14"/>
      <c r="AA669" s="14"/>
      <c r="AB669" s="14"/>
    </row>
    <row r="670">
      <c r="C670" s="93"/>
      <c r="D670" s="93"/>
      <c r="G670" s="60"/>
      <c r="H670" s="93"/>
      <c r="I670" s="93"/>
      <c r="J670" s="93"/>
      <c r="S670" s="14"/>
      <c r="T670" s="14"/>
      <c r="U670" s="14"/>
      <c r="V670" s="14"/>
      <c r="W670" s="14"/>
      <c r="X670" s="14"/>
      <c r="Y670" s="14"/>
      <c r="Z670" s="14"/>
      <c r="AA670" s="14"/>
      <c r="AB670" s="14"/>
    </row>
    <row r="671">
      <c r="C671" s="93"/>
      <c r="D671" s="93"/>
      <c r="G671" s="60"/>
      <c r="H671" s="93"/>
      <c r="I671" s="93"/>
      <c r="J671" s="93"/>
      <c r="S671" s="14"/>
      <c r="T671" s="14"/>
      <c r="U671" s="14"/>
      <c r="V671" s="14"/>
      <c r="W671" s="14"/>
      <c r="X671" s="14"/>
      <c r="Y671" s="14"/>
      <c r="Z671" s="14"/>
      <c r="AA671" s="14"/>
      <c r="AB671" s="14"/>
    </row>
    <row r="672">
      <c r="C672" s="93"/>
      <c r="D672" s="93"/>
      <c r="G672" s="60"/>
      <c r="H672" s="93"/>
      <c r="I672" s="93"/>
      <c r="J672" s="93"/>
      <c r="S672" s="14"/>
      <c r="T672" s="14"/>
      <c r="U672" s="14"/>
      <c r="V672" s="14"/>
      <c r="W672" s="14"/>
      <c r="X672" s="14"/>
      <c r="Y672" s="14"/>
      <c r="Z672" s="14"/>
      <c r="AA672" s="14"/>
      <c r="AB672" s="14"/>
    </row>
    <row r="673">
      <c r="C673" s="93"/>
      <c r="D673" s="93"/>
      <c r="G673" s="60"/>
      <c r="H673" s="93"/>
      <c r="I673" s="93"/>
      <c r="J673" s="93"/>
      <c r="S673" s="14"/>
      <c r="T673" s="14"/>
      <c r="U673" s="14"/>
      <c r="V673" s="14"/>
      <c r="W673" s="14"/>
      <c r="X673" s="14"/>
      <c r="Y673" s="14"/>
      <c r="Z673" s="14"/>
      <c r="AA673" s="14"/>
      <c r="AB673" s="14"/>
    </row>
    <row r="674">
      <c r="C674" s="93"/>
      <c r="D674" s="93"/>
      <c r="G674" s="60"/>
      <c r="H674" s="93"/>
      <c r="I674" s="93"/>
      <c r="J674" s="93"/>
      <c r="S674" s="14"/>
      <c r="T674" s="14"/>
      <c r="U674" s="14"/>
      <c r="V674" s="14"/>
      <c r="W674" s="14"/>
      <c r="X674" s="14"/>
      <c r="Y674" s="14"/>
      <c r="Z674" s="14"/>
      <c r="AA674" s="14"/>
      <c r="AB674" s="14"/>
    </row>
    <row r="675">
      <c r="C675" s="93"/>
      <c r="D675" s="93"/>
      <c r="G675" s="60"/>
      <c r="H675" s="93"/>
      <c r="I675" s="93"/>
      <c r="J675" s="93"/>
      <c r="S675" s="14"/>
      <c r="T675" s="14"/>
      <c r="U675" s="14"/>
      <c r="V675" s="14"/>
      <c r="W675" s="14"/>
      <c r="X675" s="14"/>
      <c r="Y675" s="14"/>
      <c r="Z675" s="14"/>
      <c r="AA675" s="14"/>
      <c r="AB675" s="14"/>
    </row>
    <row r="676">
      <c r="C676" s="93"/>
      <c r="D676" s="93"/>
      <c r="G676" s="60"/>
      <c r="H676" s="93"/>
      <c r="I676" s="93"/>
      <c r="J676" s="93"/>
      <c r="S676" s="14"/>
      <c r="T676" s="14"/>
      <c r="U676" s="14"/>
      <c r="V676" s="14"/>
      <c r="W676" s="14"/>
      <c r="X676" s="14"/>
      <c r="Y676" s="14"/>
      <c r="Z676" s="14"/>
      <c r="AA676" s="14"/>
      <c r="AB676" s="14"/>
    </row>
    <row r="677">
      <c r="C677" s="93"/>
      <c r="D677" s="93"/>
      <c r="G677" s="60"/>
      <c r="H677" s="93"/>
      <c r="I677" s="93"/>
      <c r="J677" s="93"/>
      <c r="S677" s="14"/>
      <c r="T677" s="14"/>
      <c r="U677" s="14"/>
      <c r="V677" s="14"/>
      <c r="W677" s="14"/>
      <c r="X677" s="14"/>
      <c r="Y677" s="14"/>
      <c r="Z677" s="14"/>
      <c r="AA677" s="14"/>
      <c r="AB677" s="14"/>
    </row>
    <row r="678">
      <c r="C678" s="93"/>
      <c r="D678" s="93"/>
      <c r="G678" s="60"/>
      <c r="H678" s="93"/>
      <c r="I678" s="93"/>
      <c r="J678" s="93"/>
      <c r="S678" s="14"/>
      <c r="T678" s="14"/>
      <c r="U678" s="14"/>
      <c r="V678" s="14"/>
      <c r="W678" s="14"/>
      <c r="X678" s="14"/>
      <c r="Y678" s="14"/>
      <c r="Z678" s="14"/>
      <c r="AA678" s="14"/>
      <c r="AB678" s="14"/>
    </row>
    <row r="679">
      <c r="C679" s="93"/>
      <c r="D679" s="93"/>
      <c r="G679" s="60"/>
      <c r="H679" s="93"/>
      <c r="I679" s="93"/>
      <c r="J679" s="93"/>
      <c r="S679" s="14"/>
      <c r="T679" s="14"/>
      <c r="U679" s="14"/>
      <c r="V679" s="14"/>
      <c r="W679" s="14"/>
      <c r="X679" s="14"/>
      <c r="Y679" s="14"/>
      <c r="Z679" s="14"/>
      <c r="AA679" s="14"/>
      <c r="AB679" s="14"/>
    </row>
    <row r="680">
      <c r="C680" s="93"/>
      <c r="D680" s="93"/>
      <c r="G680" s="60"/>
      <c r="H680" s="93"/>
      <c r="I680" s="93"/>
      <c r="J680" s="93"/>
      <c r="S680" s="14"/>
      <c r="T680" s="14"/>
      <c r="U680" s="14"/>
      <c r="V680" s="14"/>
      <c r="W680" s="14"/>
      <c r="X680" s="14"/>
      <c r="Y680" s="14"/>
      <c r="Z680" s="14"/>
      <c r="AA680" s="14"/>
      <c r="AB680" s="14"/>
    </row>
    <row r="681">
      <c r="C681" s="93"/>
      <c r="D681" s="93"/>
      <c r="G681" s="60"/>
      <c r="H681" s="93"/>
      <c r="I681" s="93"/>
      <c r="J681" s="93"/>
      <c r="S681" s="14"/>
      <c r="T681" s="14"/>
      <c r="U681" s="14"/>
      <c r="V681" s="14"/>
      <c r="W681" s="14"/>
      <c r="X681" s="14"/>
      <c r="Y681" s="14"/>
      <c r="Z681" s="14"/>
      <c r="AA681" s="14"/>
      <c r="AB681" s="14"/>
    </row>
    <row r="682">
      <c r="C682" s="93"/>
      <c r="D682" s="93"/>
      <c r="G682" s="60"/>
      <c r="H682" s="93"/>
      <c r="I682" s="93"/>
      <c r="J682" s="93"/>
      <c r="S682" s="14"/>
      <c r="T682" s="14"/>
      <c r="U682" s="14"/>
      <c r="V682" s="14"/>
      <c r="W682" s="14"/>
      <c r="X682" s="14"/>
      <c r="Y682" s="14"/>
      <c r="Z682" s="14"/>
      <c r="AA682" s="14"/>
      <c r="AB682" s="14"/>
    </row>
    <row r="683">
      <c r="C683" s="93"/>
      <c r="D683" s="93"/>
      <c r="G683" s="60"/>
      <c r="H683" s="93"/>
      <c r="I683" s="93"/>
      <c r="J683" s="93"/>
      <c r="S683" s="14"/>
      <c r="T683" s="14"/>
      <c r="U683" s="14"/>
      <c r="V683" s="14"/>
      <c r="W683" s="14"/>
      <c r="X683" s="14"/>
      <c r="Y683" s="14"/>
      <c r="Z683" s="14"/>
      <c r="AA683" s="14"/>
      <c r="AB683" s="14"/>
    </row>
    <row r="684">
      <c r="C684" s="93"/>
      <c r="D684" s="93"/>
      <c r="G684" s="60"/>
      <c r="H684" s="93"/>
      <c r="I684" s="93"/>
      <c r="J684" s="93"/>
      <c r="S684" s="14"/>
      <c r="T684" s="14"/>
      <c r="U684" s="14"/>
      <c r="V684" s="14"/>
      <c r="W684" s="14"/>
      <c r="X684" s="14"/>
      <c r="Y684" s="14"/>
      <c r="Z684" s="14"/>
      <c r="AA684" s="14"/>
      <c r="AB684" s="14"/>
    </row>
    <row r="685">
      <c r="C685" s="93"/>
      <c r="D685" s="93"/>
      <c r="G685" s="60"/>
      <c r="H685" s="93"/>
      <c r="I685" s="93"/>
      <c r="J685" s="93"/>
      <c r="S685" s="14"/>
      <c r="T685" s="14"/>
      <c r="U685" s="14"/>
      <c r="V685" s="14"/>
      <c r="W685" s="14"/>
      <c r="X685" s="14"/>
      <c r="Y685" s="14"/>
      <c r="Z685" s="14"/>
      <c r="AA685" s="14"/>
      <c r="AB685" s="14"/>
    </row>
    <row r="686">
      <c r="C686" s="93"/>
      <c r="D686" s="93"/>
      <c r="G686" s="60"/>
      <c r="H686" s="93"/>
      <c r="I686" s="93"/>
      <c r="J686" s="93"/>
      <c r="S686" s="14"/>
      <c r="T686" s="14"/>
      <c r="U686" s="14"/>
      <c r="V686" s="14"/>
      <c r="W686" s="14"/>
      <c r="X686" s="14"/>
      <c r="Y686" s="14"/>
      <c r="Z686" s="14"/>
      <c r="AA686" s="14"/>
      <c r="AB686" s="14"/>
    </row>
    <row r="687">
      <c r="C687" s="93"/>
      <c r="D687" s="93"/>
      <c r="G687" s="60"/>
      <c r="H687" s="93"/>
      <c r="I687" s="93"/>
      <c r="J687" s="93"/>
      <c r="S687" s="14"/>
      <c r="T687" s="14"/>
      <c r="U687" s="14"/>
      <c r="V687" s="14"/>
      <c r="W687" s="14"/>
      <c r="X687" s="14"/>
      <c r="Y687" s="14"/>
      <c r="Z687" s="14"/>
      <c r="AA687" s="14"/>
      <c r="AB687" s="14"/>
    </row>
    <row r="688">
      <c r="C688" s="93"/>
      <c r="D688" s="93"/>
      <c r="G688" s="60"/>
      <c r="H688" s="93"/>
      <c r="I688" s="93"/>
      <c r="J688" s="93"/>
      <c r="S688" s="14"/>
      <c r="T688" s="14"/>
      <c r="U688" s="14"/>
      <c r="V688" s="14"/>
      <c r="W688" s="14"/>
      <c r="X688" s="14"/>
      <c r="Y688" s="14"/>
      <c r="Z688" s="14"/>
      <c r="AA688" s="14"/>
      <c r="AB688" s="14"/>
    </row>
    <row r="689">
      <c r="C689" s="93"/>
      <c r="D689" s="93"/>
      <c r="G689" s="60"/>
      <c r="H689" s="93"/>
      <c r="I689" s="93"/>
      <c r="J689" s="93"/>
      <c r="S689" s="14"/>
      <c r="T689" s="14"/>
      <c r="U689" s="14"/>
      <c r="V689" s="14"/>
      <c r="W689" s="14"/>
      <c r="X689" s="14"/>
      <c r="Y689" s="14"/>
      <c r="Z689" s="14"/>
      <c r="AA689" s="14"/>
      <c r="AB689" s="14"/>
    </row>
    <row r="690">
      <c r="C690" s="93"/>
      <c r="D690" s="93"/>
      <c r="G690" s="60"/>
      <c r="H690" s="93"/>
      <c r="I690" s="93"/>
      <c r="J690" s="93"/>
      <c r="S690" s="14"/>
      <c r="T690" s="14"/>
      <c r="U690" s="14"/>
      <c r="V690" s="14"/>
      <c r="W690" s="14"/>
      <c r="X690" s="14"/>
      <c r="Y690" s="14"/>
      <c r="Z690" s="14"/>
      <c r="AA690" s="14"/>
      <c r="AB690" s="14"/>
    </row>
    <row r="691">
      <c r="C691" s="93"/>
      <c r="D691" s="93"/>
      <c r="G691" s="60"/>
      <c r="H691" s="93"/>
      <c r="I691" s="93"/>
      <c r="J691" s="93"/>
      <c r="S691" s="14"/>
      <c r="T691" s="14"/>
      <c r="U691" s="14"/>
      <c r="V691" s="14"/>
      <c r="W691" s="14"/>
      <c r="X691" s="14"/>
      <c r="Y691" s="14"/>
      <c r="Z691" s="14"/>
      <c r="AA691" s="14"/>
      <c r="AB691" s="14"/>
    </row>
    <row r="692">
      <c r="C692" s="93"/>
      <c r="D692" s="93"/>
      <c r="G692" s="60"/>
      <c r="H692" s="93"/>
      <c r="I692" s="93"/>
      <c r="J692" s="93"/>
      <c r="S692" s="14"/>
      <c r="T692" s="14"/>
      <c r="U692" s="14"/>
      <c r="V692" s="14"/>
      <c r="W692" s="14"/>
      <c r="X692" s="14"/>
      <c r="Y692" s="14"/>
      <c r="Z692" s="14"/>
      <c r="AA692" s="14"/>
      <c r="AB692" s="14"/>
    </row>
    <row r="693">
      <c r="C693" s="93"/>
      <c r="D693" s="93"/>
      <c r="G693" s="60"/>
      <c r="H693" s="93"/>
      <c r="I693" s="93"/>
      <c r="J693" s="93"/>
      <c r="S693" s="14"/>
      <c r="T693" s="14"/>
      <c r="U693" s="14"/>
      <c r="V693" s="14"/>
      <c r="W693" s="14"/>
      <c r="X693" s="14"/>
      <c r="Y693" s="14"/>
      <c r="Z693" s="14"/>
      <c r="AA693" s="14"/>
      <c r="AB693" s="14"/>
    </row>
    <row r="694">
      <c r="C694" s="93"/>
      <c r="D694" s="93"/>
      <c r="G694" s="60"/>
      <c r="H694" s="93"/>
      <c r="I694" s="93"/>
      <c r="J694" s="93"/>
      <c r="S694" s="14"/>
      <c r="T694" s="14"/>
      <c r="U694" s="14"/>
      <c r="V694" s="14"/>
      <c r="W694" s="14"/>
      <c r="X694" s="14"/>
      <c r="Y694" s="14"/>
      <c r="Z694" s="14"/>
      <c r="AA694" s="14"/>
      <c r="AB694" s="14"/>
    </row>
    <row r="695">
      <c r="C695" s="93"/>
      <c r="D695" s="93"/>
      <c r="G695" s="60"/>
      <c r="H695" s="93"/>
      <c r="I695" s="93"/>
      <c r="J695" s="93"/>
      <c r="S695" s="14"/>
      <c r="T695" s="14"/>
      <c r="U695" s="14"/>
      <c r="V695" s="14"/>
      <c r="W695" s="14"/>
      <c r="X695" s="14"/>
      <c r="Y695" s="14"/>
      <c r="Z695" s="14"/>
      <c r="AA695" s="14"/>
      <c r="AB695" s="14"/>
    </row>
    <row r="696">
      <c r="C696" s="93"/>
      <c r="D696" s="93"/>
      <c r="G696" s="60"/>
      <c r="H696" s="93"/>
      <c r="I696" s="93"/>
      <c r="J696" s="93"/>
      <c r="S696" s="14"/>
      <c r="T696" s="14"/>
      <c r="U696" s="14"/>
      <c r="V696" s="14"/>
      <c r="W696" s="14"/>
      <c r="X696" s="14"/>
      <c r="Y696" s="14"/>
      <c r="Z696" s="14"/>
      <c r="AA696" s="14"/>
      <c r="AB696" s="14"/>
    </row>
    <row r="697">
      <c r="C697" s="93"/>
      <c r="D697" s="93"/>
      <c r="G697" s="60"/>
      <c r="H697" s="93"/>
      <c r="I697" s="93"/>
      <c r="J697" s="93"/>
      <c r="S697" s="14"/>
      <c r="T697" s="14"/>
      <c r="U697" s="14"/>
      <c r="V697" s="14"/>
      <c r="W697" s="14"/>
      <c r="X697" s="14"/>
      <c r="Y697" s="14"/>
      <c r="Z697" s="14"/>
      <c r="AA697" s="14"/>
      <c r="AB697" s="14"/>
    </row>
    <row r="698">
      <c r="C698" s="93"/>
      <c r="D698" s="93"/>
      <c r="G698" s="60"/>
      <c r="H698" s="93"/>
      <c r="I698" s="93"/>
      <c r="J698" s="93"/>
      <c r="S698" s="14"/>
      <c r="T698" s="14"/>
      <c r="U698" s="14"/>
      <c r="V698" s="14"/>
      <c r="W698" s="14"/>
      <c r="X698" s="14"/>
      <c r="Y698" s="14"/>
      <c r="Z698" s="14"/>
      <c r="AA698" s="14"/>
      <c r="AB698" s="14"/>
    </row>
    <row r="699">
      <c r="C699" s="93"/>
      <c r="D699" s="93"/>
      <c r="G699" s="60"/>
      <c r="H699" s="93"/>
      <c r="I699" s="93"/>
      <c r="J699" s="93"/>
      <c r="S699" s="14"/>
      <c r="T699" s="14"/>
      <c r="U699" s="14"/>
      <c r="V699" s="14"/>
      <c r="W699" s="14"/>
      <c r="X699" s="14"/>
      <c r="Y699" s="14"/>
      <c r="Z699" s="14"/>
      <c r="AA699" s="14"/>
      <c r="AB699" s="14"/>
    </row>
    <row r="700">
      <c r="C700" s="93"/>
      <c r="D700" s="93"/>
      <c r="G700" s="60"/>
      <c r="H700" s="93"/>
      <c r="I700" s="93"/>
      <c r="J700" s="93"/>
      <c r="S700" s="14"/>
      <c r="T700" s="14"/>
      <c r="U700" s="14"/>
      <c r="V700" s="14"/>
      <c r="W700" s="14"/>
      <c r="X700" s="14"/>
      <c r="Y700" s="14"/>
      <c r="Z700" s="14"/>
      <c r="AA700" s="14"/>
      <c r="AB700" s="14"/>
    </row>
    <row r="701">
      <c r="C701" s="93"/>
      <c r="D701" s="93"/>
      <c r="G701" s="60"/>
      <c r="H701" s="93"/>
      <c r="I701" s="93"/>
      <c r="J701" s="93"/>
      <c r="S701" s="14"/>
      <c r="T701" s="14"/>
      <c r="U701" s="14"/>
      <c r="V701" s="14"/>
      <c r="W701" s="14"/>
      <c r="X701" s="14"/>
      <c r="Y701" s="14"/>
      <c r="Z701" s="14"/>
      <c r="AA701" s="14"/>
      <c r="AB701" s="14"/>
    </row>
    <row r="702">
      <c r="C702" s="93"/>
      <c r="D702" s="93"/>
      <c r="G702" s="60"/>
      <c r="H702" s="93"/>
      <c r="I702" s="93"/>
      <c r="J702" s="93"/>
      <c r="S702" s="14"/>
      <c r="T702" s="14"/>
      <c r="U702" s="14"/>
      <c r="V702" s="14"/>
      <c r="W702" s="14"/>
      <c r="X702" s="14"/>
      <c r="Y702" s="14"/>
      <c r="Z702" s="14"/>
      <c r="AA702" s="14"/>
      <c r="AB702" s="14"/>
    </row>
    <row r="703">
      <c r="C703" s="93"/>
      <c r="D703" s="93"/>
      <c r="G703" s="60"/>
      <c r="H703" s="93"/>
      <c r="I703" s="93"/>
      <c r="J703" s="93"/>
      <c r="S703" s="14"/>
      <c r="T703" s="14"/>
      <c r="U703" s="14"/>
      <c r="V703" s="14"/>
      <c r="W703" s="14"/>
      <c r="X703" s="14"/>
      <c r="Y703" s="14"/>
      <c r="Z703" s="14"/>
      <c r="AA703" s="14"/>
      <c r="AB703" s="14"/>
    </row>
    <row r="704">
      <c r="C704" s="93"/>
      <c r="D704" s="93"/>
      <c r="G704" s="60"/>
      <c r="H704" s="93"/>
      <c r="I704" s="93"/>
      <c r="J704" s="93"/>
      <c r="S704" s="14"/>
      <c r="T704" s="14"/>
      <c r="U704" s="14"/>
      <c r="V704" s="14"/>
      <c r="W704" s="14"/>
      <c r="X704" s="14"/>
      <c r="Y704" s="14"/>
      <c r="Z704" s="14"/>
      <c r="AA704" s="14"/>
      <c r="AB704" s="14"/>
    </row>
    <row r="705">
      <c r="C705" s="93"/>
      <c r="D705" s="93"/>
      <c r="G705" s="60"/>
      <c r="H705" s="93"/>
      <c r="I705" s="93"/>
      <c r="J705" s="93"/>
      <c r="S705" s="14"/>
      <c r="T705" s="14"/>
      <c r="U705" s="14"/>
      <c r="V705" s="14"/>
      <c r="W705" s="14"/>
      <c r="X705" s="14"/>
      <c r="Y705" s="14"/>
      <c r="Z705" s="14"/>
      <c r="AA705" s="14"/>
      <c r="AB705" s="14"/>
    </row>
    <row r="706">
      <c r="C706" s="93"/>
      <c r="D706" s="93"/>
      <c r="G706" s="60"/>
      <c r="H706" s="93"/>
      <c r="I706" s="93"/>
      <c r="J706" s="93"/>
      <c r="S706" s="14"/>
      <c r="T706" s="14"/>
      <c r="U706" s="14"/>
      <c r="V706" s="14"/>
      <c r="W706" s="14"/>
      <c r="X706" s="14"/>
      <c r="Y706" s="14"/>
      <c r="Z706" s="14"/>
      <c r="AA706" s="14"/>
      <c r="AB706" s="14"/>
    </row>
    <row r="707">
      <c r="C707" s="93"/>
      <c r="D707" s="93"/>
      <c r="G707" s="60"/>
      <c r="H707" s="93"/>
      <c r="I707" s="93"/>
      <c r="J707" s="93"/>
      <c r="S707" s="14"/>
      <c r="T707" s="14"/>
      <c r="U707" s="14"/>
      <c r="V707" s="14"/>
      <c r="W707" s="14"/>
      <c r="X707" s="14"/>
      <c r="Y707" s="14"/>
      <c r="Z707" s="14"/>
      <c r="AA707" s="14"/>
      <c r="AB707" s="14"/>
    </row>
    <row r="708">
      <c r="C708" s="93"/>
      <c r="D708" s="93"/>
      <c r="G708" s="60"/>
      <c r="H708" s="93"/>
      <c r="I708" s="93"/>
      <c r="J708" s="93"/>
      <c r="S708" s="14"/>
      <c r="T708" s="14"/>
      <c r="U708" s="14"/>
      <c r="V708" s="14"/>
      <c r="W708" s="14"/>
      <c r="X708" s="14"/>
      <c r="Y708" s="14"/>
      <c r="Z708" s="14"/>
      <c r="AA708" s="14"/>
      <c r="AB708" s="14"/>
    </row>
    <row r="709">
      <c r="C709" s="93"/>
      <c r="D709" s="93"/>
      <c r="G709" s="60"/>
      <c r="H709" s="93"/>
      <c r="I709" s="93"/>
      <c r="J709" s="93"/>
      <c r="S709" s="14"/>
      <c r="T709" s="14"/>
      <c r="U709" s="14"/>
      <c r="V709" s="14"/>
      <c r="W709" s="14"/>
      <c r="X709" s="14"/>
      <c r="Y709" s="14"/>
      <c r="Z709" s="14"/>
      <c r="AA709" s="14"/>
      <c r="AB709" s="14"/>
    </row>
    <row r="710">
      <c r="C710" s="93"/>
      <c r="D710" s="93"/>
      <c r="G710" s="60"/>
      <c r="H710" s="93"/>
      <c r="I710" s="93"/>
      <c r="J710" s="93"/>
      <c r="S710" s="14"/>
      <c r="T710" s="14"/>
      <c r="U710" s="14"/>
      <c r="V710" s="14"/>
      <c r="W710" s="14"/>
      <c r="X710" s="14"/>
      <c r="Y710" s="14"/>
      <c r="Z710" s="14"/>
      <c r="AA710" s="14"/>
      <c r="AB710" s="14"/>
    </row>
    <row r="711">
      <c r="C711" s="93"/>
      <c r="D711" s="93"/>
      <c r="G711" s="60"/>
      <c r="H711" s="93"/>
      <c r="I711" s="93"/>
      <c r="J711" s="93"/>
      <c r="S711" s="14"/>
      <c r="T711" s="14"/>
      <c r="U711" s="14"/>
      <c r="V711" s="14"/>
      <c r="W711" s="14"/>
      <c r="X711" s="14"/>
      <c r="Y711" s="14"/>
      <c r="Z711" s="14"/>
      <c r="AA711" s="14"/>
      <c r="AB711" s="14"/>
    </row>
    <row r="712">
      <c r="C712" s="93"/>
      <c r="D712" s="93"/>
      <c r="G712" s="60"/>
      <c r="H712" s="93"/>
      <c r="I712" s="93"/>
      <c r="J712" s="93"/>
      <c r="S712" s="14"/>
      <c r="T712" s="14"/>
      <c r="U712" s="14"/>
      <c r="V712" s="14"/>
      <c r="W712" s="14"/>
      <c r="X712" s="14"/>
      <c r="Y712" s="14"/>
      <c r="Z712" s="14"/>
      <c r="AA712" s="14"/>
      <c r="AB712" s="14"/>
    </row>
    <row r="713">
      <c r="C713" s="93"/>
      <c r="D713" s="93"/>
      <c r="G713" s="60"/>
      <c r="H713" s="93"/>
      <c r="I713" s="93"/>
      <c r="J713" s="93"/>
      <c r="S713" s="14"/>
      <c r="T713" s="14"/>
      <c r="U713" s="14"/>
      <c r="V713" s="14"/>
      <c r="W713" s="14"/>
      <c r="X713" s="14"/>
      <c r="Y713" s="14"/>
      <c r="Z713" s="14"/>
      <c r="AA713" s="14"/>
      <c r="AB713" s="14"/>
    </row>
    <row r="714">
      <c r="C714" s="93"/>
      <c r="D714" s="93"/>
      <c r="G714" s="60"/>
      <c r="H714" s="93"/>
      <c r="I714" s="93"/>
      <c r="J714" s="93"/>
      <c r="S714" s="14"/>
      <c r="T714" s="14"/>
      <c r="U714" s="14"/>
      <c r="V714" s="14"/>
      <c r="W714" s="14"/>
      <c r="X714" s="14"/>
      <c r="Y714" s="14"/>
      <c r="Z714" s="14"/>
      <c r="AA714" s="14"/>
      <c r="AB714" s="14"/>
    </row>
    <row r="715">
      <c r="C715" s="93"/>
      <c r="D715" s="93"/>
      <c r="G715" s="60"/>
      <c r="H715" s="93"/>
      <c r="I715" s="93"/>
      <c r="J715" s="93"/>
      <c r="S715" s="14"/>
      <c r="T715" s="14"/>
      <c r="U715" s="14"/>
      <c r="V715" s="14"/>
      <c r="W715" s="14"/>
      <c r="X715" s="14"/>
      <c r="Y715" s="14"/>
      <c r="Z715" s="14"/>
      <c r="AA715" s="14"/>
      <c r="AB715" s="14"/>
    </row>
    <row r="716">
      <c r="C716" s="93"/>
      <c r="D716" s="93"/>
      <c r="G716" s="60"/>
      <c r="H716" s="93"/>
      <c r="I716" s="93"/>
      <c r="J716" s="93"/>
      <c r="S716" s="14"/>
      <c r="T716" s="14"/>
      <c r="U716" s="14"/>
      <c r="V716" s="14"/>
      <c r="W716" s="14"/>
      <c r="X716" s="14"/>
      <c r="Y716" s="14"/>
      <c r="Z716" s="14"/>
      <c r="AA716" s="14"/>
      <c r="AB716" s="14"/>
    </row>
    <row r="717">
      <c r="C717" s="93"/>
      <c r="D717" s="93"/>
      <c r="G717" s="60"/>
      <c r="H717" s="93"/>
      <c r="I717" s="93"/>
      <c r="J717" s="93"/>
      <c r="S717" s="14"/>
      <c r="T717" s="14"/>
      <c r="U717" s="14"/>
      <c r="V717" s="14"/>
      <c r="W717" s="14"/>
      <c r="X717" s="14"/>
      <c r="Y717" s="14"/>
      <c r="Z717" s="14"/>
      <c r="AA717" s="14"/>
      <c r="AB717" s="14"/>
    </row>
    <row r="718">
      <c r="C718" s="93"/>
      <c r="D718" s="93"/>
      <c r="G718" s="60"/>
      <c r="H718" s="93"/>
      <c r="I718" s="93"/>
      <c r="J718" s="93"/>
      <c r="S718" s="14"/>
      <c r="T718" s="14"/>
      <c r="U718" s="14"/>
      <c r="V718" s="14"/>
      <c r="W718" s="14"/>
      <c r="X718" s="14"/>
      <c r="Y718" s="14"/>
      <c r="Z718" s="14"/>
      <c r="AA718" s="14"/>
      <c r="AB718" s="14"/>
    </row>
    <row r="719">
      <c r="C719" s="93"/>
      <c r="D719" s="93"/>
      <c r="G719" s="60"/>
      <c r="H719" s="93"/>
      <c r="I719" s="93"/>
      <c r="J719" s="93"/>
      <c r="S719" s="14"/>
      <c r="T719" s="14"/>
      <c r="U719" s="14"/>
      <c r="V719" s="14"/>
      <c r="W719" s="14"/>
      <c r="X719" s="14"/>
      <c r="Y719" s="14"/>
      <c r="Z719" s="14"/>
      <c r="AA719" s="14"/>
      <c r="AB719" s="14"/>
    </row>
    <row r="720">
      <c r="C720" s="93"/>
      <c r="D720" s="93"/>
      <c r="G720" s="60"/>
      <c r="H720" s="93"/>
      <c r="I720" s="93"/>
      <c r="J720" s="93"/>
      <c r="S720" s="14"/>
      <c r="T720" s="14"/>
      <c r="U720" s="14"/>
      <c r="V720" s="14"/>
      <c r="W720" s="14"/>
      <c r="X720" s="14"/>
      <c r="Y720" s="14"/>
      <c r="Z720" s="14"/>
      <c r="AA720" s="14"/>
      <c r="AB720" s="14"/>
    </row>
    <row r="721">
      <c r="C721" s="93"/>
      <c r="D721" s="93"/>
      <c r="G721" s="60"/>
      <c r="H721" s="93"/>
      <c r="I721" s="93"/>
      <c r="J721" s="93"/>
      <c r="S721" s="14"/>
      <c r="T721" s="14"/>
      <c r="U721" s="14"/>
      <c r="V721" s="14"/>
      <c r="W721" s="14"/>
      <c r="X721" s="14"/>
      <c r="Y721" s="14"/>
      <c r="Z721" s="14"/>
      <c r="AA721" s="14"/>
      <c r="AB721" s="14"/>
    </row>
    <row r="722">
      <c r="C722" s="93"/>
      <c r="D722" s="93"/>
      <c r="G722" s="60"/>
      <c r="H722" s="93"/>
      <c r="I722" s="93"/>
      <c r="J722" s="93"/>
      <c r="S722" s="14"/>
      <c r="T722" s="14"/>
      <c r="U722" s="14"/>
      <c r="V722" s="14"/>
      <c r="W722" s="14"/>
      <c r="X722" s="14"/>
      <c r="Y722" s="14"/>
      <c r="Z722" s="14"/>
      <c r="AA722" s="14"/>
      <c r="AB722" s="14"/>
    </row>
    <row r="723">
      <c r="C723" s="93"/>
      <c r="D723" s="93"/>
      <c r="G723" s="60"/>
      <c r="H723" s="93"/>
      <c r="I723" s="93"/>
      <c r="J723" s="93"/>
      <c r="S723" s="14"/>
      <c r="T723" s="14"/>
      <c r="U723" s="14"/>
      <c r="V723" s="14"/>
      <c r="W723" s="14"/>
      <c r="X723" s="14"/>
      <c r="Y723" s="14"/>
      <c r="Z723" s="14"/>
      <c r="AA723" s="14"/>
      <c r="AB723" s="14"/>
    </row>
    <row r="724">
      <c r="C724" s="93"/>
      <c r="D724" s="93"/>
      <c r="G724" s="60"/>
      <c r="H724" s="93"/>
      <c r="I724" s="93"/>
      <c r="J724" s="93"/>
      <c r="S724" s="14"/>
      <c r="T724" s="14"/>
      <c r="U724" s="14"/>
      <c r="V724" s="14"/>
      <c r="W724" s="14"/>
      <c r="X724" s="14"/>
      <c r="Y724" s="14"/>
      <c r="Z724" s="14"/>
      <c r="AA724" s="14"/>
      <c r="AB724" s="14"/>
    </row>
    <row r="725">
      <c r="C725" s="93"/>
      <c r="D725" s="93"/>
      <c r="G725" s="60"/>
      <c r="H725" s="93"/>
      <c r="I725" s="93"/>
      <c r="J725" s="93"/>
      <c r="S725" s="14"/>
      <c r="T725" s="14"/>
      <c r="U725" s="14"/>
      <c r="V725" s="14"/>
      <c r="W725" s="14"/>
      <c r="X725" s="14"/>
      <c r="Y725" s="14"/>
      <c r="Z725" s="14"/>
      <c r="AA725" s="14"/>
      <c r="AB725" s="14"/>
    </row>
    <row r="726">
      <c r="C726" s="93"/>
      <c r="D726" s="93"/>
      <c r="G726" s="60"/>
      <c r="H726" s="93"/>
      <c r="I726" s="93"/>
      <c r="J726" s="93"/>
      <c r="S726" s="14"/>
      <c r="T726" s="14"/>
      <c r="U726" s="14"/>
      <c r="V726" s="14"/>
      <c r="W726" s="14"/>
      <c r="X726" s="14"/>
      <c r="Y726" s="14"/>
      <c r="Z726" s="14"/>
      <c r="AA726" s="14"/>
      <c r="AB726" s="14"/>
    </row>
    <row r="727">
      <c r="C727" s="93"/>
      <c r="D727" s="93"/>
      <c r="G727" s="60"/>
      <c r="H727" s="93"/>
      <c r="I727" s="93"/>
      <c r="J727" s="93"/>
      <c r="S727" s="14"/>
      <c r="T727" s="14"/>
      <c r="U727" s="14"/>
      <c r="V727" s="14"/>
      <c r="W727" s="14"/>
      <c r="X727" s="14"/>
      <c r="Y727" s="14"/>
      <c r="Z727" s="14"/>
      <c r="AA727" s="14"/>
      <c r="AB727" s="14"/>
    </row>
    <row r="728">
      <c r="C728" s="93"/>
      <c r="D728" s="93"/>
      <c r="G728" s="60"/>
      <c r="H728" s="93"/>
      <c r="I728" s="93"/>
      <c r="J728" s="93"/>
      <c r="S728" s="14"/>
      <c r="T728" s="14"/>
      <c r="U728" s="14"/>
      <c r="V728" s="14"/>
      <c r="W728" s="14"/>
      <c r="X728" s="14"/>
      <c r="Y728" s="14"/>
      <c r="Z728" s="14"/>
      <c r="AA728" s="14"/>
      <c r="AB728" s="14"/>
    </row>
    <row r="729">
      <c r="C729" s="93"/>
      <c r="D729" s="93"/>
      <c r="G729" s="60"/>
      <c r="H729" s="93"/>
      <c r="I729" s="93"/>
      <c r="J729" s="93"/>
      <c r="S729" s="14"/>
      <c r="T729" s="14"/>
      <c r="U729" s="14"/>
      <c r="V729" s="14"/>
      <c r="W729" s="14"/>
      <c r="X729" s="14"/>
      <c r="Y729" s="14"/>
      <c r="Z729" s="14"/>
      <c r="AA729" s="14"/>
      <c r="AB729" s="14"/>
    </row>
    <row r="730">
      <c r="C730" s="93"/>
      <c r="D730" s="93"/>
      <c r="G730" s="60"/>
      <c r="H730" s="93"/>
      <c r="I730" s="93"/>
      <c r="J730" s="93"/>
      <c r="S730" s="14"/>
      <c r="T730" s="14"/>
      <c r="U730" s="14"/>
      <c r="V730" s="14"/>
      <c r="W730" s="14"/>
      <c r="X730" s="14"/>
      <c r="Y730" s="14"/>
      <c r="Z730" s="14"/>
      <c r="AA730" s="14"/>
      <c r="AB730" s="14"/>
    </row>
    <row r="731">
      <c r="C731" s="93"/>
      <c r="D731" s="93"/>
      <c r="G731" s="60"/>
      <c r="H731" s="93"/>
      <c r="I731" s="93"/>
      <c r="J731" s="93"/>
      <c r="S731" s="14"/>
      <c r="T731" s="14"/>
      <c r="U731" s="14"/>
      <c r="V731" s="14"/>
      <c r="W731" s="14"/>
      <c r="X731" s="14"/>
      <c r="Y731" s="14"/>
      <c r="Z731" s="14"/>
      <c r="AA731" s="14"/>
      <c r="AB731" s="14"/>
    </row>
    <row r="732">
      <c r="C732" s="93"/>
      <c r="D732" s="93"/>
      <c r="G732" s="60"/>
      <c r="H732" s="93"/>
      <c r="I732" s="93"/>
      <c r="J732" s="93"/>
      <c r="S732" s="14"/>
      <c r="T732" s="14"/>
      <c r="U732" s="14"/>
      <c r="V732" s="14"/>
      <c r="W732" s="14"/>
      <c r="X732" s="14"/>
      <c r="Y732" s="14"/>
      <c r="Z732" s="14"/>
      <c r="AA732" s="14"/>
      <c r="AB732" s="14"/>
    </row>
    <row r="733">
      <c r="C733" s="93"/>
      <c r="D733" s="93"/>
      <c r="G733" s="60"/>
      <c r="H733" s="93"/>
      <c r="I733" s="93"/>
      <c r="J733" s="93"/>
      <c r="S733" s="14"/>
      <c r="T733" s="14"/>
      <c r="U733" s="14"/>
      <c r="V733" s="14"/>
      <c r="W733" s="14"/>
      <c r="X733" s="14"/>
      <c r="Y733" s="14"/>
      <c r="Z733" s="14"/>
      <c r="AA733" s="14"/>
      <c r="AB733" s="14"/>
    </row>
    <row r="734">
      <c r="C734" s="93"/>
      <c r="D734" s="93"/>
      <c r="G734" s="60"/>
      <c r="H734" s="93"/>
      <c r="I734" s="93"/>
      <c r="J734" s="93"/>
      <c r="S734" s="14"/>
      <c r="T734" s="14"/>
      <c r="U734" s="14"/>
      <c r="V734" s="14"/>
      <c r="W734" s="14"/>
      <c r="X734" s="14"/>
      <c r="Y734" s="14"/>
      <c r="Z734" s="14"/>
      <c r="AA734" s="14"/>
      <c r="AB734" s="14"/>
    </row>
    <row r="735">
      <c r="C735" s="93"/>
      <c r="D735" s="93"/>
      <c r="G735" s="60"/>
      <c r="H735" s="93"/>
      <c r="I735" s="93"/>
      <c r="J735" s="93"/>
      <c r="S735" s="14"/>
      <c r="T735" s="14"/>
      <c r="U735" s="14"/>
      <c r="V735" s="14"/>
      <c r="W735" s="14"/>
      <c r="X735" s="14"/>
      <c r="Y735" s="14"/>
      <c r="Z735" s="14"/>
      <c r="AA735" s="14"/>
      <c r="AB735" s="14"/>
    </row>
    <row r="736">
      <c r="C736" s="93"/>
      <c r="D736" s="93"/>
      <c r="G736" s="60"/>
      <c r="H736" s="93"/>
      <c r="I736" s="93"/>
      <c r="J736" s="93"/>
      <c r="S736" s="14"/>
      <c r="T736" s="14"/>
      <c r="U736" s="14"/>
      <c r="V736" s="14"/>
      <c r="W736" s="14"/>
      <c r="X736" s="14"/>
      <c r="Y736" s="14"/>
      <c r="Z736" s="14"/>
      <c r="AA736" s="14"/>
      <c r="AB736" s="14"/>
    </row>
    <row r="737">
      <c r="C737" s="93"/>
      <c r="D737" s="93"/>
      <c r="G737" s="60"/>
      <c r="H737" s="93"/>
      <c r="I737" s="93"/>
      <c r="J737" s="93"/>
      <c r="S737" s="14"/>
      <c r="T737" s="14"/>
      <c r="U737" s="14"/>
      <c r="V737" s="14"/>
      <c r="W737" s="14"/>
      <c r="X737" s="14"/>
      <c r="Y737" s="14"/>
      <c r="Z737" s="14"/>
      <c r="AA737" s="14"/>
      <c r="AB737" s="14"/>
    </row>
    <row r="738">
      <c r="C738" s="93"/>
      <c r="D738" s="93"/>
      <c r="G738" s="60"/>
      <c r="H738" s="93"/>
      <c r="I738" s="93"/>
      <c r="J738" s="93"/>
      <c r="S738" s="14"/>
      <c r="T738" s="14"/>
      <c r="U738" s="14"/>
      <c r="V738" s="14"/>
      <c r="W738" s="14"/>
      <c r="X738" s="14"/>
      <c r="Y738" s="14"/>
      <c r="Z738" s="14"/>
      <c r="AA738" s="14"/>
      <c r="AB738" s="14"/>
    </row>
    <row r="739">
      <c r="C739" s="93"/>
      <c r="D739" s="93"/>
      <c r="G739" s="60"/>
      <c r="H739" s="93"/>
      <c r="I739" s="93"/>
      <c r="J739" s="93"/>
      <c r="S739" s="14"/>
      <c r="T739" s="14"/>
      <c r="U739" s="14"/>
      <c r="V739" s="14"/>
      <c r="W739" s="14"/>
      <c r="X739" s="14"/>
      <c r="Y739" s="14"/>
      <c r="Z739" s="14"/>
      <c r="AA739" s="14"/>
      <c r="AB739" s="14"/>
    </row>
    <row r="740">
      <c r="C740" s="93"/>
      <c r="D740" s="93"/>
      <c r="G740" s="60"/>
      <c r="H740" s="93"/>
      <c r="I740" s="93"/>
      <c r="J740" s="93"/>
      <c r="S740" s="14"/>
      <c r="T740" s="14"/>
      <c r="U740" s="14"/>
      <c r="V740" s="14"/>
      <c r="W740" s="14"/>
      <c r="X740" s="14"/>
      <c r="Y740" s="14"/>
      <c r="Z740" s="14"/>
      <c r="AA740" s="14"/>
      <c r="AB740" s="14"/>
    </row>
    <row r="741">
      <c r="C741" s="93"/>
      <c r="D741" s="93"/>
      <c r="G741" s="60"/>
      <c r="H741" s="93"/>
      <c r="I741" s="93"/>
      <c r="J741" s="93"/>
      <c r="S741" s="14"/>
      <c r="T741" s="14"/>
      <c r="U741" s="14"/>
      <c r="V741" s="14"/>
      <c r="W741" s="14"/>
      <c r="X741" s="14"/>
      <c r="Y741" s="14"/>
      <c r="Z741" s="14"/>
      <c r="AA741" s="14"/>
      <c r="AB741" s="14"/>
    </row>
    <row r="742">
      <c r="C742" s="93"/>
      <c r="D742" s="93"/>
      <c r="G742" s="60"/>
      <c r="H742" s="93"/>
      <c r="I742" s="93"/>
      <c r="J742" s="93"/>
      <c r="S742" s="14"/>
      <c r="T742" s="14"/>
      <c r="U742" s="14"/>
      <c r="V742" s="14"/>
      <c r="W742" s="14"/>
      <c r="X742" s="14"/>
      <c r="Y742" s="14"/>
      <c r="Z742" s="14"/>
      <c r="AA742" s="14"/>
      <c r="AB742" s="14"/>
    </row>
    <row r="743">
      <c r="C743" s="93"/>
      <c r="D743" s="93"/>
      <c r="G743" s="60"/>
      <c r="H743" s="93"/>
      <c r="I743" s="93"/>
      <c r="J743" s="93"/>
      <c r="S743" s="14"/>
      <c r="T743" s="14"/>
      <c r="U743" s="14"/>
      <c r="V743" s="14"/>
      <c r="W743" s="14"/>
      <c r="X743" s="14"/>
      <c r="Y743" s="14"/>
      <c r="Z743" s="14"/>
      <c r="AA743" s="14"/>
      <c r="AB743" s="14"/>
    </row>
    <row r="744">
      <c r="C744" s="93"/>
      <c r="D744" s="93"/>
      <c r="G744" s="60"/>
      <c r="H744" s="93"/>
      <c r="I744" s="93"/>
      <c r="J744" s="93"/>
      <c r="S744" s="14"/>
      <c r="T744" s="14"/>
      <c r="U744" s="14"/>
      <c r="V744" s="14"/>
      <c r="W744" s="14"/>
      <c r="X744" s="14"/>
      <c r="Y744" s="14"/>
      <c r="Z744" s="14"/>
      <c r="AA744" s="14"/>
      <c r="AB744" s="14"/>
    </row>
    <row r="745">
      <c r="C745" s="93"/>
      <c r="D745" s="93"/>
      <c r="G745" s="60"/>
      <c r="H745" s="93"/>
      <c r="I745" s="93"/>
      <c r="J745" s="93"/>
      <c r="S745" s="14"/>
      <c r="T745" s="14"/>
      <c r="U745" s="14"/>
      <c r="V745" s="14"/>
      <c r="W745" s="14"/>
      <c r="X745" s="14"/>
      <c r="Y745" s="14"/>
      <c r="Z745" s="14"/>
      <c r="AA745" s="14"/>
      <c r="AB745" s="14"/>
    </row>
    <row r="746">
      <c r="C746" s="93"/>
      <c r="D746" s="93"/>
      <c r="G746" s="60"/>
      <c r="H746" s="93"/>
      <c r="I746" s="93"/>
      <c r="J746" s="93"/>
      <c r="S746" s="14"/>
      <c r="T746" s="14"/>
      <c r="U746" s="14"/>
      <c r="V746" s="14"/>
      <c r="W746" s="14"/>
      <c r="X746" s="14"/>
      <c r="Y746" s="14"/>
      <c r="Z746" s="14"/>
      <c r="AA746" s="14"/>
      <c r="AB746" s="14"/>
    </row>
    <row r="747">
      <c r="C747" s="93"/>
      <c r="D747" s="93"/>
      <c r="G747" s="60"/>
      <c r="H747" s="93"/>
      <c r="I747" s="93"/>
      <c r="J747" s="93"/>
      <c r="S747" s="14"/>
      <c r="T747" s="14"/>
      <c r="U747" s="14"/>
      <c r="V747" s="14"/>
      <c r="W747" s="14"/>
      <c r="X747" s="14"/>
      <c r="Y747" s="14"/>
      <c r="Z747" s="14"/>
      <c r="AA747" s="14"/>
      <c r="AB747" s="14"/>
    </row>
    <row r="748">
      <c r="C748" s="93"/>
      <c r="D748" s="93"/>
      <c r="G748" s="60"/>
      <c r="H748" s="93"/>
      <c r="I748" s="93"/>
      <c r="J748" s="93"/>
      <c r="S748" s="14"/>
      <c r="T748" s="14"/>
      <c r="U748" s="14"/>
      <c r="V748" s="14"/>
      <c r="W748" s="14"/>
      <c r="X748" s="14"/>
      <c r="Y748" s="14"/>
      <c r="Z748" s="14"/>
      <c r="AA748" s="14"/>
      <c r="AB748" s="14"/>
    </row>
    <row r="749">
      <c r="C749" s="93"/>
      <c r="D749" s="93"/>
      <c r="G749" s="60"/>
      <c r="H749" s="93"/>
      <c r="I749" s="93"/>
      <c r="J749" s="93"/>
      <c r="S749" s="14"/>
      <c r="T749" s="14"/>
      <c r="U749" s="14"/>
      <c r="V749" s="14"/>
      <c r="W749" s="14"/>
      <c r="X749" s="14"/>
      <c r="Y749" s="14"/>
      <c r="Z749" s="14"/>
      <c r="AA749" s="14"/>
      <c r="AB749" s="14"/>
    </row>
    <row r="750">
      <c r="C750" s="93"/>
      <c r="D750" s="93"/>
      <c r="G750" s="60"/>
      <c r="H750" s="93"/>
      <c r="I750" s="93"/>
      <c r="J750" s="93"/>
      <c r="S750" s="14"/>
      <c r="T750" s="14"/>
      <c r="U750" s="14"/>
      <c r="V750" s="14"/>
      <c r="W750" s="14"/>
      <c r="X750" s="14"/>
      <c r="Y750" s="14"/>
      <c r="Z750" s="14"/>
      <c r="AA750" s="14"/>
      <c r="AB750" s="14"/>
    </row>
    <row r="751">
      <c r="C751" s="93"/>
      <c r="D751" s="93"/>
      <c r="G751" s="60"/>
      <c r="H751" s="93"/>
      <c r="I751" s="93"/>
      <c r="J751" s="93"/>
      <c r="S751" s="14"/>
      <c r="T751" s="14"/>
      <c r="U751" s="14"/>
      <c r="V751" s="14"/>
      <c r="W751" s="14"/>
      <c r="X751" s="14"/>
      <c r="Y751" s="14"/>
      <c r="Z751" s="14"/>
      <c r="AA751" s="14"/>
      <c r="AB751" s="14"/>
    </row>
    <row r="752">
      <c r="C752" s="93"/>
      <c r="D752" s="93"/>
      <c r="G752" s="60"/>
      <c r="H752" s="93"/>
      <c r="I752" s="93"/>
      <c r="J752" s="93"/>
      <c r="S752" s="14"/>
      <c r="T752" s="14"/>
      <c r="U752" s="14"/>
      <c r="V752" s="14"/>
      <c r="W752" s="14"/>
      <c r="X752" s="14"/>
      <c r="Y752" s="14"/>
      <c r="Z752" s="14"/>
      <c r="AA752" s="14"/>
      <c r="AB752" s="14"/>
    </row>
    <row r="753">
      <c r="C753" s="93"/>
      <c r="D753" s="93"/>
      <c r="G753" s="60"/>
      <c r="H753" s="93"/>
      <c r="I753" s="93"/>
      <c r="J753" s="93"/>
      <c r="S753" s="14"/>
      <c r="T753" s="14"/>
      <c r="U753" s="14"/>
      <c r="V753" s="14"/>
      <c r="W753" s="14"/>
      <c r="X753" s="14"/>
      <c r="Y753" s="14"/>
      <c r="Z753" s="14"/>
      <c r="AA753" s="14"/>
      <c r="AB753" s="14"/>
    </row>
    <row r="754">
      <c r="C754" s="93"/>
      <c r="D754" s="93"/>
      <c r="G754" s="60"/>
      <c r="H754" s="93"/>
      <c r="I754" s="93"/>
      <c r="J754" s="93"/>
      <c r="S754" s="14"/>
      <c r="T754" s="14"/>
      <c r="U754" s="14"/>
      <c r="V754" s="14"/>
      <c r="W754" s="14"/>
      <c r="X754" s="14"/>
      <c r="Y754" s="14"/>
      <c r="Z754" s="14"/>
      <c r="AA754" s="14"/>
      <c r="AB754" s="14"/>
    </row>
    <row r="755">
      <c r="C755" s="93"/>
      <c r="D755" s="93"/>
      <c r="G755" s="60"/>
      <c r="H755" s="93"/>
      <c r="I755" s="93"/>
      <c r="J755" s="93"/>
      <c r="S755" s="14"/>
      <c r="T755" s="14"/>
      <c r="U755" s="14"/>
      <c r="V755" s="14"/>
      <c r="W755" s="14"/>
      <c r="X755" s="14"/>
      <c r="Y755" s="14"/>
      <c r="Z755" s="14"/>
      <c r="AA755" s="14"/>
      <c r="AB755" s="14"/>
    </row>
    <row r="756">
      <c r="C756" s="93"/>
      <c r="D756" s="93"/>
      <c r="G756" s="60"/>
      <c r="H756" s="93"/>
      <c r="I756" s="93"/>
      <c r="J756" s="93"/>
      <c r="S756" s="14"/>
      <c r="T756" s="14"/>
      <c r="U756" s="14"/>
      <c r="V756" s="14"/>
      <c r="W756" s="14"/>
      <c r="X756" s="14"/>
      <c r="Y756" s="14"/>
      <c r="Z756" s="14"/>
      <c r="AA756" s="14"/>
      <c r="AB756" s="14"/>
    </row>
    <row r="757">
      <c r="C757" s="93"/>
      <c r="D757" s="93"/>
      <c r="G757" s="60"/>
      <c r="H757" s="93"/>
      <c r="I757" s="93"/>
      <c r="J757" s="93"/>
      <c r="S757" s="14"/>
      <c r="T757" s="14"/>
      <c r="U757" s="14"/>
      <c r="V757" s="14"/>
      <c r="W757" s="14"/>
      <c r="X757" s="14"/>
      <c r="Y757" s="14"/>
      <c r="Z757" s="14"/>
      <c r="AA757" s="14"/>
      <c r="AB757" s="14"/>
    </row>
    <row r="758">
      <c r="C758" s="93"/>
      <c r="D758" s="93"/>
      <c r="G758" s="60"/>
      <c r="H758" s="93"/>
      <c r="I758" s="93"/>
      <c r="J758" s="93"/>
      <c r="S758" s="14"/>
      <c r="T758" s="14"/>
      <c r="U758" s="14"/>
      <c r="V758" s="14"/>
      <c r="W758" s="14"/>
      <c r="X758" s="14"/>
      <c r="Y758" s="14"/>
      <c r="Z758" s="14"/>
      <c r="AA758" s="14"/>
      <c r="AB758" s="14"/>
    </row>
    <row r="759">
      <c r="C759" s="93"/>
      <c r="D759" s="93"/>
      <c r="G759" s="60"/>
      <c r="H759" s="93"/>
      <c r="I759" s="93"/>
      <c r="J759" s="93"/>
      <c r="S759" s="14"/>
      <c r="T759" s="14"/>
      <c r="U759" s="14"/>
      <c r="V759" s="14"/>
      <c r="W759" s="14"/>
      <c r="X759" s="14"/>
      <c r="Y759" s="14"/>
      <c r="Z759" s="14"/>
      <c r="AA759" s="14"/>
      <c r="AB759" s="14"/>
    </row>
    <row r="760">
      <c r="C760" s="93"/>
      <c r="D760" s="93"/>
      <c r="G760" s="60"/>
      <c r="H760" s="93"/>
      <c r="I760" s="93"/>
      <c r="J760" s="93"/>
      <c r="S760" s="14"/>
      <c r="T760" s="14"/>
      <c r="U760" s="14"/>
      <c r="V760" s="14"/>
      <c r="W760" s="14"/>
      <c r="X760" s="14"/>
      <c r="Y760" s="14"/>
      <c r="Z760" s="14"/>
      <c r="AA760" s="14"/>
      <c r="AB760" s="14"/>
    </row>
    <row r="761">
      <c r="C761" s="93"/>
      <c r="D761" s="93"/>
      <c r="G761" s="60"/>
      <c r="H761" s="93"/>
      <c r="I761" s="93"/>
      <c r="J761" s="93"/>
      <c r="S761" s="14"/>
      <c r="T761" s="14"/>
      <c r="U761" s="14"/>
      <c r="V761" s="14"/>
      <c r="W761" s="14"/>
      <c r="X761" s="14"/>
      <c r="Y761" s="14"/>
      <c r="Z761" s="14"/>
      <c r="AA761" s="14"/>
      <c r="AB761" s="14"/>
    </row>
    <row r="762">
      <c r="C762" s="93"/>
      <c r="D762" s="93"/>
      <c r="G762" s="60"/>
      <c r="H762" s="93"/>
      <c r="I762" s="93"/>
      <c r="J762" s="93"/>
      <c r="S762" s="14"/>
      <c r="T762" s="14"/>
      <c r="U762" s="14"/>
      <c r="V762" s="14"/>
      <c r="W762" s="14"/>
      <c r="X762" s="14"/>
      <c r="Y762" s="14"/>
      <c r="Z762" s="14"/>
      <c r="AA762" s="14"/>
      <c r="AB762" s="14"/>
    </row>
    <row r="763">
      <c r="C763" s="93"/>
      <c r="D763" s="93"/>
      <c r="G763" s="60"/>
      <c r="H763" s="93"/>
      <c r="I763" s="93"/>
      <c r="J763" s="93"/>
      <c r="S763" s="14"/>
      <c r="T763" s="14"/>
      <c r="U763" s="14"/>
      <c r="V763" s="14"/>
      <c r="W763" s="14"/>
      <c r="X763" s="14"/>
      <c r="Y763" s="14"/>
      <c r="Z763" s="14"/>
      <c r="AA763" s="14"/>
      <c r="AB763" s="14"/>
    </row>
    <row r="764">
      <c r="C764" s="93"/>
      <c r="D764" s="93"/>
      <c r="G764" s="60"/>
      <c r="H764" s="93"/>
      <c r="I764" s="93"/>
      <c r="J764" s="93"/>
      <c r="S764" s="14"/>
      <c r="T764" s="14"/>
      <c r="U764" s="14"/>
      <c r="V764" s="14"/>
      <c r="W764" s="14"/>
      <c r="X764" s="14"/>
      <c r="Y764" s="14"/>
      <c r="Z764" s="14"/>
      <c r="AA764" s="14"/>
      <c r="AB764" s="14"/>
    </row>
    <row r="765">
      <c r="C765" s="93"/>
      <c r="D765" s="93"/>
      <c r="G765" s="60"/>
      <c r="H765" s="93"/>
      <c r="I765" s="93"/>
      <c r="J765" s="93"/>
      <c r="S765" s="14"/>
      <c r="T765" s="14"/>
      <c r="U765" s="14"/>
      <c r="V765" s="14"/>
      <c r="W765" s="14"/>
      <c r="X765" s="14"/>
      <c r="Y765" s="14"/>
      <c r="Z765" s="14"/>
      <c r="AA765" s="14"/>
      <c r="AB765" s="14"/>
    </row>
    <row r="766">
      <c r="C766" s="93"/>
      <c r="D766" s="93"/>
      <c r="G766" s="60"/>
      <c r="H766" s="93"/>
      <c r="I766" s="93"/>
      <c r="J766" s="93"/>
      <c r="S766" s="14"/>
      <c r="T766" s="14"/>
      <c r="U766" s="14"/>
      <c r="V766" s="14"/>
      <c r="W766" s="14"/>
      <c r="X766" s="14"/>
      <c r="Y766" s="14"/>
      <c r="Z766" s="14"/>
      <c r="AA766" s="14"/>
      <c r="AB766" s="14"/>
    </row>
    <row r="767">
      <c r="C767" s="93"/>
      <c r="D767" s="93"/>
      <c r="G767" s="60"/>
      <c r="H767" s="93"/>
      <c r="I767" s="93"/>
      <c r="J767" s="93"/>
      <c r="S767" s="14"/>
      <c r="T767" s="14"/>
      <c r="U767" s="14"/>
      <c r="V767" s="14"/>
      <c r="W767" s="14"/>
      <c r="X767" s="14"/>
      <c r="Y767" s="14"/>
      <c r="Z767" s="14"/>
      <c r="AA767" s="14"/>
      <c r="AB767" s="14"/>
    </row>
    <row r="768">
      <c r="C768" s="93"/>
      <c r="D768" s="93"/>
      <c r="G768" s="60"/>
      <c r="H768" s="93"/>
      <c r="I768" s="93"/>
      <c r="J768" s="93"/>
      <c r="S768" s="14"/>
      <c r="T768" s="14"/>
      <c r="U768" s="14"/>
      <c r="V768" s="14"/>
      <c r="W768" s="14"/>
      <c r="X768" s="14"/>
      <c r="Y768" s="14"/>
      <c r="Z768" s="14"/>
      <c r="AA768" s="14"/>
      <c r="AB768" s="14"/>
    </row>
    <row r="769">
      <c r="C769" s="93"/>
      <c r="D769" s="93"/>
      <c r="G769" s="60"/>
      <c r="H769" s="93"/>
      <c r="I769" s="93"/>
      <c r="J769" s="93"/>
      <c r="S769" s="14"/>
      <c r="T769" s="14"/>
      <c r="U769" s="14"/>
      <c r="V769" s="14"/>
      <c r="W769" s="14"/>
      <c r="X769" s="14"/>
      <c r="Y769" s="14"/>
      <c r="Z769" s="14"/>
      <c r="AA769" s="14"/>
      <c r="AB769" s="14"/>
    </row>
    <row r="770">
      <c r="C770" s="93"/>
      <c r="D770" s="93"/>
      <c r="G770" s="60"/>
      <c r="H770" s="93"/>
      <c r="I770" s="93"/>
      <c r="J770" s="93"/>
      <c r="S770" s="14"/>
      <c r="T770" s="14"/>
      <c r="U770" s="14"/>
      <c r="V770" s="14"/>
      <c r="W770" s="14"/>
      <c r="X770" s="14"/>
      <c r="Y770" s="14"/>
      <c r="Z770" s="14"/>
      <c r="AA770" s="14"/>
      <c r="AB770" s="14"/>
    </row>
    <row r="771">
      <c r="C771" s="93"/>
      <c r="D771" s="93"/>
      <c r="G771" s="60"/>
      <c r="H771" s="93"/>
      <c r="I771" s="93"/>
      <c r="J771" s="93"/>
      <c r="S771" s="14"/>
      <c r="T771" s="14"/>
      <c r="U771" s="14"/>
      <c r="V771" s="14"/>
      <c r="W771" s="14"/>
      <c r="X771" s="14"/>
      <c r="Y771" s="14"/>
      <c r="Z771" s="14"/>
      <c r="AA771" s="14"/>
      <c r="AB771" s="14"/>
    </row>
    <row r="772">
      <c r="C772" s="93"/>
      <c r="D772" s="93"/>
      <c r="G772" s="60"/>
      <c r="H772" s="93"/>
      <c r="I772" s="93"/>
      <c r="J772" s="93"/>
      <c r="S772" s="14"/>
      <c r="T772" s="14"/>
      <c r="U772" s="14"/>
      <c r="V772" s="14"/>
      <c r="W772" s="14"/>
      <c r="X772" s="14"/>
      <c r="Y772" s="14"/>
      <c r="Z772" s="14"/>
      <c r="AA772" s="14"/>
      <c r="AB772" s="14"/>
    </row>
    <row r="773">
      <c r="C773" s="93"/>
      <c r="D773" s="93"/>
      <c r="G773" s="60"/>
      <c r="H773" s="93"/>
      <c r="I773" s="93"/>
      <c r="J773" s="93"/>
      <c r="S773" s="14"/>
      <c r="T773" s="14"/>
      <c r="U773" s="14"/>
      <c r="V773" s="14"/>
      <c r="W773" s="14"/>
      <c r="X773" s="14"/>
      <c r="Y773" s="14"/>
      <c r="Z773" s="14"/>
      <c r="AA773" s="14"/>
      <c r="AB773" s="14"/>
    </row>
    <row r="774">
      <c r="C774" s="93"/>
      <c r="D774" s="93"/>
      <c r="G774" s="60"/>
      <c r="H774" s="93"/>
      <c r="I774" s="93"/>
      <c r="J774" s="93"/>
      <c r="S774" s="14"/>
      <c r="T774" s="14"/>
      <c r="U774" s="14"/>
      <c r="V774" s="14"/>
      <c r="W774" s="14"/>
      <c r="X774" s="14"/>
      <c r="Y774" s="14"/>
      <c r="Z774" s="14"/>
      <c r="AA774" s="14"/>
      <c r="AB774" s="14"/>
    </row>
    <row r="775">
      <c r="C775" s="93"/>
      <c r="D775" s="93"/>
      <c r="G775" s="60"/>
      <c r="H775" s="93"/>
      <c r="I775" s="93"/>
      <c r="J775" s="93"/>
      <c r="S775" s="14"/>
      <c r="T775" s="14"/>
      <c r="U775" s="14"/>
      <c r="V775" s="14"/>
      <c r="W775" s="14"/>
      <c r="X775" s="14"/>
      <c r="Y775" s="14"/>
      <c r="Z775" s="14"/>
      <c r="AA775" s="14"/>
      <c r="AB775" s="14"/>
    </row>
    <row r="776">
      <c r="C776" s="93"/>
      <c r="D776" s="93"/>
      <c r="G776" s="60"/>
      <c r="H776" s="93"/>
      <c r="I776" s="93"/>
      <c r="J776" s="93"/>
      <c r="S776" s="14"/>
      <c r="T776" s="14"/>
      <c r="U776" s="14"/>
      <c r="V776" s="14"/>
      <c r="W776" s="14"/>
      <c r="X776" s="14"/>
      <c r="Y776" s="14"/>
      <c r="Z776" s="14"/>
      <c r="AA776" s="14"/>
      <c r="AB776" s="14"/>
    </row>
    <row r="777">
      <c r="C777" s="93"/>
      <c r="D777" s="93"/>
      <c r="G777" s="60"/>
      <c r="H777" s="93"/>
      <c r="I777" s="93"/>
      <c r="J777" s="93"/>
      <c r="S777" s="14"/>
      <c r="T777" s="14"/>
      <c r="U777" s="14"/>
      <c r="V777" s="14"/>
      <c r="W777" s="14"/>
      <c r="X777" s="14"/>
      <c r="Y777" s="14"/>
      <c r="Z777" s="14"/>
      <c r="AA777" s="14"/>
      <c r="AB777" s="14"/>
    </row>
    <row r="778">
      <c r="C778" s="93"/>
      <c r="D778" s="93"/>
      <c r="G778" s="60"/>
      <c r="H778" s="93"/>
      <c r="I778" s="93"/>
      <c r="J778" s="93"/>
      <c r="S778" s="14"/>
      <c r="T778" s="14"/>
      <c r="U778" s="14"/>
      <c r="V778" s="14"/>
      <c r="W778" s="14"/>
      <c r="X778" s="14"/>
      <c r="Y778" s="14"/>
      <c r="Z778" s="14"/>
      <c r="AA778" s="14"/>
      <c r="AB778" s="14"/>
    </row>
    <row r="779">
      <c r="C779" s="93"/>
      <c r="D779" s="93"/>
      <c r="G779" s="60"/>
      <c r="H779" s="93"/>
      <c r="I779" s="93"/>
      <c r="J779" s="93"/>
      <c r="S779" s="14"/>
      <c r="T779" s="14"/>
      <c r="U779" s="14"/>
      <c r="V779" s="14"/>
      <c r="W779" s="14"/>
      <c r="X779" s="14"/>
      <c r="Y779" s="14"/>
      <c r="Z779" s="14"/>
      <c r="AA779" s="14"/>
      <c r="AB779" s="14"/>
    </row>
    <row r="780">
      <c r="C780" s="93"/>
      <c r="D780" s="93"/>
      <c r="G780" s="60"/>
      <c r="H780" s="93"/>
      <c r="I780" s="93"/>
      <c r="J780" s="93"/>
      <c r="S780" s="14"/>
      <c r="T780" s="14"/>
      <c r="U780" s="14"/>
      <c r="V780" s="14"/>
      <c r="W780" s="14"/>
      <c r="X780" s="14"/>
      <c r="Y780" s="14"/>
      <c r="Z780" s="14"/>
      <c r="AA780" s="14"/>
      <c r="AB780" s="14"/>
    </row>
    <row r="781">
      <c r="C781" s="93"/>
      <c r="D781" s="93"/>
      <c r="G781" s="60"/>
      <c r="H781" s="93"/>
      <c r="I781" s="93"/>
      <c r="J781" s="93"/>
      <c r="S781" s="14"/>
      <c r="T781" s="14"/>
      <c r="U781" s="14"/>
      <c r="V781" s="14"/>
      <c r="W781" s="14"/>
      <c r="X781" s="14"/>
      <c r="Y781" s="14"/>
      <c r="Z781" s="14"/>
      <c r="AA781" s="14"/>
      <c r="AB781" s="14"/>
    </row>
    <row r="782">
      <c r="C782" s="93"/>
      <c r="D782" s="93"/>
      <c r="G782" s="60"/>
      <c r="H782" s="93"/>
      <c r="I782" s="93"/>
      <c r="J782" s="93"/>
      <c r="S782" s="14"/>
      <c r="T782" s="14"/>
      <c r="U782" s="14"/>
      <c r="V782" s="14"/>
      <c r="W782" s="14"/>
      <c r="X782" s="14"/>
      <c r="Y782" s="14"/>
      <c r="Z782" s="14"/>
      <c r="AA782" s="14"/>
      <c r="AB782" s="14"/>
    </row>
    <row r="783">
      <c r="C783" s="93"/>
      <c r="D783" s="93"/>
      <c r="G783" s="60"/>
      <c r="H783" s="93"/>
      <c r="I783" s="93"/>
      <c r="J783" s="93"/>
      <c r="S783" s="14"/>
      <c r="T783" s="14"/>
      <c r="U783" s="14"/>
      <c r="V783" s="14"/>
      <c r="W783" s="14"/>
      <c r="X783" s="14"/>
      <c r="Y783" s="14"/>
      <c r="Z783" s="14"/>
      <c r="AA783" s="14"/>
      <c r="AB783" s="14"/>
    </row>
    <row r="784">
      <c r="C784" s="93"/>
      <c r="D784" s="93"/>
      <c r="G784" s="60"/>
      <c r="H784" s="93"/>
      <c r="I784" s="93"/>
      <c r="J784" s="93"/>
      <c r="S784" s="14"/>
      <c r="T784" s="14"/>
      <c r="U784" s="14"/>
      <c r="V784" s="14"/>
      <c r="W784" s="14"/>
      <c r="X784" s="14"/>
      <c r="Y784" s="14"/>
      <c r="Z784" s="14"/>
      <c r="AA784" s="14"/>
      <c r="AB784" s="14"/>
    </row>
    <row r="785">
      <c r="C785" s="93"/>
      <c r="D785" s="93"/>
      <c r="G785" s="60"/>
      <c r="H785" s="93"/>
      <c r="I785" s="93"/>
      <c r="J785" s="93"/>
      <c r="S785" s="14"/>
      <c r="T785" s="14"/>
      <c r="U785" s="14"/>
      <c r="V785" s="14"/>
      <c r="W785" s="14"/>
      <c r="X785" s="14"/>
      <c r="Y785" s="14"/>
      <c r="Z785" s="14"/>
      <c r="AA785" s="14"/>
      <c r="AB785" s="14"/>
    </row>
    <row r="786">
      <c r="C786" s="93"/>
      <c r="D786" s="93"/>
      <c r="G786" s="60"/>
      <c r="H786" s="93"/>
      <c r="I786" s="93"/>
      <c r="J786" s="93"/>
      <c r="S786" s="14"/>
      <c r="T786" s="14"/>
      <c r="U786" s="14"/>
      <c r="V786" s="14"/>
      <c r="W786" s="14"/>
      <c r="X786" s="14"/>
      <c r="Y786" s="14"/>
      <c r="Z786" s="14"/>
      <c r="AA786" s="14"/>
      <c r="AB786" s="14"/>
    </row>
    <row r="787">
      <c r="C787" s="93"/>
      <c r="D787" s="93"/>
      <c r="G787" s="60"/>
      <c r="H787" s="93"/>
      <c r="I787" s="93"/>
      <c r="J787" s="93"/>
      <c r="S787" s="14"/>
      <c r="T787" s="14"/>
      <c r="U787" s="14"/>
      <c r="V787" s="14"/>
      <c r="W787" s="14"/>
      <c r="X787" s="14"/>
      <c r="Y787" s="14"/>
      <c r="Z787" s="14"/>
      <c r="AA787" s="14"/>
      <c r="AB787" s="14"/>
    </row>
    <row r="788">
      <c r="C788" s="93"/>
      <c r="D788" s="93"/>
      <c r="G788" s="60"/>
      <c r="H788" s="93"/>
      <c r="I788" s="93"/>
      <c r="J788" s="93"/>
      <c r="S788" s="14"/>
      <c r="T788" s="14"/>
      <c r="U788" s="14"/>
      <c r="V788" s="14"/>
      <c r="W788" s="14"/>
      <c r="X788" s="14"/>
      <c r="Y788" s="14"/>
      <c r="Z788" s="14"/>
      <c r="AA788" s="14"/>
      <c r="AB788" s="14"/>
    </row>
    <row r="789">
      <c r="C789" s="93"/>
      <c r="D789" s="93"/>
      <c r="G789" s="60"/>
      <c r="H789" s="93"/>
      <c r="I789" s="93"/>
      <c r="J789" s="93"/>
      <c r="S789" s="14"/>
      <c r="T789" s="14"/>
      <c r="U789" s="14"/>
      <c r="V789" s="14"/>
      <c r="W789" s="14"/>
      <c r="X789" s="14"/>
      <c r="Y789" s="14"/>
      <c r="Z789" s="14"/>
      <c r="AA789" s="14"/>
      <c r="AB789" s="14"/>
    </row>
    <row r="790">
      <c r="C790" s="93"/>
      <c r="D790" s="93"/>
      <c r="G790" s="60"/>
      <c r="H790" s="93"/>
      <c r="I790" s="93"/>
      <c r="J790" s="93"/>
      <c r="S790" s="14"/>
      <c r="T790" s="14"/>
      <c r="U790" s="14"/>
      <c r="V790" s="14"/>
      <c r="W790" s="14"/>
      <c r="X790" s="14"/>
      <c r="Y790" s="14"/>
      <c r="Z790" s="14"/>
      <c r="AA790" s="14"/>
      <c r="AB790" s="14"/>
    </row>
    <row r="791">
      <c r="C791" s="93"/>
      <c r="D791" s="93"/>
      <c r="G791" s="60"/>
      <c r="H791" s="93"/>
      <c r="I791" s="93"/>
      <c r="J791" s="93"/>
      <c r="S791" s="14"/>
      <c r="T791" s="14"/>
      <c r="U791" s="14"/>
      <c r="V791" s="14"/>
      <c r="W791" s="14"/>
      <c r="X791" s="14"/>
      <c r="Y791" s="14"/>
      <c r="Z791" s="14"/>
      <c r="AA791" s="14"/>
      <c r="AB791" s="14"/>
    </row>
    <row r="792">
      <c r="C792" s="93"/>
      <c r="D792" s="93"/>
      <c r="G792" s="60"/>
      <c r="H792" s="93"/>
      <c r="I792" s="93"/>
      <c r="J792" s="93"/>
      <c r="S792" s="14"/>
      <c r="T792" s="14"/>
      <c r="U792" s="14"/>
      <c r="V792" s="14"/>
      <c r="W792" s="14"/>
      <c r="X792" s="14"/>
      <c r="Y792" s="14"/>
      <c r="Z792" s="14"/>
      <c r="AA792" s="14"/>
      <c r="AB792" s="14"/>
    </row>
    <row r="793">
      <c r="C793" s="93"/>
      <c r="D793" s="93"/>
      <c r="G793" s="60"/>
      <c r="H793" s="93"/>
      <c r="I793" s="93"/>
      <c r="J793" s="93"/>
      <c r="S793" s="14"/>
      <c r="T793" s="14"/>
      <c r="U793" s="14"/>
      <c r="V793" s="14"/>
      <c r="W793" s="14"/>
      <c r="X793" s="14"/>
      <c r="Y793" s="14"/>
      <c r="Z793" s="14"/>
      <c r="AA793" s="14"/>
      <c r="AB793" s="14"/>
    </row>
    <row r="794">
      <c r="C794" s="93"/>
      <c r="D794" s="93"/>
      <c r="G794" s="60"/>
      <c r="H794" s="93"/>
      <c r="I794" s="93"/>
      <c r="J794" s="93"/>
      <c r="S794" s="14"/>
      <c r="T794" s="14"/>
      <c r="U794" s="14"/>
      <c r="V794" s="14"/>
      <c r="W794" s="14"/>
      <c r="X794" s="14"/>
      <c r="Y794" s="14"/>
      <c r="Z794" s="14"/>
      <c r="AA794" s="14"/>
      <c r="AB794" s="14"/>
    </row>
    <row r="795">
      <c r="C795" s="93"/>
      <c r="D795" s="93"/>
      <c r="G795" s="60"/>
      <c r="H795" s="93"/>
      <c r="I795" s="93"/>
      <c r="J795" s="93"/>
      <c r="S795" s="14"/>
      <c r="T795" s="14"/>
      <c r="U795" s="14"/>
      <c r="V795" s="14"/>
      <c r="W795" s="14"/>
      <c r="X795" s="14"/>
      <c r="Y795" s="14"/>
      <c r="Z795" s="14"/>
      <c r="AA795" s="14"/>
      <c r="AB795" s="14"/>
    </row>
    <row r="796">
      <c r="C796" s="93"/>
      <c r="D796" s="93"/>
      <c r="G796" s="60"/>
      <c r="H796" s="93"/>
      <c r="I796" s="93"/>
      <c r="J796" s="93"/>
      <c r="S796" s="14"/>
      <c r="T796" s="14"/>
      <c r="U796" s="14"/>
      <c r="V796" s="14"/>
      <c r="W796" s="14"/>
      <c r="X796" s="14"/>
      <c r="Y796" s="14"/>
      <c r="Z796" s="14"/>
      <c r="AA796" s="14"/>
      <c r="AB796" s="14"/>
    </row>
    <row r="797">
      <c r="C797" s="93"/>
      <c r="D797" s="93"/>
      <c r="G797" s="60"/>
      <c r="H797" s="93"/>
      <c r="I797" s="93"/>
      <c r="J797" s="93"/>
      <c r="S797" s="14"/>
      <c r="T797" s="14"/>
      <c r="U797" s="14"/>
      <c r="V797" s="14"/>
      <c r="W797" s="14"/>
      <c r="X797" s="14"/>
      <c r="Y797" s="14"/>
      <c r="Z797" s="14"/>
      <c r="AA797" s="14"/>
      <c r="AB797" s="14"/>
    </row>
    <row r="798">
      <c r="C798" s="93"/>
      <c r="D798" s="93"/>
      <c r="G798" s="60"/>
      <c r="H798" s="93"/>
      <c r="I798" s="93"/>
      <c r="J798" s="93"/>
      <c r="S798" s="14"/>
      <c r="T798" s="14"/>
      <c r="U798" s="14"/>
      <c r="V798" s="14"/>
      <c r="W798" s="14"/>
      <c r="X798" s="14"/>
      <c r="Y798" s="14"/>
      <c r="Z798" s="14"/>
      <c r="AA798" s="14"/>
      <c r="AB798" s="14"/>
    </row>
    <row r="799">
      <c r="C799" s="93"/>
      <c r="D799" s="93"/>
      <c r="G799" s="60"/>
      <c r="H799" s="93"/>
      <c r="I799" s="93"/>
      <c r="J799" s="93"/>
      <c r="S799" s="14"/>
      <c r="T799" s="14"/>
      <c r="U799" s="14"/>
      <c r="V799" s="14"/>
      <c r="W799" s="14"/>
      <c r="X799" s="14"/>
      <c r="Y799" s="14"/>
      <c r="Z799" s="14"/>
      <c r="AA799" s="14"/>
      <c r="AB799" s="14"/>
    </row>
    <row r="800">
      <c r="C800" s="93"/>
      <c r="D800" s="93"/>
      <c r="G800" s="60"/>
      <c r="H800" s="93"/>
      <c r="I800" s="93"/>
      <c r="J800" s="93"/>
      <c r="S800" s="14"/>
      <c r="T800" s="14"/>
      <c r="U800" s="14"/>
      <c r="V800" s="14"/>
      <c r="W800" s="14"/>
      <c r="X800" s="14"/>
      <c r="Y800" s="14"/>
      <c r="Z800" s="14"/>
      <c r="AA800" s="14"/>
      <c r="AB800" s="14"/>
    </row>
    <row r="801">
      <c r="C801" s="93"/>
      <c r="D801" s="93"/>
      <c r="G801" s="60"/>
      <c r="H801" s="93"/>
      <c r="I801" s="93"/>
      <c r="J801" s="93"/>
      <c r="S801" s="14"/>
      <c r="T801" s="14"/>
      <c r="U801" s="14"/>
      <c r="V801" s="14"/>
      <c r="W801" s="14"/>
      <c r="X801" s="14"/>
      <c r="Y801" s="14"/>
      <c r="Z801" s="14"/>
      <c r="AA801" s="14"/>
      <c r="AB801" s="14"/>
    </row>
    <row r="802">
      <c r="C802" s="93"/>
      <c r="D802" s="93"/>
      <c r="G802" s="60"/>
      <c r="H802" s="93"/>
      <c r="I802" s="93"/>
      <c r="J802" s="93"/>
      <c r="S802" s="14"/>
      <c r="T802" s="14"/>
      <c r="U802" s="14"/>
      <c r="V802" s="14"/>
      <c r="W802" s="14"/>
      <c r="X802" s="14"/>
      <c r="Y802" s="14"/>
      <c r="Z802" s="14"/>
      <c r="AA802" s="14"/>
      <c r="AB802" s="14"/>
    </row>
    <row r="803">
      <c r="C803" s="93"/>
      <c r="D803" s="93"/>
      <c r="G803" s="60"/>
      <c r="H803" s="93"/>
      <c r="I803" s="93"/>
      <c r="J803" s="93"/>
      <c r="S803" s="14"/>
      <c r="T803" s="14"/>
      <c r="U803" s="14"/>
      <c r="V803" s="14"/>
      <c r="W803" s="14"/>
      <c r="X803" s="14"/>
      <c r="Y803" s="14"/>
      <c r="Z803" s="14"/>
      <c r="AA803" s="14"/>
      <c r="AB803" s="14"/>
    </row>
    <row r="804">
      <c r="C804" s="93"/>
      <c r="D804" s="93"/>
      <c r="G804" s="60"/>
      <c r="H804" s="93"/>
      <c r="I804" s="93"/>
      <c r="J804" s="93"/>
      <c r="S804" s="14"/>
      <c r="T804" s="14"/>
      <c r="U804" s="14"/>
      <c r="V804" s="14"/>
      <c r="W804" s="14"/>
      <c r="X804" s="14"/>
      <c r="Y804" s="14"/>
      <c r="Z804" s="14"/>
      <c r="AA804" s="14"/>
      <c r="AB804" s="14"/>
    </row>
    <row r="805">
      <c r="C805" s="93"/>
      <c r="D805" s="93"/>
      <c r="G805" s="60"/>
      <c r="H805" s="93"/>
      <c r="I805" s="93"/>
      <c r="J805" s="93"/>
      <c r="S805" s="14"/>
      <c r="T805" s="14"/>
      <c r="U805" s="14"/>
      <c r="V805" s="14"/>
      <c r="W805" s="14"/>
      <c r="X805" s="14"/>
      <c r="Y805" s="14"/>
      <c r="Z805" s="14"/>
      <c r="AA805" s="14"/>
      <c r="AB805" s="14"/>
    </row>
    <row r="806">
      <c r="C806" s="93"/>
      <c r="D806" s="93"/>
      <c r="G806" s="60"/>
      <c r="H806" s="93"/>
      <c r="I806" s="93"/>
      <c r="J806" s="93"/>
      <c r="S806" s="14"/>
      <c r="T806" s="14"/>
      <c r="U806" s="14"/>
      <c r="V806" s="14"/>
      <c r="W806" s="14"/>
      <c r="X806" s="14"/>
      <c r="Y806" s="14"/>
      <c r="Z806" s="14"/>
      <c r="AA806" s="14"/>
      <c r="AB806" s="14"/>
    </row>
    <row r="807">
      <c r="C807" s="93"/>
      <c r="D807" s="93"/>
      <c r="G807" s="60"/>
      <c r="H807" s="93"/>
      <c r="I807" s="93"/>
      <c r="J807" s="93"/>
      <c r="S807" s="14"/>
      <c r="T807" s="14"/>
      <c r="U807" s="14"/>
      <c r="V807" s="14"/>
      <c r="W807" s="14"/>
      <c r="X807" s="14"/>
      <c r="Y807" s="14"/>
      <c r="Z807" s="14"/>
      <c r="AA807" s="14"/>
      <c r="AB807" s="14"/>
    </row>
    <row r="808">
      <c r="C808" s="93"/>
      <c r="D808" s="93"/>
      <c r="G808" s="60"/>
      <c r="H808" s="93"/>
      <c r="I808" s="93"/>
      <c r="J808" s="93"/>
      <c r="S808" s="14"/>
      <c r="T808" s="14"/>
      <c r="U808" s="14"/>
      <c r="V808" s="14"/>
      <c r="W808" s="14"/>
      <c r="X808" s="14"/>
      <c r="Y808" s="14"/>
      <c r="Z808" s="14"/>
      <c r="AA808" s="14"/>
      <c r="AB808" s="14"/>
    </row>
    <row r="809">
      <c r="C809" s="93"/>
      <c r="D809" s="93"/>
      <c r="G809" s="60"/>
      <c r="H809" s="93"/>
      <c r="I809" s="93"/>
      <c r="J809" s="93"/>
      <c r="S809" s="14"/>
      <c r="T809" s="14"/>
      <c r="U809" s="14"/>
      <c r="V809" s="14"/>
      <c r="W809" s="14"/>
      <c r="X809" s="14"/>
      <c r="Y809" s="14"/>
      <c r="Z809" s="14"/>
      <c r="AA809" s="14"/>
      <c r="AB809" s="14"/>
    </row>
    <row r="810">
      <c r="C810" s="93"/>
      <c r="D810" s="93"/>
      <c r="G810" s="60"/>
      <c r="H810" s="93"/>
      <c r="I810" s="93"/>
      <c r="J810" s="93"/>
      <c r="S810" s="14"/>
      <c r="T810" s="14"/>
      <c r="U810" s="14"/>
      <c r="V810" s="14"/>
      <c r="W810" s="14"/>
      <c r="X810" s="14"/>
      <c r="Y810" s="14"/>
      <c r="Z810" s="14"/>
      <c r="AA810" s="14"/>
      <c r="AB810" s="14"/>
    </row>
    <row r="811">
      <c r="C811" s="93"/>
      <c r="D811" s="93"/>
      <c r="G811" s="60"/>
      <c r="H811" s="93"/>
      <c r="I811" s="93"/>
      <c r="J811" s="93"/>
      <c r="S811" s="14"/>
      <c r="T811" s="14"/>
      <c r="U811" s="14"/>
      <c r="V811" s="14"/>
      <c r="W811" s="14"/>
      <c r="X811" s="14"/>
      <c r="Y811" s="14"/>
      <c r="Z811" s="14"/>
      <c r="AA811" s="14"/>
      <c r="AB811" s="14"/>
    </row>
    <row r="812">
      <c r="C812" s="93"/>
      <c r="D812" s="93"/>
      <c r="G812" s="60"/>
      <c r="H812" s="93"/>
      <c r="I812" s="93"/>
      <c r="J812" s="93"/>
      <c r="S812" s="14"/>
      <c r="T812" s="14"/>
      <c r="U812" s="14"/>
      <c r="V812" s="14"/>
      <c r="W812" s="14"/>
      <c r="X812" s="14"/>
      <c r="Y812" s="14"/>
      <c r="Z812" s="14"/>
      <c r="AA812" s="14"/>
      <c r="AB812" s="14"/>
    </row>
    <row r="813">
      <c r="C813" s="93"/>
      <c r="D813" s="93"/>
      <c r="G813" s="60"/>
      <c r="H813" s="93"/>
      <c r="I813" s="93"/>
      <c r="J813" s="93"/>
      <c r="S813" s="14"/>
      <c r="T813" s="14"/>
      <c r="U813" s="14"/>
      <c r="V813" s="14"/>
      <c r="W813" s="14"/>
      <c r="X813" s="14"/>
      <c r="Y813" s="14"/>
      <c r="Z813" s="14"/>
      <c r="AA813" s="14"/>
      <c r="AB813" s="14"/>
    </row>
    <row r="814">
      <c r="C814" s="93"/>
      <c r="D814" s="93"/>
      <c r="G814" s="60"/>
      <c r="H814" s="93"/>
      <c r="I814" s="93"/>
      <c r="J814" s="93"/>
      <c r="S814" s="14"/>
      <c r="T814" s="14"/>
      <c r="U814" s="14"/>
      <c r="V814" s="14"/>
      <c r="W814" s="14"/>
      <c r="X814" s="14"/>
      <c r="Y814" s="14"/>
      <c r="Z814" s="14"/>
      <c r="AA814" s="14"/>
      <c r="AB814" s="14"/>
    </row>
    <row r="815">
      <c r="C815" s="93"/>
      <c r="D815" s="93"/>
      <c r="G815" s="60"/>
      <c r="H815" s="93"/>
      <c r="I815" s="93"/>
      <c r="J815" s="93"/>
      <c r="S815" s="14"/>
      <c r="T815" s="14"/>
      <c r="U815" s="14"/>
      <c r="V815" s="14"/>
      <c r="W815" s="14"/>
      <c r="X815" s="14"/>
      <c r="Y815" s="14"/>
      <c r="Z815" s="14"/>
      <c r="AA815" s="14"/>
      <c r="AB815" s="14"/>
    </row>
    <row r="816">
      <c r="C816" s="93"/>
      <c r="D816" s="93"/>
      <c r="G816" s="60"/>
      <c r="H816" s="93"/>
      <c r="I816" s="93"/>
      <c r="J816" s="93"/>
      <c r="S816" s="14"/>
      <c r="T816" s="14"/>
      <c r="U816" s="14"/>
      <c r="V816" s="14"/>
      <c r="W816" s="14"/>
      <c r="X816" s="14"/>
      <c r="Y816" s="14"/>
      <c r="Z816" s="14"/>
      <c r="AA816" s="14"/>
      <c r="AB816" s="14"/>
    </row>
    <row r="817">
      <c r="C817" s="93"/>
      <c r="D817" s="93"/>
      <c r="G817" s="60"/>
      <c r="H817" s="93"/>
      <c r="I817" s="93"/>
      <c r="J817" s="93"/>
      <c r="S817" s="14"/>
      <c r="T817" s="14"/>
      <c r="U817" s="14"/>
      <c r="V817" s="14"/>
      <c r="W817" s="14"/>
      <c r="X817" s="14"/>
      <c r="Y817" s="14"/>
      <c r="Z817" s="14"/>
      <c r="AA817" s="14"/>
      <c r="AB817" s="14"/>
    </row>
    <row r="818">
      <c r="C818" s="93"/>
      <c r="D818" s="93"/>
      <c r="G818" s="60"/>
      <c r="H818" s="93"/>
      <c r="I818" s="93"/>
      <c r="J818" s="93"/>
      <c r="S818" s="14"/>
      <c r="T818" s="14"/>
      <c r="U818" s="14"/>
      <c r="V818" s="14"/>
      <c r="W818" s="14"/>
      <c r="X818" s="14"/>
      <c r="Y818" s="14"/>
      <c r="Z818" s="14"/>
      <c r="AA818" s="14"/>
      <c r="AB818" s="14"/>
    </row>
    <row r="819">
      <c r="C819" s="93"/>
      <c r="D819" s="93"/>
      <c r="G819" s="60"/>
      <c r="H819" s="93"/>
      <c r="I819" s="93"/>
      <c r="J819" s="93"/>
      <c r="S819" s="14"/>
      <c r="T819" s="14"/>
      <c r="U819" s="14"/>
      <c r="V819" s="14"/>
      <c r="W819" s="14"/>
      <c r="X819" s="14"/>
      <c r="Y819" s="14"/>
      <c r="Z819" s="14"/>
      <c r="AA819" s="14"/>
      <c r="AB819" s="14"/>
    </row>
    <row r="820">
      <c r="C820" s="93"/>
      <c r="D820" s="93"/>
      <c r="G820" s="60"/>
      <c r="H820" s="93"/>
      <c r="I820" s="93"/>
      <c r="J820" s="93"/>
      <c r="S820" s="14"/>
      <c r="T820" s="14"/>
      <c r="U820" s="14"/>
      <c r="V820" s="14"/>
      <c r="W820" s="14"/>
      <c r="X820" s="14"/>
      <c r="Y820" s="14"/>
      <c r="Z820" s="14"/>
      <c r="AA820" s="14"/>
      <c r="AB820" s="14"/>
    </row>
    <row r="821">
      <c r="C821" s="93"/>
      <c r="D821" s="93"/>
      <c r="G821" s="60"/>
      <c r="H821" s="93"/>
      <c r="I821" s="93"/>
      <c r="J821" s="93"/>
      <c r="S821" s="14"/>
      <c r="T821" s="14"/>
      <c r="U821" s="14"/>
      <c r="V821" s="14"/>
      <c r="W821" s="14"/>
      <c r="X821" s="14"/>
      <c r="Y821" s="14"/>
      <c r="Z821" s="14"/>
      <c r="AA821" s="14"/>
      <c r="AB821" s="14"/>
    </row>
    <row r="822">
      <c r="C822" s="93"/>
      <c r="D822" s="93"/>
      <c r="G822" s="60"/>
      <c r="H822" s="93"/>
      <c r="I822" s="93"/>
      <c r="J822" s="93"/>
      <c r="S822" s="14"/>
      <c r="T822" s="14"/>
      <c r="U822" s="14"/>
      <c r="V822" s="14"/>
      <c r="W822" s="14"/>
      <c r="X822" s="14"/>
      <c r="Y822" s="14"/>
      <c r="Z822" s="14"/>
      <c r="AA822" s="14"/>
      <c r="AB822" s="14"/>
    </row>
    <row r="823">
      <c r="C823" s="93"/>
      <c r="D823" s="93"/>
      <c r="G823" s="60"/>
      <c r="H823" s="93"/>
      <c r="I823" s="93"/>
      <c r="J823" s="93"/>
      <c r="S823" s="14"/>
      <c r="T823" s="14"/>
      <c r="U823" s="14"/>
      <c r="V823" s="14"/>
      <c r="W823" s="14"/>
      <c r="X823" s="14"/>
      <c r="Y823" s="14"/>
      <c r="Z823" s="14"/>
      <c r="AA823" s="14"/>
      <c r="AB823" s="14"/>
    </row>
    <row r="824">
      <c r="C824" s="93"/>
      <c r="D824" s="93"/>
      <c r="G824" s="60"/>
      <c r="H824" s="93"/>
      <c r="I824" s="93"/>
      <c r="J824" s="93"/>
      <c r="S824" s="14"/>
      <c r="T824" s="14"/>
      <c r="U824" s="14"/>
      <c r="V824" s="14"/>
      <c r="W824" s="14"/>
      <c r="X824" s="14"/>
      <c r="Y824" s="14"/>
      <c r="Z824" s="14"/>
      <c r="AA824" s="14"/>
      <c r="AB824" s="14"/>
    </row>
    <row r="825">
      <c r="C825" s="93"/>
      <c r="D825" s="93"/>
      <c r="G825" s="60"/>
      <c r="H825" s="93"/>
      <c r="I825" s="93"/>
      <c r="J825" s="93"/>
      <c r="S825" s="14"/>
      <c r="T825" s="14"/>
      <c r="U825" s="14"/>
      <c r="V825" s="14"/>
      <c r="W825" s="14"/>
      <c r="X825" s="14"/>
      <c r="Y825" s="14"/>
      <c r="Z825" s="14"/>
      <c r="AA825" s="14"/>
      <c r="AB825" s="14"/>
    </row>
    <row r="826">
      <c r="C826" s="93"/>
      <c r="D826" s="93"/>
      <c r="G826" s="60"/>
      <c r="H826" s="93"/>
      <c r="I826" s="93"/>
      <c r="J826" s="93"/>
      <c r="S826" s="14"/>
      <c r="T826" s="14"/>
      <c r="U826" s="14"/>
      <c r="V826" s="14"/>
      <c r="W826" s="14"/>
      <c r="X826" s="14"/>
      <c r="Y826" s="14"/>
      <c r="Z826" s="14"/>
      <c r="AA826" s="14"/>
      <c r="AB826" s="14"/>
    </row>
    <row r="827">
      <c r="C827" s="93"/>
      <c r="D827" s="93"/>
      <c r="G827" s="60"/>
      <c r="H827" s="93"/>
      <c r="I827" s="93"/>
      <c r="J827" s="93"/>
      <c r="S827" s="14"/>
      <c r="T827" s="14"/>
      <c r="U827" s="14"/>
      <c r="V827" s="14"/>
      <c r="W827" s="14"/>
      <c r="X827" s="14"/>
      <c r="Y827" s="14"/>
      <c r="Z827" s="14"/>
      <c r="AA827" s="14"/>
      <c r="AB827" s="14"/>
    </row>
    <row r="828">
      <c r="C828" s="93"/>
      <c r="D828" s="93"/>
      <c r="G828" s="60"/>
      <c r="H828" s="93"/>
      <c r="I828" s="93"/>
      <c r="J828" s="93"/>
      <c r="S828" s="14"/>
      <c r="T828" s="14"/>
      <c r="U828" s="14"/>
      <c r="V828" s="14"/>
      <c r="W828" s="14"/>
      <c r="X828" s="14"/>
      <c r="Y828" s="14"/>
      <c r="Z828" s="14"/>
      <c r="AA828" s="14"/>
      <c r="AB828" s="14"/>
    </row>
    <row r="829">
      <c r="C829" s="93"/>
      <c r="D829" s="93"/>
      <c r="G829" s="60"/>
      <c r="H829" s="93"/>
      <c r="I829" s="93"/>
      <c r="J829" s="93"/>
      <c r="S829" s="14"/>
      <c r="T829" s="14"/>
      <c r="U829" s="14"/>
      <c r="V829" s="14"/>
      <c r="W829" s="14"/>
      <c r="X829" s="14"/>
      <c r="Y829" s="14"/>
      <c r="Z829" s="14"/>
      <c r="AA829" s="14"/>
      <c r="AB829" s="14"/>
    </row>
    <row r="830">
      <c r="C830" s="93"/>
      <c r="D830" s="93"/>
      <c r="G830" s="60"/>
      <c r="H830" s="93"/>
      <c r="I830" s="93"/>
      <c r="J830" s="93"/>
      <c r="S830" s="14"/>
      <c r="T830" s="14"/>
      <c r="U830" s="14"/>
      <c r="V830" s="14"/>
      <c r="W830" s="14"/>
      <c r="X830" s="14"/>
      <c r="Y830" s="14"/>
      <c r="Z830" s="14"/>
      <c r="AA830" s="14"/>
      <c r="AB830" s="14"/>
    </row>
    <row r="831">
      <c r="C831" s="93"/>
      <c r="D831" s="93"/>
      <c r="G831" s="60"/>
      <c r="H831" s="93"/>
      <c r="I831" s="93"/>
      <c r="J831" s="93"/>
      <c r="S831" s="14"/>
      <c r="T831" s="14"/>
      <c r="U831" s="14"/>
      <c r="V831" s="14"/>
      <c r="W831" s="14"/>
      <c r="X831" s="14"/>
      <c r="Y831" s="14"/>
      <c r="Z831" s="14"/>
      <c r="AA831" s="14"/>
      <c r="AB831" s="14"/>
    </row>
    <row r="832">
      <c r="C832" s="93"/>
      <c r="D832" s="93"/>
      <c r="G832" s="60"/>
      <c r="H832" s="93"/>
      <c r="I832" s="93"/>
      <c r="J832" s="93"/>
      <c r="S832" s="14"/>
      <c r="T832" s="14"/>
      <c r="U832" s="14"/>
      <c r="V832" s="14"/>
      <c r="W832" s="14"/>
      <c r="X832" s="14"/>
      <c r="Y832" s="14"/>
      <c r="Z832" s="14"/>
      <c r="AA832" s="14"/>
      <c r="AB832" s="14"/>
    </row>
    <row r="833">
      <c r="C833" s="93"/>
      <c r="D833" s="93"/>
      <c r="G833" s="60"/>
      <c r="H833" s="93"/>
      <c r="I833" s="93"/>
      <c r="J833" s="93"/>
      <c r="S833" s="14"/>
      <c r="T833" s="14"/>
      <c r="U833" s="14"/>
      <c r="V833" s="14"/>
      <c r="W833" s="14"/>
      <c r="X833" s="14"/>
      <c r="Y833" s="14"/>
      <c r="Z833" s="14"/>
      <c r="AA833" s="14"/>
      <c r="AB833" s="14"/>
    </row>
    <row r="834">
      <c r="C834" s="93"/>
      <c r="D834" s="93"/>
      <c r="G834" s="60"/>
      <c r="H834" s="93"/>
      <c r="I834" s="93"/>
      <c r="J834" s="93"/>
      <c r="S834" s="14"/>
      <c r="T834" s="14"/>
      <c r="U834" s="14"/>
      <c r="V834" s="14"/>
      <c r="W834" s="14"/>
      <c r="X834" s="14"/>
      <c r="Y834" s="14"/>
      <c r="Z834" s="14"/>
      <c r="AA834" s="14"/>
      <c r="AB834" s="14"/>
    </row>
    <row r="835">
      <c r="C835" s="93"/>
      <c r="D835" s="93"/>
      <c r="G835" s="60"/>
      <c r="H835" s="93"/>
      <c r="I835" s="93"/>
      <c r="J835" s="93"/>
      <c r="S835" s="14"/>
      <c r="T835" s="14"/>
      <c r="U835" s="14"/>
      <c r="V835" s="14"/>
      <c r="W835" s="14"/>
      <c r="X835" s="14"/>
      <c r="Y835" s="14"/>
      <c r="Z835" s="14"/>
      <c r="AA835" s="14"/>
      <c r="AB835" s="14"/>
    </row>
    <row r="836">
      <c r="C836" s="93"/>
      <c r="D836" s="93"/>
      <c r="G836" s="60"/>
      <c r="H836" s="93"/>
      <c r="I836" s="93"/>
      <c r="J836" s="93"/>
      <c r="S836" s="14"/>
      <c r="T836" s="14"/>
      <c r="U836" s="14"/>
      <c r="V836" s="14"/>
      <c r="W836" s="14"/>
      <c r="X836" s="14"/>
      <c r="Y836" s="14"/>
      <c r="Z836" s="14"/>
      <c r="AA836" s="14"/>
      <c r="AB836" s="14"/>
    </row>
    <row r="837">
      <c r="C837" s="93"/>
      <c r="D837" s="93"/>
      <c r="G837" s="60"/>
      <c r="H837" s="93"/>
      <c r="I837" s="93"/>
      <c r="J837" s="93"/>
      <c r="S837" s="14"/>
      <c r="T837" s="14"/>
      <c r="U837" s="14"/>
      <c r="V837" s="14"/>
      <c r="W837" s="14"/>
      <c r="X837" s="14"/>
      <c r="Y837" s="14"/>
      <c r="Z837" s="14"/>
      <c r="AA837" s="14"/>
      <c r="AB837" s="14"/>
    </row>
    <row r="838">
      <c r="C838" s="93"/>
      <c r="D838" s="93"/>
      <c r="G838" s="60"/>
      <c r="H838" s="93"/>
      <c r="I838" s="93"/>
      <c r="J838" s="93"/>
      <c r="S838" s="14"/>
      <c r="T838" s="14"/>
      <c r="U838" s="14"/>
      <c r="V838" s="14"/>
      <c r="W838" s="14"/>
      <c r="X838" s="14"/>
      <c r="Y838" s="14"/>
      <c r="Z838" s="14"/>
      <c r="AA838" s="14"/>
      <c r="AB838" s="14"/>
    </row>
    <row r="839">
      <c r="C839" s="93"/>
      <c r="D839" s="93"/>
      <c r="G839" s="60"/>
      <c r="H839" s="93"/>
      <c r="I839" s="93"/>
      <c r="J839" s="93"/>
      <c r="S839" s="14"/>
      <c r="T839" s="14"/>
      <c r="U839" s="14"/>
      <c r="V839" s="14"/>
      <c r="W839" s="14"/>
      <c r="X839" s="14"/>
      <c r="Y839" s="14"/>
      <c r="Z839" s="14"/>
      <c r="AA839" s="14"/>
      <c r="AB839" s="14"/>
    </row>
    <row r="840">
      <c r="C840" s="93"/>
      <c r="D840" s="93"/>
      <c r="G840" s="60"/>
      <c r="H840" s="93"/>
      <c r="I840" s="93"/>
      <c r="J840" s="93"/>
      <c r="S840" s="14"/>
      <c r="T840" s="14"/>
      <c r="U840" s="14"/>
      <c r="V840" s="14"/>
      <c r="W840" s="14"/>
      <c r="X840" s="14"/>
      <c r="Y840" s="14"/>
      <c r="Z840" s="14"/>
      <c r="AA840" s="14"/>
      <c r="AB840" s="14"/>
    </row>
    <row r="841">
      <c r="C841" s="93"/>
      <c r="D841" s="93"/>
      <c r="G841" s="60"/>
      <c r="H841" s="93"/>
      <c r="I841" s="93"/>
      <c r="J841" s="93"/>
      <c r="S841" s="14"/>
      <c r="T841" s="14"/>
      <c r="U841" s="14"/>
      <c r="V841" s="14"/>
      <c r="W841" s="14"/>
      <c r="X841" s="14"/>
      <c r="Y841" s="14"/>
      <c r="Z841" s="14"/>
      <c r="AA841" s="14"/>
      <c r="AB841" s="14"/>
    </row>
    <row r="842">
      <c r="C842" s="93"/>
      <c r="D842" s="93"/>
      <c r="G842" s="60"/>
      <c r="H842" s="93"/>
      <c r="I842" s="93"/>
      <c r="J842" s="93"/>
      <c r="S842" s="14"/>
      <c r="T842" s="14"/>
      <c r="U842" s="14"/>
      <c r="V842" s="14"/>
      <c r="W842" s="14"/>
      <c r="X842" s="14"/>
      <c r="Y842" s="14"/>
      <c r="Z842" s="14"/>
      <c r="AA842" s="14"/>
      <c r="AB842" s="14"/>
    </row>
    <row r="843">
      <c r="C843" s="93"/>
      <c r="D843" s="93"/>
      <c r="G843" s="60"/>
      <c r="H843" s="93"/>
      <c r="I843" s="93"/>
      <c r="J843" s="93"/>
      <c r="S843" s="14"/>
      <c r="T843" s="14"/>
      <c r="U843" s="14"/>
      <c r="V843" s="14"/>
      <c r="W843" s="14"/>
      <c r="X843" s="14"/>
      <c r="Y843" s="14"/>
      <c r="Z843" s="14"/>
      <c r="AA843" s="14"/>
      <c r="AB843" s="14"/>
    </row>
    <row r="844">
      <c r="C844" s="93"/>
      <c r="D844" s="93"/>
      <c r="G844" s="60"/>
      <c r="H844" s="93"/>
      <c r="I844" s="93"/>
      <c r="J844" s="93"/>
      <c r="S844" s="14"/>
      <c r="T844" s="14"/>
      <c r="U844" s="14"/>
      <c r="V844" s="14"/>
      <c r="W844" s="14"/>
      <c r="X844" s="14"/>
      <c r="Y844" s="14"/>
      <c r="Z844" s="14"/>
      <c r="AA844" s="14"/>
      <c r="AB844" s="14"/>
    </row>
    <row r="845">
      <c r="C845" s="93"/>
      <c r="D845" s="93"/>
      <c r="G845" s="60"/>
      <c r="H845" s="93"/>
      <c r="I845" s="93"/>
      <c r="J845" s="93"/>
      <c r="S845" s="14"/>
      <c r="T845" s="14"/>
      <c r="U845" s="14"/>
      <c r="V845" s="14"/>
      <c r="W845" s="14"/>
      <c r="X845" s="14"/>
      <c r="Y845" s="14"/>
      <c r="Z845" s="14"/>
      <c r="AA845" s="14"/>
      <c r="AB845" s="14"/>
    </row>
    <row r="846">
      <c r="C846" s="93"/>
      <c r="D846" s="93"/>
      <c r="G846" s="60"/>
      <c r="H846" s="93"/>
      <c r="I846" s="93"/>
      <c r="J846" s="93"/>
      <c r="S846" s="14"/>
      <c r="T846" s="14"/>
      <c r="U846" s="14"/>
      <c r="V846" s="14"/>
      <c r="W846" s="14"/>
      <c r="X846" s="14"/>
      <c r="Y846" s="14"/>
      <c r="Z846" s="14"/>
      <c r="AA846" s="14"/>
      <c r="AB846" s="14"/>
    </row>
    <row r="847">
      <c r="C847" s="93"/>
      <c r="D847" s="93"/>
      <c r="G847" s="60"/>
      <c r="H847" s="93"/>
      <c r="I847" s="93"/>
      <c r="J847" s="93"/>
      <c r="S847" s="14"/>
      <c r="T847" s="14"/>
      <c r="U847" s="14"/>
      <c r="V847" s="14"/>
      <c r="W847" s="14"/>
      <c r="X847" s="14"/>
      <c r="Y847" s="14"/>
      <c r="Z847" s="14"/>
      <c r="AA847" s="14"/>
      <c r="AB847" s="14"/>
    </row>
    <row r="848">
      <c r="C848" s="93"/>
      <c r="D848" s="93"/>
      <c r="G848" s="60"/>
      <c r="H848" s="93"/>
      <c r="I848" s="93"/>
      <c r="J848" s="93"/>
      <c r="S848" s="14"/>
      <c r="T848" s="14"/>
      <c r="U848" s="14"/>
      <c r="V848" s="14"/>
      <c r="W848" s="14"/>
      <c r="X848" s="14"/>
      <c r="Y848" s="14"/>
      <c r="Z848" s="14"/>
      <c r="AA848" s="14"/>
      <c r="AB848" s="14"/>
    </row>
    <row r="849">
      <c r="C849" s="93"/>
      <c r="D849" s="93"/>
      <c r="G849" s="60"/>
      <c r="H849" s="93"/>
      <c r="I849" s="93"/>
      <c r="J849" s="93"/>
      <c r="S849" s="14"/>
      <c r="T849" s="14"/>
      <c r="U849" s="14"/>
      <c r="V849" s="14"/>
      <c r="W849" s="14"/>
      <c r="X849" s="14"/>
      <c r="Y849" s="14"/>
      <c r="Z849" s="14"/>
      <c r="AA849" s="14"/>
      <c r="AB849" s="14"/>
    </row>
    <row r="850">
      <c r="C850" s="93"/>
      <c r="D850" s="93"/>
      <c r="G850" s="60"/>
      <c r="H850" s="93"/>
      <c r="I850" s="93"/>
      <c r="J850" s="93"/>
      <c r="S850" s="14"/>
      <c r="T850" s="14"/>
      <c r="U850" s="14"/>
      <c r="V850" s="14"/>
      <c r="W850" s="14"/>
      <c r="X850" s="14"/>
      <c r="Y850" s="14"/>
      <c r="Z850" s="14"/>
      <c r="AA850" s="14"/>
      <c r="AB850" s="14"/>
    </row>
    <row r="851">
      <c r="C851" s="93"/>
      <c r="D851" s="93"/>
      <c r="G851" s="60"/>
      <c r="H851" s="93"/>
      <c r="I851" s="93"/>
      <c r="J851" s="93"/>
      <c r="S851" s="14"/>
      <c r="T851" s="14"/>
      <c r="U851" s="14"/>
      <c r="V851" s="14"/>
      <c r="W851" s="14"/>
      <c r="X851" s="14"/>
      <c r="Y851" s="14"/>
      <c r="Z851" s="14"/>
      <c r="AA851" s="14"/>
      <c r="AB851" s="14"/>
    </row>
    <row r="852">
      <c r="C852" s="93"/>
      <c r="D852" s="93"/>
      <c r="G852" s="60"/>
      <c r="H852" s="93"/>
      <c r="I852" s="93"/>
      <c r="J852" s="93"/>
      <c r="S852" s="14"/>
      <c r="T852" s="14"/>
      <c r="U852" s="14"/>
      <c r="V852" s="14"/>
      <c r="W852" s="14"/>
      <c r="X852" s="14"/>
      <c r="Y852" s="14"/>
      <c r="Z852" s="14"/>
      <c r="AA852" s="14"/>
      <c r="AB852" s="14"/>
    </row>
    <row r="853">
      <c r="C853" s="93"/>
      <c r="D853" s="93"/>
      <c r="G853" s="60"/>
      <c r="H853" s="93"/>
      <c r="I853" s="93"/>
      <c r="J853" s="93"/>
      <c r="S853" s="14"/>
      <c r="T853" s="14"/>
      <c r="U853" s="14"/>
      <c r="V853" s="14"/>
      <c r="W853" s="14"/>
      <c r="X853" s="14"/>
      <c r="Y853" s="14"/>
      <c r="Z853" s="14"/>
      <c r="AA853" s="14"/>
      <c r="AB853" s="14"/>
    </row>
    <row r="854">
      <c r="C854" s="93"/>
      <c r="D854" s="93"/>
      <c r="G854" s="60"/>
      <c r="H854" s="93"/>
      <c r="I854" s="93"/>
      <c r="J854" s="93"/>
      <c r="S854" s="14"/>
      <c r="T854" s="14"/>
      <c r="U854" s="14"/>
      <c r="V854" s="14"/>
      <c r="W854" s="14"/>
      <c r="X854" s="14"/>
      <c r="Y854" s="14"/>
      <c r="Z854" s="14"/>
      <c r="AA854" s="14"/>
      <c r="AB854" s="14"/>
    </row>
    <row r="855">
      <c r="C855" s="93"/>
      <c r="D855" s="93"/>
      <c r="G855" s="60"/>
      <c r="H855" s="93"/>
      <c r="I855" s="93"/>
      <c r="J855" s="93"/>
      <c r="S855" s="14"/>
      <c r="T855" s="14"/>
      <c r="U855" s="14"/>
      <c r="V855" s="14"/>
      <c r="W855" s="14"/>
      <c r="X855" s="14"/>
      <c r="Y855" s="14"/>
      <c r="Z855" s="14"/>
      <c r="AA855" s="14"/>
      <c r="AB855" s="14"/>
    </row>
    <row r="856">
      <c r="C856" s="93"/>
      <c r="D856" s="93"/>
      <c r="G856" s="60"/>
      <c r="H856" s="93"/>
      <c r="I856" s="93"/>
      <c r="J856" s="93"/>
      <c r="S856" s="14"/>
      <c r="T856" s="14"/>
      <c r="U856" s="14"/>
      <c r="V856" s="14"/>
      <c r="W856" s="14"/>
      <c r="X856" s="14"/>
      <c r="Y856" s="14"/>
      <c r="Z856" s="14"/>
      <c r="AA856" s="14"/>
      <c r="AB856" s="14"/>
    </row>
    <row r="857">
      <c r="C857" s="93"/>
      <c r="D857" s="93"/>
      <c r="G857" s="60"/>
      <c r="H857" s="93"/>
      <c r="I857" s="93"/>
      <c r="J857" s="93"/>
      <c r="S857" s="14"/>
      <c r="T857" s="14"/>
      <c r="U857" s="14"/>
      <c r="V857" s="14"/>
      <c r="W857" s="14"/>
      <c r="X857" s="14"/>
      <c r="Y857" s="14"/>
      <c r="Z857" s="14"/>
      <c r="AA857" s="14"/>
      <c r="AB857" s="14"/>
    </row>
    <row r="858">
      <c r="C858" s="93"/>
      <c r="D858" s="93"/>
      <c r="G858" s="60"/>
      <c r="H858" s="93"/>
      <c r="I858" s="93"/>
      <c r="J858" s="93"/>
      <c r="S858" s="14"/>
      <c r="T858" s="14"/>
      <c r="U858" s="14"/>
      <c r="V858" s="14"/>
      <c r="W858" s="14"/>
      <c r="X858" s="14"/>
      <c r="Y858" s="14"/>
      <c r="Z858" s="14"/>
      <c r="AA858" s="14"/>
      <c r="AB858" s="14"/>
    </row>
    <row r="859">
      <c r="C859" s="93"/>
      <c r="D859" s="93"/>
      <c r="G859" s="60"/>
      <c r="H859" s="93"/>
      <c r="I859" s="93"/>
      <c r="J859" s="93"/>
      <c r="S859" s="14"/>
      <c r="T859" s="14"/>
      <c r="U859" s="14"/>
      <c r="V859" s="14"/>
      <c r="W859" s="14"/>
      <c r="X859" s="14"/>
      <c r="Y859" s="14"/>
      <c r="Z859" s="14"/>
      <c r="AA859" s="14"/>
      <c r="AB859" s="14"/>
    </row>
    <row r="860">
      <c r="C860" s="93"/>
      <c r="D860" s="93"/>
      <c r="G860" s="60"/>
      <c r="H860" s="93"/>
      <c r="I860" s="93"/>
      <c r="J860" s="93"/>
      <c r="S860" s="14"/>
      <c r="T860" s="14"/>
      <c r="U860" s="14"/>
      <c r="V860" s="14"/>
      <c r="W860" s="14"/>
      <c r="X860" s="14"/>
      <c r="Y860" s="14"/>
      <c r="Z860" s="14"/>
      <c r="AA860" s="14"/>
      <c r="AB860" s="14"/>
    </row>
    <row r="861">
      <c r="C861" s="93"/>
      <c r="D861" s="93"/>
      <c r="G861" s="60"/>
      <c r="H861" s="93"/>
      <c r="I861" s="93"/>
      <c r="J861" s="93"/>
      <c r="S861" s="14"/>
      <c r="T861" s="14"/>
      <c r="U861" s="14"/>
      <c r="V861" s="14"/>
      <c r="W861" s="14"/>
      <c r="X861" s="14"/>
      <c r="Y861" s="14"/>
      <c r="Z861" s="14"/>
      <c r="AA861" s="14"/>
      <c r="AB861" s="14"/>
    </row>
    <row r="862">
      <c r="C862" s="93"/>
      <c r="D862" s="93"/>
      <c r="G862" s="60"/>
      <c r="H862" s="93"/>
      <c r="I862" s="93"/>
      <c r="J862" s="93"/>
      <c r="S862" s="14"/>
      <c r="T862" s="14"/>
      <c r="U862" s="14"/>
      <c r="V862" s="14"/>
      <c r="W862" s="14"/>
      <c r="X862" s="14"/>
      <c r="Y862" s="14"/>
      <c r="Z862" s="14"/>
      <c r="AA862" s="14"/>
      <c r="AB862" s="14"/>
    </row>
    <row r="863">
      <c r="C863" s="93"/>
      <c r="D863" s="93"/>
      <c r="G863" s="60"/>
      <c r="H863" s="93"/>
      <c r="I863" s="93"/>
      <c r="J863" s="93"/>
      <c r="S863" s="14"/>
      <c r="T863" s="14"/>
      <c r="U863" s="14"/>
      <c r="V863" s="14"/>
      <c r="W863" s="14"/>
      <c r="X863" s="14"/>
      <c r="Y863" s="14"/>
      <c r="Z863" s="14"/>
      <c r="AA863" s="14"/>
      <c r="AB863" s="14"/>
    </row>
    <row r="864">
      <c r="C864" s="93"/>
      <c r="D864" s="93"/>
      <c r="G864" s="60"/>
      <c r="H864" s="93"/>
      <c r="I864" s="93"/>
      <c r="J864" s="93"/>
      <c r="S864" s="14"/>
      <c r="T864" s="14"/>
      <c r="U864" s="14"/>
      <c r="V864" s="14"/>
      <c r="W864" s="14"/>
      <c r="X864" s="14"/>
      <c r="Y864" s="14"/>
      <c r="Z864" s="14"/>
      <c r="AA864" s="14"/>
      <c r="AB864" s="14"/>
    </row>
    <row r="865">
      <c r="C865" s="93"/>
      <c r="D865" s="93"/>
      <c r="G865" s="60"/>
      <c r="H865" s="93"/>
      <c r="I865" s="93"/>
      <c r="J865" s="93"/>
      <c r="S865" s="14"/>
      <c r="T865" s="14"/>
      <c r="U865" s="14"/>
      <c r="V865" s="14"/>
      <c r="W865" s="14"/>
      <c r="X865" s="14"/>
      <c r="Y865" s="14"/>
      <c r="Z865" s="14"/>
      <c r="AA865" s="14"/>
      <c r="AB865" s="14"/>
    </row>
    <row r="866">
      <c r="C866" s="93"/>
      <c r="D866" s="93"/>
      <c r="G866" s="60"/>
      <c r="H866" s="93"/>
      <c r="I866" s="93"/>
      <c r="J866" s="93"/>
      <c r="S866" s="14"/>
      <c r="T866" s="14"/>
      <c r="U866" s="14"/>
      <c r="V866" s="14"/>
      <c r="W866" s="14"/>
      <c r="X866" s="14"/>
      <c r="Y866" s="14"/>
      <c r="Z866" s="14"/>
      <c r="AA866" s="14"/>
      <c r="AB866" s="14"/>
    </row>
    <row r="867">
      <c r="C867" s="93"/>
      <c r="D867" s="93"/>
      <c r="G867" s="60"/>
      <c r="H867" s="93"/>
      <c r="I867" s="93"/>
      <c r="J867" s="93"/>
      <c r="S867" s="14"/>
      <c r="T867" s="14"/>
      <c r="U867" s="14"/>
      <c r="V867" s="14"/>
      <c r="W867" s="14"/>
      <c r="X867" s="14"/>
      <c r="Y867" s="14"/>
      <c r="Z867" s="14"/>
      <c r="AA867" s="14"/>
      <c r="AB867" s="14"/>
    </row>
    <row r="868">
      <c r="C868" s="93"/>
      <c r="D868" s="93"/>
      <c r="G868" s="60"/>
      <c r="H868" s="93"/>
      <c r="I868" s="93"/>
      <c r="J868" s="93"/>
      <c r="S868" s="14"/>
      <c r="T868" s="14"/>
      <c r="U868" s="14"/>
      <c r="V868" s="14"/>
      <c r="W868" s="14"/>
      <c r="X868" s="14"/>
      <c r="Y868" s="14"/>
      <c r="Z868" s="14"/>
      <c r="AA868" s="14"/>
      <c r="AB868" s="14"/>
    </row>
    <row r="869">
      <c r="C869" s="93"/>
      <c r="D869" s="93"/>
      <c r="G869" s="60"/>
      <c r="H869" s="93"/>
      <c r="I869" s="93"/>
      <c r="J869" s="93"/>
      <c r="S869" s="14"/>
      <c r="T869" s="14"/>
      <c r="U869" s="14"/>
      <c r="V869" s="14"/>
      <c r="W869" s="14"/>
      <c r="X869" s="14"/>
      <c r="Y869" s="14"/>
      <c r="Z869" s="14"/>
      <c r="AA869" s="14"/>
      <c r="AB869" s="14"/>
    </row>
    <row r="870">
      <c r="C870" s="93"/>
      <c r="D870" s="93"/>
      <c r="G870" s="60"/>
      <c r="H870" s="93"/>
      <c r="I870" s="93"/>
      <c r="J870" s="93"/>
      <c r="S870" s="14"/>
      <c r="T870" s="14"/>
      <c r="U870" s="14"/>
      <c r="V870" s="14"/>
      <c r="W870" s="14"/>
      <c r="X870" s="14"/>
      <c r="Y870" s="14"/>
      <c r="Z870" s="14"/>
      <c r="AA870" s="14"/>
      <c r="AB870" s="14"/>
    </row>
    <row r="871">
      <c r="C871" s="93"/>
      <c r="D871" s="93"/>
      <c r="G871" s="60"/>
      <c r="H871" s="93"/>
      <c r="I871" s="93"/>
      <c r="J871" s="93"/>
      <c r="S871" s="14"/>
      <c r="T871" s="14"/>
      <c r="U871" s="14"/>
      <c r="V871" s="14"/>
      <c r="W871" s="14"/>
      <c r="X871" s="14"/>
      <c r="Y871" s="14"/>
      <c r="Z871" s="14"/>
      <c r="AA871" s="14"/>
      <c r="AB871" s="14"/>
    </row>
    <row r="872">
      <c r="C872" s="93"/>
      <c r="D872" s="93"/>
      <c r="G872" s="60"/>
      <c r="H872" s="93"/>
      <c r="I872" s="93"/>
      <c r="J872" s="93"/>
      <c r="S872" s="14"/>
      <c r="T872" s="14"/>
      <c r="U872" s="14"/>
      <c r="V872" s="14"/>
      <c r="W872" s="14"/>
      <c r="X872" s="14"/>
      <c r="Y872" s="14"/>
      <c r="Z872" s="14"/>
      <c r="AA872" s="14"/>
      <c r="AB872" s="14"/>
    </row>
    <row r="873">
      <c r="C873" s="93"/>
      <c r="D873" s="93"/>
      <c r="G873" s="60"/>
      <c r="H873" s="93"/>
      <c r="I873" s="93"/>
      <c r="J873" s="93"/>
      <c r="S873" s="14"/>
      <c r="T873" s="14"/>
      <c r="U873" s="14"/>
      <c r="V873" s="14"/>
      <c r="W873" s="14"/>
      <c r="X873" s="14"/>
      <c r="Y873" s="14"/>
      <c r="Z873" s="14"/>
      <c r="AA873" s="14"/>
      <c r="AB873" s="14"/>
    </row>
    <row r="874">
      <c r="C874" s="93"/>
      <c r="D874" s="93"/>
      <c r="G874" s="60"/>
      <c r="H874" s="93"/>
      <c r="I874" s="93"/>
      <c r="J874" s="93"/>
      <c r="S874" s="14"/>
      <c r="T874" s="14"/>
      <c r="U874" s="14"/>
      <c r="V874" s="14"/>
      <c r="W874" s="14"/>
      <c r="X874" s="14"/>
      <c r="Y874" s="14"/>
      <c r="Z874" s="14"/>
      <c r="AA874" s="14"/>
      <c r="AB874" s="14"/>
    </row>
    <row r="875">
      <c r="C875" s="93"/>
      <c r="D875" s="93"/>
      <c r="G875" s="60"/>
      <c r="H875" s="93"/>
      <c r="I875" s="93"/>
      <c r="J875" s="93"/>
      <c r="S875" s="14"/>
      <c r="T875" s="14"/>
      <c r="U875" s="14"/>
      <c r="V875" s="14"/>
      <c r="W875" s="14"/>
      <c r="X875" s="14"/>
      <c r="Y875" s="14"/>
      <c r="Z875" s="14"/>
      <c r="AA875" s="14"/>
      <c r="AB875" s="14"/>
    </row>
    <row r="876">
      <c r="C876" s="93"/>
      <c r="D876" s="93"/>
      <c r="G876" s="60"/>
      <c r="H876" s="93"/>
      <c r="I876" s="93"/>
      <c r="J876" s="93"/>
      <c r="S876" s="14"/>
      <c r="T876" s="14"/>
      <c r="U876" s="14"/>
      <c r="V876" s="14"/>
      <c r="W876" s="14"/>
      <c r="X876" s="14"/>
      <c r="Y876" s="14"/>
      <c r="Z876" s="14"/>
      <c r="AA876" s="14"/>
      <c r="AB876" s="14"/>
    </row>
    <row r="877">
      <c r="C877" s="93"/>
      <c r="D877" s="93"/>
      <c r="G877" s="60"/>
      <c r="H877" s="93"/>
      <c r="I877" s="93"/>
      <c r="J877" s="93"/>
      <c r="S877" s="14"/>
      <c r="T877" s="14"/>
      <c r="U877" s="14"/>
      <c r="V877" s="14"/>
      <c r="W877" s="14"/>
      <c r="X877" s="14"/>
      <c r="Y877" s="14"/>
      <c r="Z877" s="14"/>
      <c r="AA877" s="14"/>
      <c r="AB877" s="14"/>
    </row>
    <row r="878">
      <c r="C878" s="93"/>
      <c r="D878" s="93"/>
      <c r="G878" s="60"/>
      <c r="H878" s="93"/>
      <c r="I878" s="93"/>
      <c r="J878" s="93"/>
      <c r="S878" s="14"/>
      <c r="T878" s="14"/>
      <c r="U878" s="14"/>
      <c r="V878" s="14"/>
      <c r="W878" s="14"/>
      <c r="X878" s="14"/>
      <c r="Y878" s="14"/>
      <c r="Z878" s="14"/>
      <c r="AA878" s="14"/>
      <c r="AB878" s="14"/>
    </row>
    <row r="879">
      <c r="C879" s="93"/>
      <c r="D879" s="93"/>
      <c r="G879" s="60"/>
      <c r="H879" s="93"/>
      <c r="I879" s="93"/>
      <c r="J879" s="93"/>
      <c r="S879" s="14"/>
      <c r="T879" s="14"/>
      <c r="U879" s="14"/>
      <c r="V879" s="14"/>
      <c r="W879" s="14"/>
      <c r="X879" s="14"/>
      <c r="Y879" s="14"/>
      <c r="Z879" s="14"/>
      <c r="AA879" s="14"/>
      <c r="AB879" s="14"/>
    </row>
    <row r="880">
      <c r="C880" s="93"/>
      <c r="D880" s="93"/>
      <c r="G880" s="60"/>
      <c r="H880" s="93"/>
      <c r="I880" s="93"/>
      <c r="J880" s="93"/>
      <c r="S880" s="14"/>
      <c r="T880" s="14"/>
      <c r="U880" s="14"/>
      <c r="V880" s="14"/>
      <c r="W880" s="14"/>
      <c r="X880" s="14"/>
      <c r="Y880" s="14"/>
      <c r="Z880" s="14"/>
      <c r="AA880" s="14"/>
      <c r="AB880" s="14"/>
    </row>
    <row r="881">
      <c r="C881" s="93"/>
      <c r="D881" s="93"/>
      <c r="G881" s="60"/>
      <c r="H881" s="93"/>
      <c r="I881" s="93"/>
      <c r="J881" s="93"/>
      <c r="S881" s="14"/>
      <c r="T881" s="14"/>
      <c r="U881" s="14"/>
      <c r="V881" s="14"/>
      <c r="W881" s="14"/>
      <c r="X881" s="14"/>
      <c r="Y881" s="14"/>
      <c r="Z881" s="14"/>
      <c r="AA881" s="14"/>
      <c r="AB881" s="14"/>
    </row>
    <row r="882">
      <c r="C882" s="93"/>
      <c r="D882" s="93"/>
      <c r="G882" s="60"/>
      <c r="H882" s="93"/>
      <c r="I882" s="93"/>
      <c r="J882" s="93"/>
      <c r="S882" s="14"/>
      <c r="T882" s="14"/>
      <c r="U882" s="14"/>
      <c r="V882" s="14"/>
      <c r="W882" s="14"/>
      <c r="X882" s="14"/>
      <c r="Y882" s="14"/>
      <c r="Z882" s="14"/>
      <c r="AA882" s="14"/>
      <c r="AB882" s="14"/>
    </row>
    <row r="883">
      <c r="C883" s="93"/>
      <c r="D883" s="93"/>
      <c r="G883" s="60"/>
      <c r="H883" s="93"/>
      <c r="I883" s="93"/>
      <c r="J883" s="93"/>
      <c r="S883" s="14"/>
      <c r="T883" s="14"/>
      <c r="U883" s="14"/>
      <c r="V883" s="14"/>
      <c r="W883" s="14"/>
      <c r="X883" s="14"/>
      <c r="Y883" s="14"/>
      <c r="Z883" s="14"/>
      <c r="AA883" s="14"/>
      <c r="AB883" s="14"/>
    </row>
    <row r="884">
      <c r="C884" s="93"/>
      <c r="D884" s="93"/>
      <c r="G884" s="60"/>
      <c r="H884" s="93"/>
      <c r="I884" s="93"/>
      <c r="J884" s="93"/>
      <c r="S884" s="14"/>
      <c r="T884" s="14"/>
      <c r="U884" s="14"/>
      <c r="V884" s="14"/>
      <c r="W884" s="14"/>
      <c r="X884" s="14"/>
      <c r="Y884" s="14"/>
      <c r="Z884" s="14"/>
      <c r="AA884" s="14"/>
      <c r="AB884" s="14"/>
    </row>
    <row r="885">
      <c r="C885" s="93"/>
      <c r="D885" s="93"/>
      <c r="G885" s="60"/>
      <c r="H885" s="93"/>
      <c r="I885" s="93"/>
      <c r="J885" s="93"/>
      <c r="S885" s="14"/>
      <c r="T885" s="14"/>
      <c r="U885" s="14"/>
      <c r="V885" s="14"/>
      <c r="W885" s="14"/>
      <c r="X885" s="14"/>
      <c r="Y885" s="14"/>
      <c r="Z885" s="14"/>
      <c r="AA885" s="14"/>
      <c r="AB885" s="14"/>
    </row>
    <row r="886">
      <c r="C886" s="93"/>
      <c r="D886" s="93"/>
      <c r="G886" s="60"/>
      <c r="H886" s="93"/>
      <c r="I886" s="93"/>
      <c r="J886" s="93"/>
      <c r="S886" s="14"/>
      <c r="T886" s="14"/>
      <c r="U886" s="14"/>
      <c r="V886" s="14"/>
      <c r="W886" s="14"/>
      <c r="X886" s="14"/>
      <c r="Y886" s="14"/>
      <c r="Z886" s="14"/>
      <c r="AA886" s="14"/>
      <c r="AB886" s="14"/>
    </row>
    <row r="887">
      <c r="C887" s="93"/>
      <c r="D887" s="93"/>
      <c r="G887" s="60"/>
      <c r="H887" s="93"/>
      <c r="I887" s="93"/>
      <c r="J887" s="93"/>
      <c r="S887" s="14"/>
      <c r="T887" s="14"/>
      <c r="U887" s="14"/>
      <c r="V887" s="14"/>
      <c r="W887" s="14"/>
      <c r="X887" s="14"/>
      <c r="Y887" s="14"/>
      <c r="Z887" s="14"/>
      <c r="AA887" s="14"/>
      <c r="AB887" s="14"/>
    </row>
    <row r="888">
      <c r="C888" s="93"/>
      <c r="D888" s="93"/>
      <c r="G888" s="60"/>
      <c r="H888" s="93"/>
      <c r="I888" s="93"/>
      <c r="J888" s="93"/>
      <c r="S888" s="14"/>
      <c r="T888" s="14"/>
      <c r="U888" s="14"/>
      <c r="V888" s="14"/>
      <c r="W888" s="14"/>
      <c r="X888" s="14"/>
      <c r="Y888" s="14"/>
      <c r="Z888" s="14"/>
      <c r="AA888" s="14"/>
      <c r="AB888" s="14"/>
    </row>
    <row r="889">
      <c r="C889" s="93"/>
      <c r="D889" s="93"/>
      <c r="G889" s="60"/>
      <c r="H889" s="93"/>
      <c r="I889" s="93"/>
      <c r="J889" s="93"/>
      <c r="S889" s="14"/>
      <c r="T889" s="14"/>
      <c r="U889" s="14"/>
      <c r="V889" s="14"/>
      <c r="W889" s="14"/>
      <c r="X889" s="14"/>
      <c r="Y889" s="14"/>
      <c r="Z889" s="14"/>
      <c r="AA889" s="14"/>
      <c r="AB889" s="14"/>
    </row>
    <row r="890">
      <c r="C890" s="93"/>
      <c r="D890" s="93"/>
      <c r="G890" s="60"/>
      <c r="H890" s="93"/>
      <c r="I890" s="93"/>
      <c r="J890" s="93"/>
      <c r="S890" s="14"/>
      <c r="T890" s="14"/>
      <c r="U890" s="14"/>
      <c r="V890" s="14"/>
      <c r="W890" s="14"/>
      <c r="X890" s="14"/>
      <c r="Y890" s="14"/>
      <c r="Z890" s="14"/>
      <c r="AA890" s="14"/>
      <c r="AB890" s="14"/>
    </row>
    <row r="891">
      <c r="C891" s="93"/>
      <c r="D891" s="93"/>
      <c r="G891" s="60"/>
      <c r="H891" s="93"/>
      <c r="I891" s="93"/>
      <c r="J891" s="93"/>
      <c r="S891" s="14"/>
      <c r="T891" s="14"/>
      <c r="U891" s="14"/>
      <c r="V891" s="14"/>
      <c r="W891" s="14"/>
      <c r="X891" s="14"/>
      <c r="Y891" s="14"/>
      <c r="Z891" s="14"/>
      <c r="AA891" s="14"/>
      <c r="AB891" s="14"/>
    </row>
    <row r="892">
      <c r="C892" s="93"/>
      <c r="D892" s="93"/>
      <c r="G892" s="60"/>
      <c r="H892" s="93"/>
      <c r="I892" s="93"/>
      <c r="J892" s="93"/>
      <c r="S892" s="14"/>
      <c r="T892" s="14"/>
      <c r="U892" s="14"/>
      <c r="V892" s="14"/>
      <c r="W892" s="14"/>
      <c r="X892" s="14"/>
      <c r="Y892" s="14"/>
      <c r="Z892" s="14"/>
      <c r="AA892" s="14"/>
      <c r="AB892" s="14"/>
    </row>
    <row r="893">
      <c r="C893" s="93"/>
      <c r="D893" s="93"/>
      <c r="G893" s="60"/>
      <c r="H893" s="93"/>
      <c r="I893" s="93"/>
      <c r="J893" s="93"/>
      <c r="S893" s="14"/>
      <c r="T893" s="14"/>
      <c r="U893" s="14"/>
      <c r="V893" s="14"/>
      <c r="W893" s="14"/>
      <c r="X893" s="14"/>
      <c r="Y893" s="14"/>
      <c r="Z893" s="14"/>
      <c r="AA893" s="14"/>
      <c r="AB893" s="14"/>
    </row>
    <row r="894">
      <c r="C894" s="93"/>
      <c r="D894" s="93"/>
      <c r="G894" s="60"/>
      <c r="H894" s="93"/>
      <c r="I894" s="93"/>
      <c r="J894" s="93"/>
      <c r="S894" s="14"/>
      <c r="T894" s="14"/>
      <c r="U894" s="14"/>
      <c r="V894" s="14"/>
      <c r="W894" s="14"/>
      <c r="X894" s="14"/>
      <c r="Y894" s="14"/>
      <c r="Z894" s="14"/>
      <c r="AA894" s="14"/>
      <c r="AB894" s="14"/>
    </row>
    <row r="895">
      <c r="C895" s="93"/>
      <c r="D895" s="93"/>
      <c r="G895" s="60"/>
      <c r="H895" s="93"/>
      <c r="I895" s="93"/>
      <c r="J895" s="93"/>
      <c r="S895" s="14"/>
      <c r="T895" s="14"/>
      <c r="U895" s="14"/>
      <c r="V895" s="14"/>
      <c r="W895" s="14"/>
      <c r="X895" s="14"/>
      <c r="Y895" s="14"/>
      <c r="Z895" s="14"/>
      <c r="AA895" s="14"/>
      <c r="AB895" s="14"/>
    </row>
    <row r="896">
      <c r="C896" s="93"/>
      <c r="D896" s="93"/>
      <c r="G896" s="60"/>
      <c r="H896" s="93"/>
      <c r="I896" s="93"/>
      <c r="J896" s="93"/>
      <c r="S896" s="14"/>
      <c r="T896" s="14"/>
      <c r="U896" s="14"/>
      <c r="V896" s="14"/>
      <c r="W896" s="14"/>
      <c r="X896" s="14"/>
      <c r="Y896" s="14"/>
      <c r="Z896" s="14"/>
      <c r="AA896" s="14"/>
      <c r="AB896" s="14"/>
    </row>
    <row r="897">
      <c r="C897" s="93"/>
      <c r="D897" s="93"/>
      <c r="G897" s="60"/>
      <c r="H897" s="93"/>
      <c r="I897" s="93"/>
      <c r="J897" s="93"/>
      <c r="S897" s="14"/>
      <c r="T897" s="14"/>
      <c r="U897" s="14"/>
      <c r="V897" s="14"/>
      <c r="W897" s="14"/>
      <c r="X897" s="14"/>
      <c r="Y897" s="14"/>
      <c r="Z897" s="14"/>
      <c r="AA897" s="14"/>
      <c r="AB897" s="14"/>
    </row>
    <row r="898">
      <c r="C898" s="93"/>
      <c r="D898" s="93"/>
      <c r="G898" s="60"/>
      <c r="H898" s="93"/>
      <c r="I898" s="93"/>
      <c r="J898" s="93"/>
      <c r="S898" s="14"/>
      <c r="T898" s="14"/>
      <c r="U898" s="14"/>
      <c r="V898" s="14"/>
      <c r="W898" s="14"/>
      <c r="X898" s="14"/>
      <c r="Y898" s="14"/>
      <c r="Z898" s="14"/>
      <c r="AA898" s="14"/>
      <c r="AB898" s="14"/>
    </row>
    <row r="899">
      <c r="C899" s="93"/>
      <c r="D899" s="93"/>
      <c r="G899" s="60"/>
      <c r="H899" s="93"/>
      <c r="I899" s="93"/>
      <c r="J899" s="93"/>
      <c r="S899" s="14"/>
      <c r="T899" s="14"/>
      <c r="U899" s="14"/>
      <c r="V899" s="14"/>
      <c r="W899" s="14"/>
      <c r="X899" s="14"/>
      <c r="Y899" s="14"/>
      <c r="Z899" s="14"/>
      <c r="AA899" s="14"/>
      <c r="AB899" s="14"/>
    </row>
    <row r="900">
      <c r="C900" s="93"/>
      <c r="D900" s="93"/>
      <c r="G900" s="60"/>
      <c r="H900" s="93"/>
      <c r="I900" s="93"/>
      <c r="J900" s="93"/>
      <c r="S900" s="14"/>
      <c r="T900" s="14"/>
      <c r="U900" s="14"/>
      <c r="V900" s="14"/>
      <c r="W900" s="14"/>
      <c r="X900" s="14"/>
      <c r="Y900" s="14"/>
      <c r="Z900" s="14"/>
      <c r="AA900" s="14"/>
      <c r="AB900" s="14"/>
    </row>
    <row r="901">
      <c r="C901" s="93"/>
      <c r="D901" s="93"/>
      <c r="G901" s="60"/>
      <c r="H901" s="93"/>
      <c r="I901" s="93"/>
      <c r="J901" s="93"/>
      <c r="S901" s="14"/>
      <c r="T901" s="14"/>
      <c r="U901" s="14"/>
      <c r="V901" s="14"/>
      <c r="W901" s="14"/>
      <c r="X901" s="14"/>
      <c r="Y901" s="14"/>
      <c r="Z901" s="14"/>
      <c r="AA901" s="14"/>
      <c r="AB901" s="14"/>
    </row>
    <row r="902">
      <c r="C902" s="93"/>
      <c r="D902" s="93"/>
      <c r="G902" s="60"/>
      <c r="H902" s="93"/>
      <c r="I902" s="93"/>
      <c r="J902" s="93"/>
      <c r="S902" s="14"/>
      <c r="T902" s="14"/>
      <c r="U902" s="14"/>
      <c r="V902" s="14"/>
      <c r="W902" s="14"/>
      <c r="X902" s="14"/>
      <c r="Y902" s="14"/>
      <c r="Z902" s="14"/>
      <c r="AA902" s="14"/>
      <c r="AB902" s="14"/>
    </row>
    <row r="903">
      <c r="C903" s="93"/>
      <c r="D903" s="93"/>
      <c r="G903" s="60"/>
      <c r="H903" s="93"/>
      <c r="I903" s="93"/>
      <c r="J903" s="93"/>
      <c r="S903" s="14"/>
      <c r="T903" s="14"/>
      <c r="U903" s="14"/>
      <c r="V903" s="14"/>
      <c r="W903" s="14"/>
      <c r="X903" s="14"/>
      <c r="Y903" s="14"/>
      <c r="Z903" s="14"/>
      <c r="AA903" s="14"/>
      <c r="AB903" s="14"/>
    </row>
    <row r="904">
      <c r="C904" s="93"/>
      <c r="D904" s="93"/>
      <c r="G904" s="60"/>
      <c r="H904" s="93"/>
      <c r="I904" s="93"/>
      <c r="J904" s="93"/>
      <c r="S904" s="14"/>
      <c r="T904" s="14"/>
      <c r="U904" s="14"/>
      <c r="V904" s="14"/>
      <c r="W904" s="14"/>
      <c r="X904" s="14"/>
      <c r="Y904" s="14"/>
      <c r="Z904" s="14"/>
      <c r="AA904" s="14"/>
      <c r="AB904" s="14"/>
    </row>
    <row r="905">
      <c r="C905" s="93"/>
      <c r="D905" s="93"/>
      <c r="G905" s="60"/>
      <c r="H905" s="93"/>
      <c r="I905" s="93"/>
      <c r="J905" s="93"/>
      <c r="S905" s="14"/>
      <c r="T905" s="14"/>
      <c r="U905" s="14"/>
      <c r="V905" s="14"/>
      <c r="W905" s="14"/>
      <c r="X905" s="14"/>
      <c r="Y905" s="14"/>
      <c r="Z905" s="14"/>
      <c r="AA905" s="14"/>
      <c r="AB905" s="14"/>
    </row>
    <row r="906">
      <c r="C906" s="93"/>
      <c r="D906" s="93"/>
      <c r="G906" s="60"/>
      <c r="H906" s="93"/>
      <c r="I906" s="93"/>
      <c r="J906" s="93"/>
      <c r="S906" s="14"/>
      <c r="T906" s="14"/>
      <c r="U906" s="14"/>
      <c r="V906" s="14"/>
      <c r="W906" s="14"/>
      <c r="X906" s="14"/>
      <c r="Y906" s="14"/>
      <c r="Z906" s="14"/>
      <c r="AA906" s="14"/>
      <c r="AB906" s="14"/>
    </row>
    <row r="907">
      <c r="C907" s="93"/>
      <c r="D907" s="93"/>
      <c r="G907" s="60"/>
      <c r="H907" s="93"/>
      <c r="I907" s="93"/>
      <c r="J907" s="93"/>
      <c r="S907" s="14"/>
      <c r="T907" s="14"/>
      <c r="U907" s="14"/>
      <c r="V907" s="14"/>
      <c r="W907" s="14"/>
      <c r="X907" s="14"/>
      <c r="Y907" s="14"/>
      <c r="Z907" s="14"/>
      <c r="AA907" s="14"/>
      <c r="AB907" s="14"/>
    </row>
    <row r="908">
      <c r="C908" s="93"/>
      <c r="D908" s="93"/>
      <c r="G908" s="60"/>
      <c r="H908" s="93"/>
      <c r="I908" s="93"/>
      <c r="J908" s="93"/>
      <c r="S908" s="14"/>
      <c r="T908" s="14"/>
      <c r="U908" s="14"/>
      <c r="V908" s="14"/>
      <c r="W908" s="14"/>
      <c r="X908" s="14"/>
      <c r="Y908" s="14"/>
      <c r="Z908" s="14"/>
      <c r="AA908" s="14"/>
      <c r="AB908" s="14"/>
    </row>
    <row r="909">
      <c r="C909" s="93"/>
      <c r="D909" s="93"/>
      <c r="G909" s="60"/>
      <c r="H909" s="93"/>
      <c r="I909" s="93"/>
      <c r="J909" s="93"/>
      <c r="S909" s="14"/>
      <c r="T909" s="14"/>
      <c r="U909" s="14"/>
      <c r="V909" s="14"/>
      <c r="W909" s="14"/>
      <c r="X909" s="14"/>
      <c r="Y909" s="14"/>
      <c r="Z909" s="14"/>
      <c r="AA909" s="14"/>
      <c r="AB909" s="14"/>
    </row>
    <row r="910">
      <c r="C910" s="93"/>
      <c r="D910" s="93"/>
      <c r="G910" s="60"/>
      <c r="H910" s="93"/>
      <c r="I910" s="93"/>
      <c r="J910" s="93"/>
      <c r="S910" s="14"/>
      <c r="T910" s="14"/>
      <c r="U910" s="14"/>
      <c r="V910" s="14"/>
      <c r="W910" s="14"/>
      <c r="X910" s="14"/>
      <c r="Y910" s="14"/>
      <c r="Z910" s="14"/>
      <c r="AA910" s="14"/>
      <c r="AB910" s="14"/>
    </row>
    <row r="911">
      <c r="C911" s="93"/>
      <c r="D911" s="93"/>
      <c r="G911" s="60"/>
      <c r="H911" s="93"/>
      <c r="I911" s="93"/>
      <c r="J911" s="93"/>
      <c r="S911" s="14"/>
      <c r="T911" s="14"/>
      <c r="U911" s="14"/>
      <c r="V911" s="14"/>
      <c r="W911" s="14"/>
      <c r="X911" s="14"/>
      <c r="Y911" s="14"/>
      <c r="Z911" s="14"/>
      <c r="AA911" s="14"/>
      <c r="AB911" s="14"/>
    </row>
    <row r="912">
      <c r="C912" s="93"/>
      <c r="D912" s="93"/>
      <c r="G912" s="60"/>
      <c r="H912" s="93"/>
      <c r="I912" s="93"/>
      <c r="J912" s="93"/>
      <c r="S912" s="14"/>
      <c r="T912" s="14"/>
      <c r="U912" s="14"/>
      <c r="V912" s="14"/>
      <c r="W912" s="14"/>
      <c r="X912" s="14"/>
      <c r="Y912" s="14"/>
      <c r="Z912" s="14"/>
      <c r="AA912" s="14"/>
      <c r="AB912" s="14"/>
    </row>
    <row r="913">
      <c r="C913" s="93"/>
      <c r="D913" s="93"/>
      <c r="G913" s="60"/>
      <c r="H913" s="93"/>
      <c r="I913" s="93"/>
      <c r="J913" s="93"/>
      <c r="S913" s="14"/>
      <c r="T913" s="14"/>
      <c r="U913" s="14"/>
      <c r="V913" s="14"/>
      <c r="W913" s="14"/>
      <c r="X913" s="14"/>
      <c r="Y913" s="14"/>
      <c r="Z913" s="14"/>
      <c r="AA913" s="14"/>
      <c r="AB913" s="14"/>
    </row>
    <row r="914">
      <c r="C914" s="93"/>
      <c r="D914" s="93"/>
      <c r="G914" s="60"/>
      <c r="H914" s="93"/>
      <c r="I914" s="93"/>
      <c r="J914" s="93"/>
      <c r="S914" s="14"/>
      <c r="T914" s="14"/>
      <c r="U914" s="14"/>
      <c r="V914" s="14"/>
      <c r="W914" s="14"/>
      <c r="X914" s="14"/>
      <c r="Y914" s="14"/>
      <c r="Z914" s="14"/>
      <c r="AA914" s="14"/>
      <c r="AB914" s="14"/>
    </row>
    <row r="915">
      <c r="C915" s="93"/>
      <c r="D915" s="93"/>
      <c r="G915" s="60"/>
      <c r="H915" s="93"/>
      <c r="I915" s="93"/>
      <c r="J915" s="93"/>
      <c r="S915" s="14"/>
      <c r="T915" s="14"/>
      <c r="U915" s="14"/>
      <c r="V915" s="14"/>
      <c r="W915" s="14"/>
      <c r="X915" s="14"/>
      <c r="Y915" s="14"/>
      <c r="Z915" s="14"/>
      <c r="AA915" s="14"/>
      <c r="AB915" s="14"/>
    </row>
    <row r="916">
      <c r="C916" s="93"/>
      <c r="D916" s="93"/>
      <c r="G916" s="60"/>
      <c r="H916" s="93"/>
      <c r="I916" s="93"/>
      <c r="J916" s="93"/>
      <c r="S916" s="14"/>
      <c r="T916" s="14"/>
      <c r="U916" s="14"/>
      <c r="V916" s="14"/>
      <c r="W916" s="14"/>
      <c r="X916" s="14"/>
      <c r="Y916" s="14"/>
      <c r="Z916" s="14"/>
      <c r="AA916" s="14"/>
      <c r="AB916" s="14"/>
    </row>
    <row r="917">
      <c r="C917" s="93"/>
      <c r="D917" s="93"/>
      <c r="G917" s="60"/>
      <c r="H917" s="93"/>
      <c r="I917" s="93"/>
      <c r="J917" s="93"/>
      <c r="S917" s="14"/>
      <c r="T917" s="14"/>
      <c r="U917" s="14"/>
      <c r="V917" s="14"/>
      <c r="W917" s="14"/>
      <c r="X917" s="14"/>
      <c r="Y917" s="14"/>
      <c r="Z917" s="14"/>
      <c r="AA917" s="14"/>
      <c r="AB917" s="14"/>
    </row>
    <row r="918">
      <c r="C918" s="93"/>
      <c r="D918" s="93"/>
      <c r="G918" s="60"/>
      <c r="H918" s="93"/>
      <c r="I918" s="93"/>
      <c r="J918" s="93"/>
      <c r="S918" s="14"/>
      <c r="T918" s="14"/>
      <c r="U918" s="14"/>
      <c r="V918" s="14"/>
      <c r="W918" s="14"/>
      <c r="X918" s="14"/>
      <c r="Y918" s="14"/>
      <c r="Z918" s="14"/>
      <c r="AA918" s="14"/>
      <c r="AB918" s="14"/>
    </row>
    <row r="919">
      <c r="C919" s="93"/>
      <c r="D919" s="93"/>
      <c r="G919" s="60"/>
      <c r="H919" s="93"/>
      <c r="I919" s="93"/>
      <c r="J919" s="93"/>
      <c r="S919" s="14"/>
      <c r="T919" s="14"/>
      <c r="U919" s="14"/>
      <c r="V919" s="14"/>
      <c r="W919" s="14"/>
      <c r="X919" s="14"/>
      <c r="Y919" s="14"/>
      <c r="Z919" s="14"/>
      <c r="AA919" s="14"/>
      <c r="AB919" s="14"/>
    </row>
    <row r="920">
      <c r="C920" s="93"/>
      <c r="D920" s="93"/>
      <c r="G920" s="60"/>
      <c r="H920" s="93"/>
      <c r="I920" s="93"/>
      <c r="J920" s="93"/>
      <c r="S920" s="14"/>
      <c r="T920" s="14"/>
      <c r="U920" s="14"/>
      <c r="V920" s="14"/>
      <c r="W920" s="14"/>
      <c r="X920" s="14"/>
      <c r="Y920" s="14"/>
      <c r="Z920" s="14"/>
      <c r="AA920" s="14"/>
      <c r="AB920" s="14"/>
    </row>
    <row r="921">
      <c r="C921" s="93"/>
      <c r="D921" s="93"/>
      <c r="G921" s="60"/>
      <c r="H921" s="93"/>
      <c r="I921" s="93"/>
      <c r="J921" s="93"/>
      <c r="S921" s="14"/>
      <c r="T921" s="14"/>
      <c r="U921" s="14"/>
      <c r="V921" s="14"/>
      <c r="W921" s="14"/>
      <c r="X921" s="14"/>
      <c r="Y921" s="14"/>
      <c r="Z921" s="14"/>
      <c r="AA921" s="14"/>
      <c r="AB921" s="14"/>
    </row>
    <row r="922">
      <c r="C922" s="93"/>
      <c r="D922" s="93"/>
      <c r="G922" s="60"/>
      <c r="H922" s="93"/>
      <c r="I922" s="93"/>
      <c r="J922" s="93"/>
      <c r="S922" s="14"/>
      <c r="T922" s="14"/>
      <c r="U922" s="14"/>
      <c r="V922" s="14"/>
      <c r="W922" s="14"/>
      <c r="X922" s="14"/>
      <c r="Y922" s="14"/>
      <c r="Z922" s="14"/>
      <c r="AA922" s="14"/>
      <c r="AB922" s="14"/>
    </row>
    <row r="923">
      <c r="C923" s="93"/>
      <c r="D923" s="93"/>
      <c r="G923" s="60"/>
      <c r="H923" s="93"/>
      <c r="I923" s="93"/>
      <c r="J923" s="93"/>
      <c r="S923" s="14"/>
      <c r="T923" s="14"/>
      <c r="U923" s="14"/>
      <c r="V923" s="14"/>
      <c r="W923" s="14"/>
      <c r="X923" s="14"/>
      <c r="Y923" s="14"/>
      <c r="Z923" s="14"/>
      <c r="AA923" s="14"/>
      <c r="AB923" s="14"/>
    </row>
    <row r="924">
      <c r="C924" s="93"/>
      <c r="D924" s="93"/>
      <c r="G924" s="60"/>
      <c r="H924" s="93"/>
      <c r="I924" s="93"/>
      <c r="J924" s="93"/>
      <c r="S924" s="14"/>
      <c r="T924" s="14"/>
      <c r="U924" s="14"/>
      <c r="V924" s="14"/>
      <c r="W924" s="14"/>
      <c r="X924" s="14"/>
      <c r="Y924" s="14"/>
      <c r="Z924" s="14"/>
      <c r="AA924" s="14"/>
      <c r="AB924" s="14"/>
    </row>
    <row r="925">
      <c r="C925" s="93"/>
      <c r="D925" s="93"/>
      <c r="G925" s="60"/>
      <c r="H925" s="93"/>
      <c r="I925" s="93"/>
      <c r="J925" s="93"/>
      <c r="S925" s="14"/>
      <c r="T925" s="14"/>
      <c r="U925" s="14"/>
      <c r="V925" s="14"/>
      <c r="W925" s="14"/>
      <c r="X925" s="14"/>
      <c r="Y925" s="14"/>
      <c r="Z925" s="14"/>
      <c r="AA925" s="14"/>
      <c r="AB925" s="14"/>
    </row>
    <row r="926">
      <c r="C926" s="93"/>
      <c r="D926" s="93"/>
      <c r="G926" s="60"/>
      <c r="H926" s="93"/>
      <c r="I926" s="93"/>
      <c r="J926" s="93"/>
      <c r="S926" s="14"/>
      <c r="T926" s="14"/>
      <c r="U926" s="14"/>
      <c r="V926" s="14"/>
      <c r="W926" s="14"/>
      <c r="X926" s="14"/>
      <c r="Y926" s="14"/>
      <c r="Z926" s="14"/>
      <c r="AA926" s="14"/>
      <c r="AB926" s="14"/>
    </row>
    <row r="927">
      <c r="C927" s="93"/>
      <c r="D927" s="93"/>
      <c r="G927" s="60"/>
      <c r="H927" s="93"/>
      <c r="I927" s="93"/>
      <c r="J927" s="93"/>
      <c r="S927" s="14"/>
      <c r="T927" s="14"/>
      <c r="U927" s="14"/>
      <c r="V927" s="14"/>
      <c r="W927" s="14"/>
      <c r="X927" s="14"/>
      <c r="Y927" s="14"/>
      <c r="Z927" s="14"/>
      <c r="AA927" s="14"/>
      <c r="AB927" s="14"/>
    </row>
    <row r="928">
      <c r="C928" s="93"/>
      <c r="D928" s="93"/>
      <c r="G928" s="60"/>
      <c r="H928" s="93"/>
      <c r="I928" s="93"/>
      <c r="J928" s="93"/>
      <c r="S928" s="14"/>
      <c r="T928" s="14"/>
      <c r="U928" s="14"/>
      <c r="V928" s="14"/>
      <c r="W928" s="14"/>
      <c r="X928" s="14"/>
      <c r="Y928" s="14"/>
      <c r="Z928" s="14"/>
      <c r="AA928" s="14"/>
      <c r="AB928" s="14"/>
    </row>
    <row r="929">
      <c r="C929" s="93"/>
      <c r="D929" s="93"/>
      <c r="G929" s="60"/>
      <c r="H929" s="93"/>
      <c r="I929" s="93"/>
      <c r="J929" s="93"/>
      <c r="S929" s="14"/>
      <c r="T929" s="14"/>
      <c r="U929" s="14"/>
      <c r="V929" s="14"/>
      <c r="W929" s="14"/>
      <c r="X929" s="14"/>
      <c r="Y929" s="14"/>
      <c r="Z929" s="14"/>
      <c r="AA929" s="14"/>
      <c r="AB929" s="14"/>
    </row>
    <row r="930">
      <c r="C930" s="93"/>
      <c r="D930" s="93"/>
      <c r="G930" s="60"/>
      <c r="H930" s="93"/>
      <c r="I930" s="93"/>
      <c r="J930" s="93"/>
      <c r="S930" s="14"/>
      <c r="T930" s="14"/>
      <c r="U930" s="14"/>
      <c r="V930" s="14"/>
      <c r="W930" s="14"/>
      <c r="X930" s="14"/>
      <c r="Y930" s="14"/>
      <c r="Z930" s="14"/>
      <c r="AA930" s="14"/>
      <c r="AB930" s="14"/>
    </row>
    <row r="931">
      <c r="C931" s="93"/>
      <c r="D931" s="93"/>
      <c r="G931" s="60"/>
      <c r="H931" s="93"/>
      <c r="I931" s="93"/>
      <c r="J931" s="93"/>
      <c r="S931" s="14"/>
      <c r="T931" s="14"/>
      <c r="U931" s="14"/>
      <c r="V931" s="14"/>
      <c r="W931" s="14"/>
      <c r="X931" s="14"/>
      <c r="Y931" s="14"/>
      <c r="Z931" s="14"/>
      <c r="AA931" s="14"/>
      <c r="AB931" s="14"/>
    </row>
    <row r="932">
      <c r="C932" s="93"/>
      <c r="D932" s="93"/>
      <c r="G932" s="60"/>
      <c r="H932" s="93"/>
      <c r="I932" s="93"/>
      <c r="J932" s="93"/>
      <c r="S932" s="14"/>
      <c r="T932" s="14"/>
      <c r="U932" s="14"/>
      <c r="V932" s="14"/>
      <c r="W932" s="14"/>
      <c r="X932" s="14"/>
      <c r="Y932" s="14"/>
      <c r="Z932" s="14"/>
      <c r="AA932" s="14"/>
      <c r="AB932" s="14"/>
    </row>
    <row r="933">
      <c r="C933" s="93"/>
      <c r="D933" s="93"/>
      <c r="G933" s="60"/>
      <c r="H933" s="93"/>
      <c r="I933" s="93"/>
      <c r="J933" s="93"/>
      <c r="S933" s="14"/>
      <c r="T933" s="14"/>
      <c r="U933" s="14"/>
      <c r="V933" s="14"/>
      <c r="W933" s="14"/>
      <c r="X933" s="14"/>
      <c r="Y933" s="14"/>
      <c r="Z933" s="14"/>
      <c r="AA933" s="14"/>
      <c r="AB933" s="14"/>
    </row>
    <row r="934">
      <c r="C934" s="93"/>
      <c r="D934" s="93"/>
      <c r="G934" s="60"/>
      <c r="H934" s="93"/>
      <c r="I934" s="93"/>
      <c r="J934" s="93"/>
      <c r="S934" s="14"/>
      <c r="T934" s="14"/>
      <c r="U934" s="14"/>
      <c r="V934" s="14"/>
      <c r="W934" s="14"/>
      <c r="X934" s="14"/>
      <c r="Y934" s="14"/>
      <c r="Z934" s="14"/>
      <c r="AA934" s="14"/>
      <c r="AB934" s="14"/>
    </row>
    <row r="935">
      <c r="C935" s="93"/>
      <c r="D935" s="93"/>
      <c r="G935" s="60"/>
      <c r="H935" s="93"/>
      <c r="I935" s="93"/>
      <c r="J935" s="93"/>
      <c r="S935" s="14"/>
      <c r="T935" s="14"/>
      <c r="U935" s="14"/>
      <c r="V935" s="14"/>
      <c r="W935" s="14"/>
      <c r="X935" s="14"/>
      <c r="Y935" s="14"/>
      <c r="Z935" s="14"/>
      <c r="AA935" s="14"/>
      <c r="AB935" s="14"/>
    </row>
    <row r="936">
      <c r="C936" s="93"/>
      <c r="D936" s="93"/>
      <c r="G936" s="60"/>
      <c r="H936" s="93"/>
      <c r="I936" s="93"/>
      <c r="J936" s="93"/>
      <c r="S936" s="14"/>
      <c r="T936" s="14"/>
      <c r="U936" s="14"/>
      <c r="V936" s="14"/>
      <c r="W936" s="14"/>
      <c r="X936" s="14"/>
      <c r="Y936" s="14"/>
      <c r="Z936" s="14"/>
      <c r="AA936" s="14"/>
      <c r="AB936" s="14"/>
    </row>
    <row r="937">
      <c r="C937" s="93"/>
      <c r="D937" s="93"/>
      <c r="G937" s="60"/>
      <c r="H937" s="93"/>
      <c r="I937" s="93"/>
      <c r="J937" s="93"/>
      <c r="S937" s="14"/>
      <c r="T937" s="14"/>
      <c r="U937" s="14"/>
      <c r="V937" s="14"/>
      <c r="W937" s="14"/>
      <c r="X937" s="14"/>
      <c r="Y937" s="14"/>
      <c r="Z937" s="14"/>
      <c r="AA937" s="14"/>
      <c r="AB937" s="14"/>
    </row>
    <row r="938">
      <c r="C938" s="93"/>
      <c r="D938" s="93"/>
      <c r="G938" s="60"/>
      <c r="H938" s="93"/>
      <c r="I938" s="93"/>
      <c r="J938" s="93"/>
      <c r="S938" s="14"/>
      <c r="T938" s="14"/>
      <c r="U938" s="14"/>
      <c r="V938" s="14"/>
      <c r="W938" s="14"/>
      <c r="X938" s="14"/>
      <c r="Y938" s="14"/>
      <c r="Z938" s="14"/>
      <c r="AA938" s="14"/>
      <c r="AB938" s="14"/>
    </row>
    <row r="939">
      <c r="C939" s="93"/>
      <c r="D939" s="93"/>
      <c r="G939" s="60"/>
      <c r="H939" s="93"/>
      <c r="I939" s="93"/>
      <c r="J939" s="93"/>
      <c r="S939" s="14"/>
      <c r="T939" s="14"/>
      <c r="U939" s="14"/>
      <c r="V939" s="14"/>
      <c r="W939" s="14"/>
      <c r="X939" s="14"/>
      <c r="Y939" s="14"/>
      <c r="Z939" s="14"/>
      <c r="AA939" s="14"/>
      <c r="AB939" s="14"/>
    </row>
    <row r="940">
      <c r="C940" s="93"/>
      <c r="D940" s="93"/>
      <c r="G940" s="60"/>
      <c r="H940" s="93"/>
      <c r="I940" s="93"/>
      <c r="J940" s="93"/>
      <c r="S940" s="14"/>
      <c r="T940" s="14"/>
      <c r="U940" s="14"/>
      <c r="V940" s="14"/>
      <c r="W940" s="14"/>
      <c r="X940" s="14"/>
      <c r="Y940" s="14"/>
      <c r="Z940" s="14"/>
      <c r="AA940" s="14"/>
      <c r="AB940" s="14"/>
    </row>
    <row r="941">
      <c r="C941" s="93"/>
      <c r="D941" s="93"/>
      <c r="G941" s="60"/>
      <c r="H941" s="93"/>
      <c r="I941" s="93"/>
      <c r="J941" s="93"/>
      <c r="S941" s="14"/>
      <c r="T941" s="14"/>
      <c r="U941" s="14"/>
      <c r="V941" s="14"/>
      <c r="W941" s="14"/>
      <c r="X941" s="14"/>
      <c r="Y941" s="14"/>
      <c r="Z941" s="14"/>
      <c r="AA941" s="14"/>
      <c r="AB941" s="14"/>
    </row>
    <row r="942">
      <c r="C942" s="93"/>
      <c r="D942" s="93"/>
      <c r="G942" s="60"/>
      <c r="H942" s="93"/>
      <c r="I942" s="93"/>
      <c r="J942" s="93"/>
      <c r="S942" s="14"/>
      <c r="T942" s="14"/>
      <c r="U942" s="14"/>
      <c r="V942" s="14"/>
      <c r="W942" s="14"/>
      <c r="X942" s="14"/>
      <c r="Y942" s="14"/>
      <c r="Z942" s="14"/>
      <c r="AA942" s="14"/>
      <c r="AB942" s="14"/>
    </row>
    <row r="943">
      <c r="C943" s="93"/>
      <c r="D943" s="93"/>
      <c r="G943" s="60"/>
      <c r="H943" s="93"/>
      <c r="I943" s="93"/>
      <c r="J943" s="93"/>
      <c r="S943" s="14"/>
      <c r="T943" s="14"/>
      <c r="U943" s="14"/>
      <c r="V943" s="14"/>
      <c r="W943" s="14"/>
      <c r="X943" s="14"/>
      <c r="Y943" s="14"/>
      <c r="Z943" s="14"/>
      <c r="AA943" s="14"/>
      <c r="AB943" s="14"/>
    </row>
    <row r="944">
      <c r="C944" s="93"/>
      <c r="D944" s="93"/>
      <c r="G944" s="60"/>
      <c r="H944" s="93"/>
      <c r="I944" s="93"/>
      <c r="J944" s="93"/>
      <c r="S944" s="14"/>
      <c r="T944" s="14"/>
      <c r="U944" s="14"/>
      <c r="V944" s="14"/>
      <c r="W944" s="14"/>
      <c r="X944" s="14"/>
      <c r="Y944" s="14"/>
      <c r="Z944" s="14"/>
      <c r="AA944" s="14"/>
      <c r="AB944" s="14"/>
    </row>
    <row r="945">
      <c r="C945" s="93"/>
      <c r="D945" s="93"/>
      <c r="G945" s="60"/>
      <c r="H945" s="93"/>
      <c r="I945" s="93"/>
      <c r="J945" s="93"/>
      <c r="S945" s="14"/>
      <c r="T945" s="14"/>
      <c r="U945" s="14"/>
      <c r="V945" s="14"/>
      <c r="W945" s="14"/>
      <c r="X945" s="14"/>
      <c r="Y945" s="14"/>
      <c r="Z945" s="14"/>
      <c r="AA945" s="14"/>
      <c r="AB945" s="14"/>
    </row>
    <row r="946">
      <c r="C946" s="93"/>
      <c r="D946" s="93"/>
      <c r="G946" s="60"/>
      <c r="H946" s="93"/>
      <c r="I946" s="93"/>
      <c r="J946" s="93"/>
      <c r="S946" s="14"/>
      <c r="T946" s="14"/>
      <c r="U946" s="14"/>
      <c r="V946" s="14"/>
      <c r="W946" s="14"/>
      <c r="X946" s="14"/>
      <c r="Y946" s="14"/>
      <c r="Z946" s="14"/>
      <c r="AA946" s="14"/>
      <c r="AB946" s="14"/>
    </row>
    <row r="947">
      <c r="C947" s="93"/>
      <c r="D947" s="93"/>
      <c r="G947" s="60"/>
      <c r="H947" s="93"/>
      <c r="I947" s="93"/>
      <c r="J947" s="93"/>
      <c r="S947" s="14"/>
      <c r="T947" s="14"/>
      <c r="U947" s="14"/>
      <c r="V947" s="14"/>
      <c r="W947" s="14"/>
      <c r="X947" s="14"/>
      <c r="Y947" s="14"/>
      <c r="Z947" s="14"/>
      <c r="AA947" s="14"/>
      <c r="AB947" s="14"/>
    </row>
    <row r="948">
      <c r="C948" s="93"/>
      <c r="D948" s="93"/>
      <c r="G948" s="60"/>
      <c r="H948" s="93"/>
      <c r="I948" s="93"/>
      <c r="J948" s="93"/>
      <c r="S948" s="14"/>
      <c r="T948" s="14"/>
      <c r="U948" s="14"/>
      <c r="V948" s="14"/>
      <c r="W948" s="14"/>
      <c r="X948" s="14"/>
      <c r="Y948" s="14"/>
      <c r="Z948" s="14"/>
      <c r="AA948" s="14"/>
      <c r="AB948" s="14"/>
    </row>
    <row r="949">
      <c r="C949" s="93"/>
      <c r="D949" s="93"/>
      <c r="G949" s="60"/>
      <c r="H949" s="93"/>
      <c r="I949" s="93"/>
      <c r="J949" s="93"/>
      <c r="S949" s="14"/>
      <c r="T949" s="14"/>
      <c r="U949" s="14"/>
      <c r="V949" s="14"/>
      <c r="W949" s="14"/>
      <c r="X949" s="14"/>
      <c r="Y949" s="14"/>
      <c r="Z949" s="14"/>
      <c r="AA949" s="14"/>
      <c r="AB949" s="14"/>
    </row>
    <row r="950">
      <c r="C950" s="93"/>
      <c r="D950" s="93"/>
      <c r="G950" s="60"/>
      <c r="H950" s="93"/>
      <c r="I950" s="93"/>
      <c r="J950" s="93"/>
      <c r="S950" s="14"/>
      <c r="T950" s="14"/>
      <c r="U950" s="14"/>
      <c r="V950" s="14"/>
      <c r="W950" s="14"/>
      <c r="X950" s="14"/>
      <c r="Y950" s="14"/>
      <c r="Z950" s="14"/>
      <c r="AA950" s="14"/>
      <c r="AB950" s="14"/>
    </row>
    <row r="951">
      <c r="C951" s="93"/>
      <c r="D951" s="93"/>
      <c r="G951" s="60"/>
      <c r="H951" s="93"/>
      <c r="I951" s="93"/>
      <c r="J951" s="93"/>
      <c r="S951" s="14"/>
      <c r="T951" s="14"/>
      <c r="U951" s="14"/>
      <c r="V951" s="14"/>
      <c r="W951" s="14"/>
      <c r="X951" s="14"/>
      <c r="Y951" s="14"/>
      <c r="Z951" s="14"/>
      <c r="AA951" s="14"/>
      <c r="AB951" s="14"/>
    </row>
    <row r="952">
      <c r="C952" s="93"/>
      <c r="D952" s="93"/>
      <c r="G952" s="60"/>
      <c r="H952" s="93"/>
      <c r="I952" s="93"/>
      <c r="J952" s="93"/>
      <c r="S952" s="14"/>
      <c r="T952" s="14"/>
      <c r="U952" s="14"/>
      <c r="V952" s="14"/>
      <c r="W952" s="14"/>
      <c r="X952" s="14"/>
      <c r="Y952" s="14"/>
      <c r="Z952" s="14"/>
      <c r="AA952" s="14"/>
      <c r="AB952" s="14"/>
    </row>
    <row r="953">
      <c r="C953" s="93"/>
      <c r="D953" s="93"/>
      <c r="G953" s="60"/>
      <c r="H953" s="93"/>
      <c r="I953" s="93"/>
      <c r="J953" s="93"/>
      <c r="S953" s="14"/>
      <c r="T953" s="14"/>
      <c r="U953" s="14"/>
      <c r="V953" s="14"/>
      <c r="W953" s="14"/>
      <c r="X953" s="14"/>
      <c r="Y953" s="14"/>
      <c r="Z953" s="14"/>
      <c r="AA953" s="14"/>
      <c r="AB953" s="14"/>
    </row>
    <row r="954">
      <c r="C954" s="93"/>
      <c r="D954" s="93"/>
      <c r="G954" s="60"/>
      <c r="H954" s="93"/>
      <c r="I954" s="93"/>
      <c r="J954" s="93"/>
      <c r="S954" s="14"/>
      <c r="T954" s="14"/>
      <c r="U954" s="14"/>
      <c r="V954" s="14"/>
      <c r="W954" s="14"/>
      <c r="X954" s="14"/>
      <c r="Y954" s="14"/>
      <c r="Z954" s="14"/>
      <c r="AA954" s="14"/>
      <c r="AB954" s="14"/>
    </row>
    <row r="955">
      <c r="C955" s="93"/>
      <c r="D955" s="93"/>
      <c r="G955" s="60"/>
      <c r="H955" s="93"/>
      <c r="I955" s="93"/>
      <c r="J955" s="93"/>
      <c r="S955" s="14"/>
      <c r="T955" s="14"/>
      <c r="U955" s="14"/>
      <c r="V955" s="14"/>
      <c r="W955" s="14"/>
      <c r="X955" s="14"/>
      <c r="Y955" s="14"/>
      <c r="Z955" s="14"/>
      <c r="AA955" s="14"/>
      <c r="AB955" s="14"/>
    </row>
    <row r="956">
      <c r="C956" s="93"/>
      <c r="D956" s="93"/>
      <c r="G956" s="60"/>
      <c r="H956" s="93"/>
      <c r="I956" s="93"/>
      <c r="J956" s="93"/>
      <c r="S956" s="14"/>
      <c r="T956" s="14"/>
      <c r="U956" s="14"/>
      <c r="V956" s="14"/>
      <c r="W956" s="14"/>
      <c r="X956" s="14"/>
      <c r="Y956" s="14"/>
      <c r="Z956" s="14"/>
      <c r="AA956" s="14"/>
      <c r="AB956" s="14"/>
    </row>
    <row r="957">
      <c r="C957" s="93"/>
      <c r="D957" s="93"/>
      <c r="G957" s="60"/>
      <c r="H957" s="93"/>
      <c r="I957" s="93"/>
      <c r="J957" s="93"/>
      <c r="S957" s="14"/>
      <c r="T957" s="14"/>
      <c r="U957" s="14"/>
      <c r="V957" s="14"/>
      <c r="W957" s="14"/>
      <c r="X957" s="14"/>
      <c r="Y957" s="14"/>
      <c r="Z957" s="14"/>
      <c r="AA957" s="14"/>
      <c r="AB957" s="14"/>
    </row>
    <row r="958">
      <c r="C958" s="93"/>
      <c r="D958" s="93"/>
      <c r="G958" s="60"/>
      <c r="H958" s="93"/>
      <c r="I958" s="93"/>
      <c r="J958" s="93"/>
      <c r="S958" s="14"/>
      <c r="T958" s="14"/>
      <c r="U958" s="14"/>
      <c r="V958" s="14"/>
      <c r="W958" s="14"/>
      <c r="X958" s="14"/>
      <c r="Y958" s="14"/>
      <c r="Z958" s="14"/>
      <c r="AA958" s="14"/>
      <c r="AB958" s="14"/>
    </row>
    <row r="959">
      <c r="C959" s="93"/>
      <c r="D959" s="93"/>
      <c r="G959" s="60"/>
      <c r="H959" s="93"/>
      <c r="I959" s="93"/>
      <c r="J959" s="93"/>
      <c r="S959" s="14"/>
      <c r="T959" s="14"/>
      <c r="U959" s="14"/>
      <c r="V959" s="14"/>
      <c r="W959" s="14"/>
      <c r="X959" s="14"/>
      <c r="Y959" s="14"/>
      <c r="Z959" s="14"/>
      <c r="AA959" s="14"/>
      <c r="AB959" s="14"/>
    </row>
    <row r="960">
      <c r="C960" s="93"/>
      <c r="D960" s="93"/>
      <c r="G960" s="60"/>
      <c r="H960" s="93"/>
      <c r="I960" s="93"/>
      <c r="J960" s="93"/>
      <c r="S960" s="14"/>
      <c r="T960" s="14"/>
      <c r="U960" s="14"/>
      <c r="V960" s="14"/>
      <c r="W960" s="14"/>
      <c r="X960" s="14"/>
      <c r="Y960" s="14"/>
      <c r="Z960" s="14"/>
      <c r="AA960" s="14"/>
      <c r="AB960" s="14"/>
    </row>
    <row r="961">
      <c r="C961" s="93"/>
      <c r="D961" s="93"/>
      <c r="G961" s="60"/>
      <c r="H961" s="93"/>
      <c r="I961" s="93"/>
      <c r="J961" s="93"/>
      <c r="S961" s="14"/>
      <c r="T961" s="14"/>
      <c r="U961" s="14"/>
      <c r="V961" s="14"/>
      <c r="W961" s="14"/>
      <c r="X961" s="14"/>
      <c r="Y961" s="14"/>
      <c r="Z961" s="14"/>
      <c r="AA961" s="14"/>
      <c r="AB961" s="14"/>
    </row>
    <row r="962">
      <c r="C962" s="93"/>
      <c r="D962" s="93"/>
      <c r="G962" s="60"/>
      <c r="H962" s="93"/>
      <c r="I962" s="93"/>
      <c r="J962" s="93"/>
      <c r="S962" s="14"/>
      <c r="T962" s="14"/>
      <c r="U962" s="14"/>
      <c r="V962" s="14"/>
      <c r="W962" s="14"/>
      <c r="X962" s="14"/>
      <c r="Y962" s="14"/>
      <c r="Z962" s="14"/>
      <c r="AA962" s="14"/>
      <c r="AB962" s="14"/>
    </row>
    <row r="963">
      <c r="C963" s="93"/>
      <c r="D963" s="93"/>
      <c r="G963" s="60"/>
      <c r="H963" s="93"/>
      <c r="I963" s="93"/>
      <c r="J963" s="93"/>
      <c r="S963" s="14"/>
      <c r="T963" s="14"/>
      <c r="U963" s="14"/>
      <c r="V963" s="14"/>
      <c r="W963" s="14"/>
      <c r="X963" s="14"/>
      <c r="Y963" s="14"/>
      <c r="Z963" s="14"/>
      <c r="AA963" s="14"/>
      <c r="AB963" s="14"/>
    </row>
    <row r="964">
      <c r="C964" s="93"/>
      <c r="D964" s="93"/>
      <c r="G964" s="60"/>
      <c r="H964" s="93"/>
      <c r="I964" s="93"/>
      <c r="J964" s="93"/>
      <c r="S964" s="14"/>
      <c r="T964" s="14"/>
      <c r="U964" s="14"/>
      <c r="V964" s="14"/>
      <c r="W964" s="14"/>
      <c r="X964" s="14"/>
      <c r="Y964" s="14"/>
      <c r="Z964" s="14"/>
      <c r="AA964" s="14"/>
      <c r="AB964" s="14"/>
    </row>
    <row r="965">
      <c r="C965" s="93"/>
      <c r="D965" s="93"/>
      <c r="G965" s="60"/>
      <c r="H965" s="93"/>
      <c r="I965" s="93"/>
      <c r="J965" s="93"/>
      <c r="S965" s="14"/>
      <c r="T965" s="14"/>
      <c r="U965" s="14"/>
      <c r="V965" s="14"/>
      <c r="W965" s="14"/>
      <c r="X965" s="14"/>
      <c r="Y965" s="14"/>
      <c r="Z965" s="14"/>
      <c r="AA965" s="14"/>
      <c r="AB965" s="14"/>
    </row>
    <row r="966">
      <c r="C966" s="93"/>
      <c r="D966" s="93"/>
      <c r="G966" s="60"/>
      <c r="H966" s="93"/>
      <c r="I966" s="93"/>
      <c r="J966" s="93"/>
      <c r="S966" s="14"/>
      <c r="T966" s="14"/>
      <c r="U966" s="14"/>
      <c r="V966" s="14"/>
      <c r="W966" s="14"/>
      <c r="X966" s="14"/>
      <c r="Y966" s="14"/>
      <c r="Z966" s="14"/>
      <c r="AA966" s="14"/>
      <c r="AB966" s="14"/>
    </row>
    <row r="967">
      <c r="C967" s="93"/>
      <c r="D967" s="93"/>
      <c r="G967" s="60"/>
      <c r="H967" s="93"/>
      <c r="I967" s="93"/>
      <c r="J967" s="93"/>
      <c r="S967" s="14"/>
      <c r="T967" s="14"/>
      <c r="U967" s="14"/>
      <c r="V967" s="14"/>
      <c r="W967" s="14"/>
      <c r="X967" s="14"/>
      <c r="Y967" s="14"/>
      <c r="Z967" s="14"/>
      <c r="AA967" s="14"/>
      <c r="AB967" s="14"/>
    </row>
    <row r="968">
      <c r="C968" s="93"/>
      <c r="D968" s="93"/>
      <c r="G968" s="60"/>
      <c r="H968" s="93"/>
      <c r="I968" s="93"/>
      <c r="J968" s="93"/>
      <c r="S968" s="14"/>
      <c r="T968" s="14"/>
      <c r="U968" s="14"/>
      <c r="V968" s="14"/>
      <c r="W968" s="14"/>
      <c r="X968" s="14"/>
      <c r="Y968" s="14"/>
      <c r="Z968" s="14"/>
      <c r="AA968" s="14"/>
      <c r="AB968" s="14"/>
    </row>
    <row r="969">
      <c r="C969" s="93"/>
      <c r="D969" s="93"/>
      <c r="G969" s="60"/>
      <c r="H969" s="93"/>
      <c r="I969" s="93"/>
      <c r="J969" s="93"/>
      <c r="S969" s="14"/>
      <c r="T969" s="14"/>
      <c r="U969" s="14"/>
      <c r="V969" s="14"/>
      <c r="W969" s="14"/>
      <c r="X969" s="14"/>
      <c r="Y969" s="14"/>
      <c r="Z969" s="14"/>
      <c r="AA969" s="14"/>
      <c r="AB969" s="14"/>
    </row>
    <row r="970">
      <c r="C970" s="93"/>
      <c r="D970" s="93"/>
      <c r="G970" s="60"/>
      <c r="H970" s="93"/>
      <c r="I970" s="93"/>
      <c r="J970" s="93"/>
      <c r="S970" s="14"/>
      <c r="T970" s="14"/>
      <c r="U970" s="14"/>
      <c r="V970" s="14"/>
      <c r="W970" s="14"/>
      <c r="X970" s="14"/>
      <c r="Y970" s="14"/>
      <c r="Z970" s="14"/>
      <c r="AA970" s="14"/>
      <c r="AB970" s="14"/>
    </row>
    <row r="971">
      <c r="C971" s="93"/>
      <c r="D971" s="93"/>
      <c r="G971" s="60"/>
      <c r="H971" s="93"/>
      <c r="I971" s="93"/>
      <c r="J971" s="93"/>
      <c r="S971" s="14"/>
      <c r="T971" s="14"/>
      <c r="U971" s="14"/>
      <c r="V971" s="14"/>
      <c r="W971" s="14"/>
      <c r="X971" s="14"/>
      <c r="Y971" s="14"/>
      <c r="Z971" s="14"/>
      <c r="AA971" s="14"/>
      <c r="AB971" s="14"/>
    </row>
    <row r="972">
      <c r="C972" s="93"/>
      <c r="D972" s="93"/>
      <c r="G972" s="60"/>
      <c r="H972" s="93"/>
      <c r="I972" s="93"/>
      <c r="J972" s="93"/>
      <c r="S972" s="14"/>
      <c r="T972" s="14"/>
      <c r="U972" s="14"/>
      <c r="V972" s="14"/>
      <c r="W972" s="14"/>
      <c r="X972" s="14"/>
      <c r="Y972" s="14"/>
      <c r="Z972" s="14"/>
      <c r="AA972" s="14"/>
      <c r="AB972" s="14"/>
    </row>
    <row r="973">
      <c r="C973" s="93"/>
      <c r="D973" s="93"/>
      <c r="G973" s="60"/>
      <c r="H973" s="93"/>
      <c r="I973" s="93"/>
      <c r="J973" s="93"/>
      <c r="S973" s="14"/>
      <c r="T973" s="14"/>
      <c r="U973" s="14"/>
      <c r="V973" s="14"/>
      <c r="W973" s="14"/>
      <c r="X973" s="14"/>
      <c r="Y973" s="14"/>
      <c r="Z973" s="14"/>
      <c r="AA973" s="14"/>
      <c r="AB973" s="14"/>
    </row>
    <row r="974">
      <c r="C974" s="93"/>
      <c r="D974" s="93"/>
      <c r="G974" s="60"/>
      <c r="H974" s="93"/>
      <c r="I974" s="93"/>
      <c r="J974" s="93"/>
      <c r="S974" s="14"/>
      <c r="T974" s="14"/>
      <c r="U974" s="14"/>
      <c r="V974" s="14"/>
      <c r="W974" s="14"/>
      <c r="X974" s="14"/>
      <c r="Y974" s="14"/>
      <c r="Z974" s="14"/>
      <c r="AA974" s="14"/>
      <c r="AB974" s="14"/>
    </row>
    <row r="975">
      <c r="C975" s="93"/>
      <c r="D975" s="93"/>
      <c r="G975" s="60"/>
      <c r="H975" s="93"/>
      <c r="I975" s="93"/>
      <c r="J975" s="93"/>
      <c r="S975" s="14"/>
      <c r="T975" s="14"/>
      <c r="U975" s="14"/>
      <c r="V975" s="14"/>
      <c r="W975" s="14"/>
      <c r="X975" s="14"/>
      <c r="Y975" s="14"/>
      <c r="Z975" s="14"/>
      <c r="AA975" s="14"/>
      <c r="AB975" s="14"/>
    </row>
    <row r="976">
      <c r="C976" s="93"/>
      <c r="D976" s="93"/>
      <c r="G976" s="60"/>
      <c r="H976" s="93"/>
      <c r="I976" s="93"/>
      <c r="J976" s="93"/>
      <c r="S976" s="14"/>
      <c r="T976" s="14"/>
      <c r="U976" s="14"/>
      <c r="V976" s="14"/>
      <c r="W976" s="14"/>
      <c r="X976" s="14"/>
      <c r="Y976" s="14"/>
      <c r="Z976" s="14"/>
      <c r="AA976" s="14"/>
      <c r="AB976" s="14"/>
    </row>
    <row r="977">
      <c r="C977" s="93"/>
      <c r="D977" s="93"/>
      <c r="G977" s="60"/>
      <c r="H977" s="93"/>
      <c r="I977" s="93"/>
      <c r="J977" s="93"/>
      <c r="S977" s="14"/>
      <c r="T977" s="14"/>
      <c r="U977" s="14"/>
      <c r="V977" s="14"/>
      <c r="W977" s="14"/>
      <c r="X977" s="14"/>
      <c r="Y977" s="14"/>
      <c r="Z977" s="14"/>
      <c r="AA977" s="14"/>
      <c r="AB977" s="14"/>
    </row>
    <row r="978">
      <c r="C978" s="93"/>
      <c r="D978" s="93"/>
      <c r="G978" s="60"/>
      <c r="H978" s="93"/>
      <c r="I978" s="93"/>
      <c r="J978" s="93"/>
      <c r="S978" s="14"/>
      <c r="T978" s="14"/>
      <c r="U978" s="14"/>
      <c r="V978" s="14"/>
      <c r="W978" s="14"/>
      <c r="X978" s="14"/>
      <c r="Y978" s="14"/>
      <c r="Z978" s="14"/>
      <c r="AA978" s="14"/>
      <c r="AB978" s="14"/>
    </row>
    <row r="979">
      <c r="C979" s="93"/>
      <c r="D979" s="93"/>
      <c r="G979" s="60"/>
      <c r="H979" s="93"/>
      <c r="I979" s="93"/>
      <c r="J979" s="93"/>
      <c r="S979" s="14"/>
      <c r="T979" s="14"/>
      <c r="U979" s="14"/>
      <c r="V979" s="14"/>
      <c r="W979" s="14"/>
      <c r="X979" s="14"/>
      <c r="Y979" s="14"/>
      <c r="Z979" s="14"/>
      <c r="AA979" s="14"/>
      <c r="AB979" s="14"/>
    </row>
    <row r="980">
      <c r="C980" s="93"/>
      <c r="D980" s="93"/>
      <c r="G980" s="60"/>
      <c r="H980" s="93"/>
      <c r="I980" s="93"/>
      <c r="J980" s="93"/>
      <c r="S980" s="14"/>
      <c r="T980" s="14"/>
      <c r="U980" s="14"/>
      <c r="V980" s="14"/>
      <c r="W980" s="14"/>
      <c r="X980" s="14"/>
      <c r="Y980" s="14"/>
      <c r="Z980" s="14"/>
      <c r="AA980" s="14"/>
      <c r="AB980" s="14"/>
    </row>
    <row r="981">
      <c r="C981" s="93"/>
      <c r="D981" s="93"/>
      <c r="G981" s="60"/>
      <c r="H981" s="93"/>
      <c r="I981" s="93"/>
      <c r="J981" s="93"/>
      <c r="S981" s="14"/>
      <c r="T981" s="14"/>
      <c r="U981" s="14"/>
      <c r="V981" s="14"/>
      <c r="W981" s="14"/>
      <c r="X981" s="14"/>
      <c r="Y981" s="14"/>
      <c r="Z981" s="14"/>
      <c r="AA981" s="14"/>
      <c r="AB981" s="14"/>
    </row>
    <row r="982">
      <c r="C982" s="93"/>
      <c r="D982" s="93"/>
      <c r="G982" s="60"/>
      <c r="H982" s="93"/>
      <c r="I982" s="93"/>
      <c r="J982" s="93"/>
      <c r="S982" s="14"/>
      <c r="T982" s="14"/>
      <c r="U982" s="14"/>
      <c r="V982" s="14"/>
      <c r="W982" s="14"/>
      <c r="X982" s="14"/>
      <c r="Y982" s="14"/>
      <c r="Z982" s="14"/>
      <c r="AA982" s="14"/>
      <c r="AB982" s="14"/>
    </row>
    <row r="983">
      <c r="C983" s="93"/>
      <c r="D983" s="93"/>
      <c r="G983" s="60"/>
      <c r="H983" s="93"/>
      <c r="I983" s="93"/>
      <c r="J983" s="93"/>
      <c r="S983" s="14"/>
      <c r="T983" s="14"/>
      <c r="U983" s="14"/>
      <c r="V983" s="14"/>
      <c r="W983" s="14"/>
      <c r="X983" s="14"/>
      <c r="Y983" s="14"/>
      <c r="Z983" s="14"/>
      <c r="AA983" s="14"/>
      <c r="AB983" s="14"/>
    </row>
    <row r="984">
      <c r="C984" s="93"/>
      <c r="D984" s="93"/>
      <c r="G984" s="60"/>
      <c r="H984" s="93"/>
      <c r="I984" s="93"/>
      <c r="J984" s="93"/>
      <c r="S984" s="14"/>
      <c r="T984" s="14"/>
      <c r="U984" s="14"/>
      <c r="V984" s="14"/>
      <c r="W984" s="14"/>
      <c r="X984" s="14"/>
      <c r="Y984" s="14"/>
      <c r="Z984" s="14"/>
      <c r="AA984" s="14"/>
      <c r="AB984" s="14"/>
    </row>
    <row r="985">
      <c r="C985" s="93"/>
      <c r="D985" s="93"/>
      <c r="G985" s="60"/>
      <c r="H985" s="93"/>
      <c r="I985" s="93"/>
      <c r="J985" s="93"/>
      <c r="S985" s="14"/>
      <c r="T985" s="14"/>
      <c r="U985" s="14"/>
      <c r="V985" s="14"/>
      <c r="W985" s="14"/>
      <c r="X985" s="14"/>
      <c r="Y985" s="14"/>
      <c r="Z985" s="14"/>
      <c r="AA985" s="14"/>
      <c r="AB985" s="14"/>
    </row>
    <row r="986">
      <c r="C986" s="93"/>
      <c r="D986" s="93"/>
      <c r="G986" s="60"/>
      <c r="H986" s="93"/>
      <c r="I986" s="93"/>
      <c r="J986" s="93"/>
      <c r="S986" s="14"/>
      <c r="T986" s="14"/>
      <c r="U986" s="14"/>
      <c r="V986" s="14"/>
      <c r="W986" s="14"/>
      <c r="X986" s="14"/>
      <c r="Y986" s="14"/>
      <c r="Z986" s="14"/>
      <c r="AA986" s="14"/>
      <c r="AB986" s="14"/>
    </row>
    <row r="987">
      <c r="C987" s="93"/>
      <c r="D987" s="93"/>
      <c r="G987" s="60"/>
      <c r="H987" s="93"/>
      <c r="I987" s="93"/>
      <c r="J987" s="93"/>
      <c r="S987" s="14"/>
      <c r="T987" s="14"/>
      <c r="U987" s="14"/>
      <c r="V987" s="14"/>
      <c r="W987" s="14"/>
      <c r="X987" s="14"/>
      <c r="Y987" s="14"/>
      <c r="Z987" s="14"/>
      <c r="AA987" s="14"/>
      <c r="AB987" s="14"/>
    </row>
    <row r="988">
      <c r="C988" s="93"/>
      <c r="D988" s="93"/>
      <c r="G988" s="60"/>
      <c r="H988" s="93"/>
      <c r="I988" s="93"/>
      <c r="J988" s="93"/>
      <c r="S988" s="14"/>
      <c r="T988" s="14"/>
      <c r="U988" s="14"/>
      <c r="V988" s="14"/>
      <c r="W988" s="14"/>
      <c r="X988" s="14"/>
      <c r="Y988" s="14"/>
      <c r="Z988" s="14"/>
      <c r="AA988" s="14"/>
      <c r="AB988" s="14"/>
    </row>
  </sheetData>
  <autoFilter ref="$A$1:$AB$344">
    <filterColumn colId="2">
      <filters>
        <filter val="1"/>
      </filters>
    </filterColumn>
    <sortState ref="A1:AB344">
      <sortCondition ref="B1:B344"/>
      <sortCondition ref="A1:A344"/>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84 S86:AB988">
      <formula1>IFERROR(ISURL(S2), true)</formula1>
    </dataValidation>
  </dataValidations>
  <hyperlinks>
    <hyperlink r:id="rId1" ref="S3"/>
    <hyperlink r:id="rId2" ref="T3"/>
    <hyperlink r:id="rId3" ref="S5"/>
    <hyperlink r:id="rId4" ref="S6"/>
    <hyperlink r:id="rId5" ref="S7"/>
    <hyperlink r:id="rId6" ref="S8"/>
    <hyperlink r:id="rId7" ref="S10"/>
    <hyperlink r:id="rId8" ref="S11"/>
    <hyperlink r:id="rId9" ref="S12"/>
    <hyperlink r:id="rId10" ref="S13"/>
    <hyperlink r:id="rId11" ref="T13"/>
    <hyperlink r:id="rId12" ref="U13"/>
    <hyperlink r:id="rId13" ref="S14"/>
    <hyperlink r:id="rId14" ref="T14"/>
    <hyperlink r:id="rId15" ref="S15"/>
    <hyperlink r:id="rId16" ref="S16"/>
    <hyperlink r:id="rId17" ref="S17"/>
    <hyperlink r:id="rId18" ref="S18"/>
    <hyperlink r:id="rId19" ref="S20"/>
    <hyperlink r:id="rId20" ref="S21"/>
    <hyperlink r:id="rId21" ref="S22"/>
    <hyperlink r:id="rId22" ref="S24"/>
    <hyperlink r:id="rId23" ref="S28"/>
    <hyperlink r:id="rId24" ref="S30"/>
    <hyperlink r:id="rId25" ref="S31"/>
    <hyperlink r:id="rId26" ref="S32"/>
    <hyperlink r:id="rId27" ref="S34"/>
    <hyperlink r:id="rId28" ref="S35"/>
    <hyperlink r:id="rId29" ref="S40"/>
    <hyperlink r:id="rId30" ref="S41"/>
    <hyperlink r:id="rId31" ref="T41"/>
    <hyperlink r:id="rId32" ref="S43"/>
    <hyperlink r:id="rId33" ref="S45"/>
    <hyperlink r:id="rId34" ref="S48"/>
    <hyperlink r:id="rId35" ref="S52"/>
    <hyperlink r:id="rId36" ref="S53"/>
    <hyperlink r:id="rId37" ref="S57"/>
    <hyperlink r:id="rId38" ref="S58"/>
    <hyperlink r:id="rId39" ref="S59"/>
    <hyperlink r:id="rId40" ref="S64"/>
    <hyperlink r:id="rId41" ref="S66"/>
    <hyperlink r:id="rId42" ref="S69"/>
    <hyperlink r:id="rId43" ref="T69"/>
    <hyperlink r:id="rId44" ref="U69"/>
    <hyperlink r:id="rId45" ref="S71"/>
    <hyperlink r:id="rId46" ref="T71"/>
    <hyperlink r:id="rId47" ref="U71"/>
    <hyperlink r:id="rId48" ref="V71"/>
    <hyperlink r:id="rId49" ref="W71"/>
    <hyperlink r:id="rId50" ref="X71"/>
    <hyperlink r:id="rId51" ref="Y71"/>
    <hyperlink r:id="rId52" ref="Z71"/>
    <hyperlink r:id="rId53" ref="AA71"/>
    <hyperlink r:id="rId54" ref="AB71"/>
    <hyperlink r:id="rId55" ref="S72"/>
    <hyperlink r:id="rId56" ref="T72"/>
    <hyperlink r:id="rId57" ref="U72"/>
    <hyperlink r:id="rId58" ref="V72"/>
    <hyperlink r:id="rId59" ref="W72"/>
    <hyperlink r:id="rId60" ref="X72"/>
    <hyperlink r:id="rId61" ref="Y72"/>
    <hyperlink r:id="rId62" ref="Z72"/>
    <hyperlink r:id="rId63" ref="AA72"/>
    <hyperlink r:id="rId64" ref="AB72"/>
    <hyperlink r:id="rId65" ref="S74"/>
    <hyperlink r:id="rId66" ref="T74"/>
    <hyperlink r:id="rId67" ref="U74"/>
    <hyperlink r:id="rId68" ref="V74"/>
    <hyperlink r:id="rId69" ref="W74"/>
    <hyperlink r:id="rId70" ref="X74"/>
    <hyperlink r:id="rId71" ref="Y74"/>
    <hyperlink r:id="rId72" ref="S76"/>
    <hyperlink r:id="rId73" ref="T76"/>
    <hyperlink r:id="rId74" ref="U76"/>
    <hyperlink r:id="rId75" ref="V76"/>
    <hyperlink r:id="rId76" ref="W76"/>
    <hyperlink r:id="rId77" ref="X76"/>
    <hyperlink r:id="rId78" ref="Y76"/>
    <hyperlink r:id="rId79" ref="Z76"/>
    <hyperlink r:id="rId80" ref="AA76"/>
    <hyperlink r:id="rId81" ref="AB76"/>
    <hyperlink r:id="rId82" ref="S80"/>
    <hyperlink r:id="rId83" ref="T80"/>
    <hyperlink r:id="rId84" ref="U80"/>
    <hyperlink r:id="rId85" ref="V80"/>
    <hyperlink r:id="rId86" ref="W80"/>
    <hyperlink r:id="rId87" ref="X80"/>
    <hyperlink r:id="rId88" ref="Y80"/>
    <hyperlink r:id="rId89" ref="Z80"/>
    <hyperlink r:id="rId90" ref="AA80"/>
    <hyperlink r:id="rId91" ref="AB80"/>
    <hyperlink r:id="rId92" ref="S82"/>
    <hyperlink r:id="rId93" ref="T82"/>
    <hyperlink r:id="rId94" ref="U82"/>
    <hyperlink r:id="rId95" ref="V82"/>
    <hyperlink r:id="rId96" ref="W82"/>
    <hyperlink r:id="rId97" ref="X82"/>
    <hyperlink r:id="rId98" ref="Y82"/>
    <hyperlink r:id="rId99" ref="Z82"/>
    <hyperlink r:id="rId100" ref="AA82"/>
    <hyperlink r:id="rId101" ref="AB82"/>
    <hyperlink r:id="rId102" ref="S83"/>
    <hyperlink r:id="rId103" ref="T83"/>
    <hyperlink r:id="rId104" ref="U83"/>
    <hyperlink r:id="rId105" ref="V83"/>
    <hyperlink r:id="rId106" ref="W83"/>
    <hyperlink r:id="rId107" ref="X83"/>
    <hyperlink r:id="rId108" ref="Y83"/>
    <hyperlink r:id="rId109" ref="Z83"/>
    <hyperlink r:id="rId110" ref="AA83"/>
    <hyperlink r:id="rId111" ref="AB83"/>
    <hyperlink r:id="rId112" ref="S84"/>
    <hyperlink r:id="rId113" ref="T84"/>
    <hyperlink r:id="rId114" ref="U84"/>
    <hyperlink r:id="rId115" ref="V84"/>
    <hyperlink r:id="rId116" ref="W84"/>
    <hyperlink r:id="rId117" ref="X84"/>
    <hyperlink r:id="rId118" ref="Y84"/>
    <hyperlink r:id="rId119" ref="Z84"/>
    <hyperlink r:id="rId120" ref="AA84"/>
    <hyperlink r:id="rId121" ref="AB84"/>
    <hyperlink r:id="rId122" ref="S85"/>
    <hyperlink r:id="rId123" ref="T85"/>
    <hyperlink r:id="rId124" ref="U85"/>
    <hyperlink r:id="rId125" ref="V85"/>
    <hyperlink r:id="rId126" ref="W85"/>
    <hyperlink r:id="rId127" ref="X85"/>
    <hyperlink r:id="rId128" ref="Y85"/>
    <hyperlink r:id="rId129" ref="Z85"/>
    <hyperlink r:id="rId130" ref="AA85"/>
    <hyperlink r:id="rId131" ref="AB85"/>
    <hyperlink r:id="rId132" ref="S86"/>
    <hyperlink r:id="rId133" ref="T86"/>
    <hyperlink r:id="rId134" ref="U86"/>
    <hyperlink r:id="rId135" ref="V86"/>
    <hyperlink r:id="rId136" ref="W86"/>
    <hyperlink r:id="rId137" ref="X86"/>
    <hyperlink r:id="rId138" ref="Y86"/>
    <hyperlink r:id="rId139" ref="Z86"/>
    <hyperlink r:id="rId140" ref="AA86"/>
    <hyperlink r:id="rId141" ref="AB86"/>
    <hyperlink r:id="rId142" ref="S87"/>
    <hyperlink r:id="rId143" ref="T87"/>
    <hyperlink r:id="rId144" ref="U87"/>
    <hyperlink r:id="rId145" ref="V87"/>
    <hyperlink r:id="rId146" ref="W87"/>
    <hyperlink r:id="rId147" ref="X87"/>
    <hyperlink r:id="rId148" ref="Y87"/>
    <hyperlink r:id="rId149" ref="Z87"/>
    <hyperlink r:id="rId150" ref="AA87"/>
    <hyperlink r:id="rId151" ref="AB87"/>
    <hyperlink r:id="rId152" ref="S90"/>
    <hyperlink r:id="rId153" ref="T90"/>
    <hyperlink r:id="rId154" ref="U90"/>
    <hyperlink r:id="rId155" ref="V90"/>
    <hyperlink r:id="rId156" ref="S91"/>
    <hyperlink r:id="rId157" ref="T91"/>
    <hyperlink r:id="rId158" ref="U91"/>
    <hyperlink r:id="rId159" ref="V91"/>
    <hyperlink r:id="rId160" ref="W91"/>
    <hyperlink r:id="rId161" ref="X91"/>
    <hyperlink r:id="rId162" ref="Y91"/>
    <hyperlink r:id="rId163" ref="Z91"/>
    <hyperlink r:id="rId164" ref="AA91"/>
    <hyperlink r:id="rId165" ref="AB91"/>
    <hyperlink r:id="rId166" ref="S92"/>
    <hyperlink r:id="rId167" ref="T92"/>
    <hyperlink r:id="rId168" ref="U92"/>
    <hyperlink r:id="rId169" ref="V92"/>
    <hyperlink r:id="rId170" ref="W92"/>
    <hyperlink r:id="rId171" ref="X92"/>
    <hyperlink r:id="rId172" ref="Y92"/>
    <hyperlink r:id="rId173" ref="Z92"/>
    <hyperlink r:id="rId174" ref="AA92"/>
    <hyperlink r:id="rId175" ref="AB92"/>
    <hyperlink r:id="rId176" ref="S93"/>
    <hyperlink r:id="rId177" ref="T93"/>
    <hyperlink r:id="rId178" ref="U93"/>
    <hyperlink r:id="rId179" ref="V93"/>
    <hyperlink r:id="rId180" ref="W93"/>
    <hyperlink r:id="rId181" ref="X93"/>
    <hyperlink r:id="rId182" ref="Y93"/>
    <hyperlink r:id="rId183" ref="Z93"/>
    <hyperlink r:id="rId184" ref="AA93"/>
    <hyperlink r:id="rId185" ref="AB93"/>
    <hyperlink r:id="rId186" ref="S97"/>
    <hyperlink r:id="rId187" ref="T97"/>
    <hyperlink r:id="rId188" ref="U97"/>
    <hyperlink r:id="rId189" ref="V97"/>
    <hyperlink r:id="rId190" ref="W97"/>
    <hyperlink r:id="rId191" ref="X97"/>
    <hyperlink r:id="rId192" ref="Y97"/>
    <hyperlink r:id="rId193" ref="Z97"/>
    <hyperlink r:id="rId194" ref="AA97"/>
    <hyperlink r:id="rId195" ref="AB97"/>
    <hyperlink r:id="rId196" ref="S98"/>
    <hyperlink r:id="rId197" ref="T98"/>
    <hyperlink r:id="rId198" ref="U98"/>
    <hyperlink r:id="rId199" ref="V98"/>
    <hyperlink r:id="rId200" ref="W98"/>
    <hyperlink r:id="rId201" ref="X98"/>
    <hyperlink r:id="rId202" ref="S99"/>
    <hyperlink r:id="rId203" ref="T99"/>
    <hyperlink r:id="rId204" ref="U99"/>
    <hyperlink r:id="rId205" ref="V99"/>
    <hyperlink r:id="rId206" ref="W99"/>
    <hyperlink r:id="rId207" ref="X99"/>
    <hyperlink r:id="rId208" ref="Y99"/>
    <hyperlink r:id="rId209" ref="Z99"/>
    <hyperlink r:id="rId210" ref="AA99"/>
    <hyperlink r:id="rId211" ref="AB99"/>
    <hyperlink r:id="rId212" ref="S101"/>
    <hyperlink r:id="rId213" ref="T101"/>
    <hyperlink r:id="rId214" ref="U101"/>
    <hyperlink r:id="rId215" ref="V101"/>
    <hyperlink r:id="rId216" ref="W101"/>
    <hyperlink r:id="rId217" ref="X101"/>
    <hyperlink r:id="rId218" ref="Y101"/>
    <hyperlink r:id="rId219" ref="Z101"/>
    <hyperlink r:id="rId220" ref="AA101"/>
    <hyperlink r:id="rId221" ref="AB101"/>
    <hyperlink r:id="rId222" ref="S112"/>
    <hyperlink r:id="rId223" ref="T112"/>
    <hyperlink r:id="rId224" ref="U112"/>
    <hyperlink r:id="rId225" ref="V112"/>
    <hyperlink r:id="rId226" ref="W112"/>
    <hyperlink r:id="rId227" ref="X112"/>
    <hyperlink r:id="rId228" ref="S115"/>
    <hyperlink r:id="rId229" ref="T115"/>
    <hyperlink r:id="rId230" ref="U115"/>
    <hyperlink r:id="rId231" ref="V115"/>
    <hyperlink r:id="rId232" ref="W115"/>
    <hyperlink r:id="rId233" ref="X115"/>
    <hyperlink r:id="rId234" ref="Y115"/>
    <hyperlink r:id="rId235" ref="Z115"/>
    <hyperlink r:id="rId236" ref="AA115"/>
    <hyperlink r:id="rId237" ref="AB115"/>
    <hyperlink r:id="rId238" ref="S119"/>
    <hyperlink r:id="rId239" ref="T119"/>
    <hyperlink r:id="rId240" ref="U119"/>
    <hyperlink r:id="rId241" ref="V119"/>
    <hyperlink r:id="rId242" ref="W119"/>
    <hyperlink r:id="rId243" ref="X119"/>
    <hyperlink r:id="rId244" ref="S123"/>
    <hyperlink r:id="rId245" ref="T123"/>
    <hyperlink r:id="rId246" ref="U123"/>
    <hyperlink r:id="rId247" ref="V123"/>
    <hyperlink r:id="rId248" ref="W123"/>
    <hyperlink r:id="rId249" ref="S126"/>
    <hyperlink r:id="rId250" ref="T126"/>
    <hyperlink r:id="rId251" ref="U126"/>
    <hyperlink r:id="rId252" ref="V126"/>
    <hyperlink r:id="rId253" ref="W126"/>
    <hyperlink r:id="rId254" ref="X126"/>
    <hyperlink r:id="rId255" ref="Y126"/>
    <hyperlink r:id="rId256" ref="Z126"/>
    <hyperlink r:id="rId257" ref="AA126"/>
    <hyperlink r:id="rId258" ref="AB126"/>
    <hyperlink r:id="rId259" ref="S129"/>
    <hyperlink r:id="rId260" ref="T129"/>
    <hyperlink r:id="rId261" ref="U129"/>
    <hyperlink r:id="rId262" ref="V129"/>
    <hyperlink r:id="rId263" ref="W129"/>
    <hyperlink r:id="rId264" ref="X129"/>
    <hyperlink r:id="rId265" ref="Y129"/>
  </hyperlinks>
  <drawing r:id="rId2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1535</v>
      </c>
    </row>
    <row r="2">
      <c r="A2" s="20" t="s">
        <v>1536</v>
      </c>
      <c r="B2" s="20" t="s">
        <v>1537</v>
      </c>
    </row>
    <row r="3">
      <c r="A3" s="20" t="s">
        <v>1538</v>
      </c>
      <c r="B3" s="20" t="s">
        <v>1539</v>
      </c>
    </row>
    <row r="4">
      <c r="A4" s="20" t="s">
        <v>1540</v>
      </c>
      <c r="B4" s="20" t="s">
        <v>1541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4" t="s">
        <v>1542</v>
      </c>
      <c r="B1" s="95" t="s">
        <v>1543</v>
      </c>
      <c r="C1" s="96" t="s">
        <v>1544</v>
      </c>
      <c r="D1" s="96" t="s">
        <v>33</v>
      </c>
      <c r="E1" s="96" t="s">
        <v>69</v>
      </c>
      <c r="F1" s="97" t="s">
        <v>39</v>
      </c>
      <c r="G1" s="32"/>
      <c r="H1" s="32"/>
      <c r="I1" s="98" t="s">
        <v>1545</v>
      </c>
      <c r="J1" s="98" t="s">
        <v>1546</v>
      </c>
      <c r="K1" s="98" t="s">
        <v>1547</v>
      </c>
    </row>
    <row r="2">
      <c r="A2" s="99">
        <f>IFERROR(__xludf.DUMMYFUNCTION("COUNTIF(QUERY('1. Karten'!A:Q,""SELECT A WHERE C="" &amp; $A$4) ,""*"")-1"),170.0)</f>
        <v>170</v>
      </c>
      <c r="B2" s="100" t="s">
        <v>15</v>
      </c>
      <c r="C2" s="101">
        <f>IFERROR(__xludf.DUMMYFUNCTION("IFNA(QUERY('1. Karten'!$A:$Q,""select count(A) where ("" &amp; IF($A$4=""*"",,""C="" &amp; $A$4 &amp; "" AND"") &amp; "" B LIKE '"" &amp; $B2 &amp; ""') label Count(A) ''""),0)"),28.0)</f>
        <v>28</v>
      </c>
      <c r="D2" s="101">
        <f>IFERROR(__xludf.DUMMYFUNCTION("IFNA(QUERY('1. Karten'!$A:$Q,""select count(A) where ("" &amp; IF($A$4=""*"",,""C="" &amp; $A$4 &amp; "" AND"") &amp; "" B='"" &amp; $B2 &amp; ""' AND J='"" &amp; D$1 &amp; ""') label Count(A) ''""),0)"),14.0)</f>
        <v>14</v>
      </c>
      <c r="E2" s="101">
        <f>IFERROR(__xludf.DUMMYFUNCTION("IFNA(QUERY('1. Karten'!$A:$Q,""select count(A) where ("" &amp; IF($A$4=""*"",,""C="" &amp; $A$4 &amp; "" AND"") &amp; "" B='"" &amp; $B2 &amp; ""' AND J='"" &amp; E$1 &amp; ""') label Count(A) ''""),0)"),10.0)</f>
        <v>10</v>
      </c>
      <c r="F2" s="102">
        <f>IFERROR(__xludf.DUMMYFUNCTION("IFNA(QUERY('1. Karten'!$A:$Q,""select count(A) where ("" &amp; IF($A$4=""*"",,""C="" &amp; $A$4 &amp; "" AND"") &amp; "" B='"" &amp; $B2 &amp; ""' AND J='"" &amp; F$1 &amp; ""') label Count(A) ''""),0)"),4.0)</f>
        <v>4</v>
      </c>
      <c r="I2" s="103">
        <v>0.0</v>
      </c>
      <c r="J2" s="14">
        <f>IFERROR(__xludf.DUMMYFUNCTION("IFNA(QUERY('1. Karten'!$A:$Q,""select count(A) where (C="" &amp; $A$4 &amp; "") AND (H="" &amp; $I2 &amp; "") label Count(A) ''""),0)"),5.0)</f>
        <v>5</v>
      </c>
      <c r="K2" s="14">
        <f>IFERROR(__xludf.DUMMYFUNCTION("IFNA(QUERY('1. Karten'!$A:$Q,""select count(A) where (C="" &amp; $A$4 &amp; "") AND (Q="" &amp; $I2 &amp; "") label Count(A) ''""),0)"),0.0)</f>
        <v>0</v>
      </c>
      <c r="U2" s="93"/>
    </row>
    <row r="3">
      <c r="A3" s="104" t="s">
        <v>1548</v>
      </c>
      <c r="B3" s="100" t="s">
        <v>11</v>
      </c>
      <c r="C3" s="101">
        <f>IFERROR(__xludf.DUMMYFUNCTION("IFNA(QUERY('1. Karten'!$A:$Q,""select count(A) where ("" &amp; IF($A$4=""*"",,""C="" &amp; $A$4 &amp; "" AND"") &amp; "" B LIKE '"" &amp; $B3 &amp; ""') label Count(A) ''""),0)"),29.0)</f>
        <v>29</v>
      </c>
      <c r="D3" s="101">
        <f>IFERROR(__xludf.DUMMYFUNCTION("IFNA(QUERY('1. Karten'!$A:$Q,""select count(A) where ("" &amp; IF($A$4=""*"",,""C="" &amp; $A$4 &amp; "" AND"") &amp; "" B='"" &amp; $B3 &amp; ""' AND J='"" &amp; D$1 &amp; ""') label Count(A) ''""),0)"),14.0)</f>
        <v>14</v>
      </c>
      <c r="E3" s="101">
        <f>IFERROR(__xludf.DUMMYFUNCTION("IFNA(QUERY('1. Karten'!$A:$Q,""select count(A) where ("" &amp; IF($A$4=""*"",,""C="" &amp; $A$4 &amp; "" AND"") &amp; "" B='"" &amp; $B3 &amp; ""' AND J='"" &amp; E$1 &amp; ""') label Count(A) ''""),0)"),10.0)</f>
        <v>10</v>
      </c>
      <c r="F3" s="102">
        <f>IFERROR(__xludf.DUMMYFUNCTION("IFNA(QUERY('1. Karten'!$A:$Q,""select count(A) where ("" &amp; IF($A$4=""*"",,""C="" &amp; $A$4 &amp; "" AND"") &amp; "" B='"" &amp; $B3 &amp; ""' AND J='"" &amp; F$1 &amp; ""') label Count(A) ''""),0)"),5.0)</f>
        <v>5</v>
      </c>
      <c r="I3" s="105">
        <v>1.0</v>
      </c>
      <c r="J3" s="14">
        <f>IFERROR(__xludf.DUMMYFUNCTION("IFNA(QUERY('1. Karten'!$A:$Q,""select count(A) where (C="" &amp; $A$4 &amp; "") AND (H="" &amp; $I3 &amp; "") label Count(A) ''""),0)"),14.0)</f>
        <v>14</v>
      </c>
      <c r="K3" s="14">
        <f>IFERROR(__xludf.DUMMYFUNCTION("IFNA(QUERY('1. Karten'!$A:$Q,""select count(A) where (C="" &amp; $A$4 &amp; "") AND (Q="" &amp; $I3 &amp; "") label Count(A) ''""),0)"),10.0)</f>
        <v>10</v>
      </c>
    </row>
    <row r="4">
      <c r="A4" s="106">
        <v>1.0</v>
      </c>
      <c r="B4" s="100" t="s">
        <v>14</v>
      </c>
      <c r="C4" s="101">
        <f>IFERROR(__xludf.DUMMYFUNCTION("IFNA(QUERY('1. Karten'!$A:$Q,""select count(A) where ("" &amp; IF($A$4=""*"",,""C="" &amp; $A$4 &amp; "" AND"") &amp; "" B LIKE '"" &amp; $B4 &amp; ""') label Count(A) ''""),0)"),26.0)</f>
        <v>26</v>
      </c>
      <c r="D4" s="101">
        <f>IFERROR(__xludf.DUMMYFUNCTION("IFNA(QUERY('1. Karten'!$A:$Q,""select count(A) where ("" &amp; IF($A$4=""*"",,""C="" &amp; $A$4 &amp; "" AND"") &amp; "" B='"" &amp; $B4 &amp; ""' AND J='"" &amp; D$1 &amp; ""') label Count(A) ''""),0)"),13.0)</f>
        <v>13</v>
      </c>
      <c r="E4" s="101">
        <f>IFERROR(__xludf.DUMMYFUNCTION("IFNA(QUERY('1. Karten'!$A:$Q,""select count(A) where ("" &amp; IF($A$4=""*"",,""C="" &amp; $A$4 &amp; "" AND"") &amp; "" B='"" &amp; $B4 &amp; ""' AND J='"" &amp; E$1 &amp; ""') label Count(A) ''""),0)"),7.0)</f>
        <v>7</v>
      </c>
      <c r="F4" s="102">
        <f>IFERROR(__xludf.DUMMYFUNCTION("IFNA(QUERY('1. Karten'!$A:$Q,""select count(A) where ("" &amp; IF($A$4=""*"",,""C="" &amp; $A$4 &amp; "" AND"") &amp; "" B='"" &amp; $B4 &amp; ""' AND J='"" &amp; F$1 &amp; ""') label Count(A) ''""),0)"),6.0)</f>
        <v>6</v>
      </c>
      <c r="I4" s="105">
        <v>2.0</v>
      </c>
      <c r="J4" s="14">
        <f>IFERROR(__xludf.DUMMYFUNCTION("IFNA(QUERY('1. Karten'!$A:$Q,""select count(A) where (C="" &amp; $A$4 &amp; "") AND (H="" &amp; $I4 &amp; "") label Count(A) ''""),0)"),49.0)</f>
        <v>49</v>
      </c>
      <c r="K4" s="14">
        <f>IFERROR(__xludf.DUMMYFUNCTION("IFNA(QUERY('1. Karten'!$A:$Q,""select count(A) where (C="" &amp; $A$4 &amp; "") AND (Q="" &amp; $I4 &amp; "") label Count(A) ''""),0)"),34.0)</f>
        <v>34</v>
      </c>
    </row>
    <row r="5">
      <c r="B5" s="107" t="s">
        <v>12</v>
      </c>
      <c r="C5" s="101">
        <f>IFERROR(__xludf.DUMMYFUNCTION("IFNA(QUERY('1. Karten'!$A:$Q,""select count(A) where ("" &amp; IF($A$4=""*"",,""C="" &amp; $A$4 &amp; "" AND"") &amp; "" B LIKE '"" &amp; $B5 &amp; ""') label Count(A) ''""),0)"),28.0)</f>
        <v>28</v>
      </c>
      <c r="D5" s="101">
        <f>IFERROR(__xludf.DUMMYFUNCTION("IFNA(QUERY('1. Karten'!$A:$Q,""select count(A) where ("" &amp; IF($A$4=""*"",,""C="" &amp; $A$4 &amp; "" AND"") &amp; "" B='"" &amp; $B5 &amp; ""' AND J='"" &amp; D$1 &amp; ""') label Count(A) ''""),0)"),16.0)</f>
        <v>16</v>
      </c>
      <c r="E5" s="101">
        <f>IFERROR(__xludf.DUMMYFUNCTION("IFNA(QUERY('1. Karten'!$A:$Q,""select count(A) where ("" &amp; IF($A$4=""*"",,""C="" &amp; $A$4 &amp; "" AND"") &amp; "" B='"" &amp; $B5 &amp; ""' AND J='"" &amp; E$1 &amp; ""') label Count(A) ''""),0)"),9.0)</f>
        <v>9</v>
      </c>
      <c r="F5" s="102">
        <f>IFERROR(__xludf.DUMMYFUNCTION("IFNA(QUERY('1. Karten'!$A:$Q,""select count(A) where ("" &amp; IF($A$4=""*"",,""C="" &amp; $A$4 &amp; "" AND"") &amp; "" B='"" &amp; $B5 &amp; ""' AND J='"" &amp; F$1 &amp; ""') label Count(A) ''""),0)"),3.0)</f>
        <v>3</v>
      </c>
      <c r="I5" s="105">
        <v>3.0</v>
      </c>
      <c r="J5" s="14">
        <f>IFERROR(__xludf.DUMMYFUNCTION("IFNA(QUERY('1. Karten'!$A:$Q,""select count(A) where (C="" &amp; $A$4 &amp; "") AND (H="" &amp; $I5 &amp; "") label Count(A) ''""),0)"),36.0)</f>
        <v>36</v>
      </c>
      <c r="K5" s="14">
        <f>IFERROR(__xludf.DUMMYFUNCTION("IFNA(QUERY('1. Karten'!$A:$Q,""select count(A) where (C="" &amp; $A$4 &amp; "") AND (Q="" &amp; $I5 &amp; "") label Count(A) ''""),0)"),31.0)</f>
        <v>31</v>
      </c>
    </row>
    <row r="6">
      <c r="A6" s="108"/>
      <c r="B6" s="100" t="s">
        <v>13</v>
      </c>
      <c r="C6" s="101">
        <f>IFERROR(__xludf.DUMMYFUNCTION("IFNA(QUERY('1. Karten'!$A:$Q,""select count(A) where ("" &amp; IF($A$4=""*"",,""C="" &amp; $A$4 &amp; "" AND"") &amp; "" B LIKE '"" &amp; $B6 &amp; ""') label Count(A) ''""),0)"),25.0)</f>
        <v>25</v>
      </c>
      <c r="D6" s="101">
        <f>IFERROR(__xludf.DUMMYFUNCTION("IFNA(QUERY('1. Karten'!$A:$Q,""select count(A) where ("" &amp; IF($A$4=""*"",,""C="" &amp; $A$4 &amp; "" AND"") &amp; "" B='"" &amp; $B6 &amp; ""' AND J='"" &amp; D$1 &amp; ""') label Count(A) ''""),0)"),14.0)</f>
        <v>14</v>
      </c>
      <c r="E6" s="101">
        <f>IFERROR(__xludf.DUMMYFUNCTION("IFNA(QUERY('1. Karten'!$A:$Q,""select count(A) where ("" &amp; IF($A$4=""*"",,""C="" &amp; $A$4 &amp; "" AND"") &amp; "" B='"" &amp; $B6 &amp; ""' AND J='"" &amp; E$1 &amp; ""') label Count(A) ''""),0)"),8.0)</f>
        <v>8</v>
      </c>
      <c r="F6" s="102">
        <f>IFERROR(__xludf.DUMMYFUNCTION("IFNA(QUERY('1. Karten'!$A:$Q,""select count(A) where ("" &amp; IF($A$4=""*"",,""C="" &amp; $A$4 &amp; "" AND"") &amp; "" B='"" &amp; $B6 &amp; ""' AND J='"" &amp; F$1 &amp; ""') label Count(A) ''""),0)"),3.0)</f>
        <v>3</v>
      </c>
      <c r="I6" s="105">
        <v>4.0</v>
      </c>
      <c r="J6" s="14">
        <f>IFERROR(__xludf.DUMMYFUNCTION("IFNA(QUERY('1. Karten'!$A:$Q,""select count(A) where (C="" &amp; $A$4 &amp; "") AND (H="" &amp; $I6 &amp; "") label Count(A) ''""),0)"),27.0)</f>
        <v>27</v>
      </c>
      <c r="K6" s="14">
        <f>IFERROR(__xludf.DUMMYFUNCTION("IFNA(QUERY('1. Karten'!$A:$Q,""select count(A) where (C="" &amp; $A$4 &amp; "") AND (Q="" &amp; $I6 &amp; "") label Count(A) ''""),0)"),44.0)</f>
        <v>44</v>
      </c>
    </row>
    <row r="7">
      <c r="A7" s="24"/>
      <c r="B7" s="109" t="s">
        <v>1549</v>
      </c>
      <c r="C7" s="101">
        <f>IFERROR(__xludf.DUMMYFUNCTION("IFNA(QUERY('1. Karten'!$A:$Q,""select count(A) where ("" &amp; IF($A$4=""*"",,""C="" &amp; $A$4 &amp; "" AND"") &amp; "" B LIKE '') label Count(A) ''""),0)"),4.0)</f>
        <v>4</v>
      </c>
      <c r="D7" s="101">
        <f>IFERROR(__xludf.DUMMYFUNCTION("IFNA(QUERY('1. Karten'!$A:$Q,""select count(A) where ("" &amp; IF($A$4=""*"",,""C="" &amp; $A$4 &amp; "" AND"") &amp; "" B LIKE '' AND J='"" &amp; D$1 &amp; ""') label Count(A) ''""),0)"),2.0)</f>
        <v>2</v>
      </c>
      <c r="E7" s="101">
        <f>IFERROR(__xludf.DUMMYFUNCTION("IFNA(QUERY('1. Karten'!$A:$Q,""select count(A) where ("" &amp; IF($A$4=""*"",,""C="" &amp; $A$4 &amp; "" AND"") &amp; "" B LIKE '' AND J='"" &amp; E$1 &amp; ""') label Count(A) ''""),0)"),0.0)</f>
        <v>0</v>
      </c>
      <c r="F7" s="102">
        <f>IFERROR(__xludf.DUMMYFUNCTION("IFNA(QUERY('1. Karten'!$A:$Q,""select count(A) where ("" &amp; IF($A$4=""*"",,""C="" &amp; $A$4 &amp; "" AND"") &amp; "" B LIKE '' AND J='"" &amp; F$1 &amp; ""') label Count(A) ''""),0)"),2.0)</f>
        <v>2</v>
      </c>
      <c r="I7" s="105">
        <v>5.0</v>
      </c>
      <c r="J7" s="14">
        <f>IFERROR(__xludf.DUMMYFUNCTION("IFNA(QUERY('1. Karten'!$A:$Q,""select count(A) where (C="" &amp; $A$4 &amp; "") AND (H="" &amp; $I7 &amp; "") label Count(A) ''""),0)"),18.0)</f>
        <v>18</v>
      </c>
      <c r="K7" s="14">
        <f>IFERROR(__xludf.DUMMYFUNCTION("IFNA(QUERY('1. Karten'!$A:$Q,""select count(A) where (C="" &amp; $A$4 &amp; "") AND (Q="" &amp; $I7 &amp; "") label Count(A) ''""),0)"),28.0)</f>
        <v>28</v>
      </c>
    </row>
    <row r="8">
      <c r="B8" s="110" t="s">
        <v>1550</v>
      </c>
      <c r="C8" s="111">
        <f>IFERROR(__xludf.DUMMYFUNCTION("IFNA(QUERY('1. Karten'!$A:$Q,""select count(A) where ("" &amp; IF($A$4=""*"","""",""C="" &amp; $A$4 &amp; "" AND "") &amp; ""B LIKE '% %') label Count(A) ''""),0)"),30.0)</f>
        <v>30</v>
      </c>
      <c r="D8" s="111">
        <f>IFERROR(__xludf.DUMMYFUNCTION("IFNA(QUERY('1. Karten'!$A:$Q,""select count(A) where ("" &amp; IF($A$4=""*"",,""C="" &amp; $A$4 &amp; "" AND"") &amp; "" B LIKE '% %' AND J='"" &amp; D$1 &amp; ""') label Count(A) ''""),0)"),10.0)</f>
        <v>10</v>
      </c>
      <c r="E8" s="111">
        <f>IFERROR(__xludf.DUMMYFUNCTION("IFNA(QUERY('1. Karten'!$A:$Q,""select count(A) where ("" &amp; IF($A$4=""*"",,""C="" &amp; $A$4 &amp; "" AND"") &amp; "" B LIKE '% %' AND J='"" &amp; E$1 &amp; ""') label Count(A) ''""),0)"),10.0)</f>
        <v>10</v>
      </c>
      <c r="F8" s="112">
        <f>IFERROR(__xludf.DUMMYFUNCTION("IFNA(QUERY('1. Karten'!$A:$Q,""select count(A) where ("" &amp; IF($A$4=""*"",,""C="" &amp; $A$4 &amp; "" AND"") &amp; "" B LIKE '% %' AND J='"" &amp; F$1 &amp; ""') label Count(A) ''""),0)"),10.0)</f>
        <v>10</v>
      </c>
      <c r="I8" s="105">
        <v>6.0</v>
      </c>
      <c r="J8" s="14">
        <f>IFERROR(__xludf.DUMMYFUNCTION("IFNA(QUERY('1. Karten'!$A:$Q,""select count(A) where (C="" &amp; $A$4 &amp; "") AND (H="" &amp; $I8 &amp; "") label Count(A) ''""),0)"),14.0)</f>
        <v>14</v>
      </c>
      <c r="K8" s="14">
        <f>IFERROR(__xludf.DUMMYFUNCTION("IFNA(QUERY('1. Karten'!$A:$Q,""select count(A) where (C="" &amp; $A$4 &amp; "") AND (Q="" &amp; $I8 &amp; "") label Count(A) ''""),0)"),17.0)</f>
        <v>17</v>
      </c>
    </row>
    <row r="9">
      <c r="A9" s="113" t="s">
        <v>1551</v>
      </c>
      <c r="B9" s="114" t="s">
        <v>376</v>
      </c>
      <c r="C9" s="115">
        <f>IFERROR(__xludf.DUMMYFUNCTION("IFNA(QUERY('1. Karten'!$A:$Q,""select count(A) where ("" &amp; IF($A$4=""*"",,""C="" &amp; $A$4 &amp; "" AND"") &amp; "" B LIKE '%"" &amp; $B9 &amp; ""%') label Count(A) ''""),0)"),3.0)</f>
        <v>3</v>
      </c>
      <c r="D9" s="116">
        <f>IFERROR(__xludf.DUMMYFUNCTION("IFNA(QUERY('1. Karten'!$A:$Q,""select count(A) where ("" &amp; IF($A$4=""*"",,""C="" &amp; $A$4 &amp; "" AND"") &amp; "" B LIKE '%"" &amp; $B9 &amp; ""%' AND J='"" &amp; D$1 &amp; ""') label Count(A) ''""),0)"),1.0)</f>
        <v>1</v>
      </c>
      <c r="E9" s="116">
        <f>IFERROR(__xludf.DUMMYFUNCTION("IFNA(QUERY('1. Karten'!$A:$Q,""select count(A) where ("" &amp; IF($A$4=""*"",,""C="" &amp; $A$4 &amp; "" AND"") &amp; "" B LIKE '%"" &amp; $B9 &amp; ""%' AND J='"" &amp; E$1 &amp; ""') label Count(A) ''""),0)"),1.0)</f>
        <v>1</v>
      </c>
      <c r="F9" s="117">
        <f>IFERROR(__xludf.DUMMYFUNCTION("IFNA(QUERY('1. Karten'!$A:$Q,""select count(A) where ("" &amp; IF($A$4=""*"",,""C="" &amp; $A$4 &amp; "" AND"") &amp; "" B LIKE '%"" &amp; $B9 &amp; ""%' AND J='"" &amp; F$1 &amp; ""') label Count(A) ''""),0)"),1.0)</f>
        <v>1</v>
      </c>
      <c r="I9" s="105">
        <v>7.0</v>
      </c>
      <c r="J9" s="14">
        <f>IFERROR(__xludf.DUMMYFUNCTION("IFNA(QUERY('1. Karten'!$A:$Q,""select count(A) where (C="" &amp; $A$4 &amp; "") AND (H="" &amp; $I9 &amp; "") label Count(A) ''""),0)"),3.0)</f>
        <v>3</v>
      </c>
      <c r="K9" s="14">
        <f>IFERROR(__xludf.DUMMYFUNCTION("IFNA(QUERY('1. Karten'!$A:$Q,""select count(A) where (C="" &amp; $A$4 &amp; "") AND (Q="" &amp; $I9 &amp; "") label Count(A) ''""),0)"),6.0)</f>
        <v>6</v>
      </c>
    </row>
    <row r="10">
      <c r="A10" s="118" t="s">
        <v>1552</v>
      </c>
      <c r="B10" s="119" t="s">
        <v>1299</v>
      </c>
      <c r="C10" s="120">
        <f>IFERROR(__xludf.DUMMYFUNCTION("IFNA(QUERY('1. Karten'!$A:$Q,""select count(A) where ("" &amp; IF($A$4=""*"",,""C="" &amp; $A$4 &amp; "" AND"") &amp; "" B LIKE '%"" &amp; $B10 &amp; ""%') label Count(A) ''""),0)"),3.0)</f>
        <v>3</v>
      </c>
      <c r="D10" s="101">
        <f>IFERROR(__xludf.DUMMYFUNCTION("IFNA(QUERY('1. Karten'!$A:$Q,""select count(A) where ("" &amp; IF($A$4=""*"",,""C="" &amp; $A$4 &amp; "" AND"") &amp; "" B LIKE '%"" &amp; $B10 &amp; ""%' AND J='"" &amp; D$1 &amp; ""') label Count(A) ''""),0)"),1.0)</f>
        <v>1</v>
      </c>
      <c r="E10" s="101">
        <f>IFERROR(__xludf.DUMMYFUNCTION("IFNA(QUERY('1. Karten'!$A:$Q,""select count(A) where ("" &amp; IF($A$4=""*"",,""C="" &amp; $A$4 &amp; "" AND"") &amp; "" B LIKE '%"" &amp; $B10 &amp; ""%' AND J='"" &amp; E$1 &amp; ""') label Count(A) ''""),0)"),1.0)</f>
        <v>1</v>
      </c>
      <c r="F10" s="102">
        <f>IFERROR(__xludf.DUMMYFUNCTION("IFNA(QUERY('1. Karten'!$A:$Q,""select count(A) where ("" &amp; IF($A$4=""*"",,""C="" &amp; $A$4 &amp; "" AND"") &amp; "" B LIKE '%"" &amp; $B10 &amp; ""%' AND J='"" &amp; F$1 &amp; ""') label Count(A) ''""),0)"),1.0)</f>
        <v>1</v>
      </c>
      <c r="G10" s="108"/>
      <c r="H10" s="108"/>
      <c r="I10" s="105">
        <v>8.0</v>
      </c>
      <c r="J10" s="14">
        <f>IFERROR(__xludf.DUMMYFUNCTION("IFNA(QUERY('1. Karten'!$A:$Q,""select count(A) where (C="" &amp; $A$4 &amp; "") AND (H="" &amp; $I10 &amp; "") label Count(A) ''""),0)"),1.0)</f>
        <v>1</v>
      </c>
      <c r="K10" s="14">
        <f>IFERROR(__xludf.DUMMYFUNCTION("IFNA(QUERY('1. Karten'!$A:$Q,""select count(A) where (C="" &amp; $A$4 &amp; "") AND (Q="" &amp; $I10 &amp; "") label Count(A) ''""),0)"),0.0)</f>
        <v>0</v>
      </c>
    </row>
    <row r="11">
      <c r="A11" s="113" t="s">
        <v>1553</v>
      </c>
      <c r="B11" s="121" t="s">
        <v>827</v>
      </c>
      <c r="C11" s="120">
        <f>IFERROR(__xludf.DUMMYFUNCTION("IFNA(QUERY('1. Karten'!$A:$Q,""select count(A) where ("" &amp; IF($A$4=""*"",,""C="" &amp; $A$4 &amp; "" AND"") &amp; "" B LIKE '%"" &amp; $B11 &amp; ""%') label Count(A) ''""),0)"),3.0)</f>
        <v>3</v>
      </c>
      <c r="D11" s="101">
        <f>IFERROR(__xludf.DUMMYFUNCTION("IFNA(QUERY('1. Karten'!$A:$Q,""select count(A) where ("" &amp; IF($A$4=""*"",,""C="" &amp; $A$4 &amp; "" AND"") &amp; "" B LIKE '%"" &amp; $B11 &amp; ""%' AND J='"" &amp; D$1 &amp; ""') label Count(A) ''""),0)"),1.0)</f>
        <v>1</v>
      </c>
      <c r="E11" s="101">
        <f>IFERROR(__xludf.DUMMYFUNCTION("IFNA(QUERY('1. Karten'!$A:$Q,""select count(A) where ("" &amp; IF($A$4=""*"",,""C="" &amp; $A$4 &amp; "" AND"") &amp; "" B LIKE '%"" &amp; $B11 &amp; ""%' AND J='"" &amp; E$1 &amp; ""') label Count(A) ''""),0)"),1.0)</f>
        <v>1</v>
      </c>
      <c r="F11" s="102">
        <f>IFERROR(__xludf.DUMMYFUNCTION("IFNA(QUERY('1. Karten'!$A:$Q,""select count(A) where ("" &amp; IF($A$4=""*"",,""C="" &amp; $A$4 &amp; "" AND"") &amp; "" B LIKE '%"" &amp; $B11 &amp; ""%' AND J='"" &amp; F$1 &amp; ""') label Count(A) ''""),0)"),1.0)</f>
        <v>1</v>
      </c>
      <c r="I11" s="105">
        <v>9.0</v>
      </c>
      <c r="J11" s="14">
        <f>IFERROR(__xludf.DUMMYFUNCTION("IFNA(QUERY('1. Karten'!$A:$Q,""select count(A) where (C="" &amp; $A$4 &amp; "") AND (H="" &amp; $I11 &amp; "") label Count(A) ''""),0)"),2.0)</f>
        <v>2</v>
      </c>
      <c r="K11" s="14">
        <f>IFERROR(__xludf.DUMMYFUNCTION("IFNA(QUERY('1. Karten'!$A:$Q,""select count(A) where (C="" &amp; $A$4 &amp; "") AND (Q="" &amp; $I11 &amp; "") label Count(A) ''""),0)"),0.0)</f>
        <v>0</v>
      </c>
    </row>
    <row r="12">
      <c r="A12" s="118" t="s">
        <v>1554</v>
      </c>
      <c r="B12" s="119" t="s">
        <v>331</v>
      </c>
      <c r="C12" s="120">
        <f>IFERROR(__xludf.DUMMYFUNCTION("IFNA(QUERY('1. Karten'!$A:$Q,""select count(A) where ("" &amp; IF($A$4=""*"",,""C="" &amp; $A$4 &amp; "" AND"") &amp; "" B LIKE '%"" &amp; $B12 &amp; ""%') label Count(A) ''""),0)"),3.0)</f>
        <v>3</v>
      </c>
      <c r="D12" s="101">
        <f>IFERROR(__xludf.DUMMYFUNCTION("IFNA(QUERY('1. Karten'!$A:$Q,""select count(A) where ("" &amp; IF($A$4=""*"",,""C="" &amp; $A$4 &amp; "" AND"") &amp; "" B LIKE '%"" &amp; $B12 &amp; ""%' AND J='"" &amp; D$1 &amp; ""') label Count(A) ''""),0)"),1.0)</f>
        <v>1</v>
      </c>
      <c r="E12" s="101">
        <f>IFERROR(__xludf.DUMMYFUNCTION("IFNA(QUERY('1. Karten'!$A:$Q,""select count(A) where ("" &amp; IF($A$4=""*"",,""C="" &amp; $A$4 &amp; "" AND"") &amp; "" B LIKE '%"" &amp; $B12 &amp; ""%' AND J='"" &amp; E$1 &amp; ""') label Count(A) ''""),0)"),1.0)</f>
        <v>1</v>
      </c>
      <c r="F12" s="102">
        <f>IFERROR(__xludf.DUMMYFUNCTION("IFNA(QUERY('1. Karten'!$A:$Q,""select count(A) where ("" &amp; IF($A$4=""*"",,""C="" &amp; $A$4 &amp; "" AND"") &amp; "" B LIKE '%"" &amp; $B12 &amp; ""%' AND J='"" &amp; F$1 &amp; ""') label Count(A) ''""),0)"),1.0)</f>
        <v>1</v>
      </c>
      <c r="I12" s="105">
        <v>10.0</v>
      </c>
      <c r="J12" s="14">
        <f>IFERROR(__xludf.DUMMYFUNCTION("IFNA(QUERY('1. Karten'!$A:$Q,""select count(A) where (C="" &amp; $A$4 &amp; "") AND (H="" &amp; $I12 &amp; "") label Count(A) ''""),0)"),1.0)</f>
        <v>1</v>
      </c>
      <c r="K12" s="14">
        <f>IFERROR(__xludf.DUMMYFUNCTION("IFNA(QUERY('1. Karten'!$A:$Q,""select count(A) where (C="" &amp; $A$4 &amp; "") AND (Q="" &amp; $I12 &amp; "") label Count(A) ''""),0)"),0.0)</f>
        <v>0</v>
      </c>
    </row>
    <row r="13">
      <c r="A13" s="118" t="s">
        <v>1555</v>
      </c>
      <c r="B13" s="119" t="s">
        <v>878</v>
      </c>
      <c r="C13" s="120">
        <f>IFERROR(__xludf.DUMMYFUNCTION("IFNA(QUERY('1. Karten'!$A:$Q,""select count(A) where ("" &amp; IF($A$4=""*"",,""C="" &amp; $A$4 &amp; "" AND"") &amp; "" B LIKE '%"" &amp; $B13 &amp; ""%') label Count(A) ''""),0)"),3.0)</f>
        <v>3</v>
      </c>
      <c r="D13" s="101">
        <f>IFERROR(__xludf.DUMMYFUNCTION("IFNA(QUERY('1. Karten'!$A:$Q,""select count(A) where ("" &amp; IF($A$4=""*"",,""C="" &amp; $A$4 &amp; "" AND"") &amp; "" B LIKE '%"" &amp; $B13 &amp; ""%' AND J='"" &amp; D$1 &amp; ""') label Count(A) ''""),0)"),1.0)</f>
        <v>1</v>
      </c>
      <c r="E13" s="101">
        <f>IFERROR(__xludf.DUMMYFUNCTION("IFNA(QUERY('1. Karten'!$A:$Q,""select count(A) where ("" &amp; IF($A$4=""*"",,""C="" &amp; $A$4 &amp; "" AND"") &amp; "" B LIKE '%"" &amp; $B13 &amp; ""%' AND J='"" &amp; E$1 &amp; ""') label Count(A) ''""),0)"),1.0)</f>
        <v>1</v>
      </c>
      <c r="F13" s="102">
        <f>IFERROR(__xludf.DUMMYFUNCTION("IFNA(QUERY('1. Karten'!$A:$Q,""select count(A) where ("" &amp; IF($A$4=""*"",,""C="" &amp; $A$4 &amp; "" AND"") &amp; "" B LIKE '%"" &amp; $B13 &amp; ""%' AND J='"" &amp; F$1 &amp; ""') label Count(A) ''""),0)"),1.0)</f>
        <v>1</v>
      </c>
      <c r="I13" s="122" t="s">
        <v>1556</v>
      </c>
      <c r="J13" s="123">
        <f>ROUND(AVERAGE('1. Karten'!H:H),2)</f>
        <v>3.24</v>
      </c>
      <c r="K13" s="124">
        <f>ROUND(AVERAGE('1. Karten'!Q:Q),2)</f>
        <v>3.75</v>
      </c>
    </row>
    <row r="14">
      <c r="A14" s="118" t="s">
        <v>1557</v>
      </c>
      <c r="B14" s="119" t="s">
        <v>296</v>
      </c>
      <c r="C14" s="120">
        <f>IFERROR(__xludf.DUMMYFUNCTION("IFNA(QUERY('1. Karten'!$A:$Q,""select count(A) where ("" &amp; IF($A$4=""*"",,""C="" &amp; $A$4 &amp; "" AND"") &amp; "" B LIKE '%"" &amp; $B14 &amp; ""%') label Count(A) ''""),0)"),3.0)</f>
        <v>3</v>
      </c>
      <c r="D14" s="101">
        <f>IFERROR(__xludf.DUMMYFUNCTION("IFNA(QUERY('1. Karten'!$A:$Q,""select count(A) where ("" &amp; IF($A$4=""*"",,""C="" &amp; $A$4 &amp; "" AND"") &amp; "" B LIKE '%"" &amp; $B14 &amp; ""%' AND J='"" &amp; D$1 &amp; ""') label Count(A) ''""),0)"),1.0)</f>
        <v>1</v>
      </c>
      <c r="E14" s="101">
        <f>IFERROR(__xludf.DUMMYFUNCTION("IFNA(QUERY('1. Karten'!$A:$Q,""select count(A) where ("" &amp; IF($A$4=""*"",,""C="" &amp; $A$4 &amp; "" AND"") &amp; "" B LIKE '%"" &amp; $B14 &amp; ""%' AND J='"" &amp; E$1 &amp; ""') label Count(A) ''""),0)"),1.0)</f>
        <v>1</v>
      </c>
      <c r="F14" s="102">
        <f>IFERROR(__xludf.DUMMYFUNCTION("IFNA(QUERY('1. Karten'!$A:$Q,""select count(A) where ("" &amp; IF($A$4=""*"",,""C="" &amp; $A$4 &amp; "" AND"") &amp; "" B LIKE '%"" &amp; $B14 &amp; ""%' AND J='"" &amp; F$1 &amp; ""') label Count(A) ''""),0)"),1.0)</f>
        <v>1</v>
      </c>
    </row>
    <row r="15">
      <c r="A15" s="118" t="s">
        <v>1558</v>
      </c>
      <c r="B15" s="119" t="s">
        <v>262</v>
      </c>
      <c r="C15" s="120">
        <f>IFERROR(__xludf.DUMMYFUNCTION("IFNA(QUERY('1. Karten'!$A:$Q,""select count(A) where ("" &amp; IF($A$4=""*"",,""C="" &amp; $A$4 &amp; "" AND"") &amp; "" B LIKE '%"" &amp; $B15 &amp; ""%') label Count(A) ''""),0)"),3.0)</f>
        <v>3</v>
      </c>
      <c r="D15" s="101">
        <f>IFERROR(__xludf.DUMMYFUNCTION("IFNA(QUERY('1. Karten'!$A:$Q,""select count(A) where ("" &amp; IF($A$4=""*"",,""C="" &amp; $A$4 &amp; "" AND"") &amp; "" B LIKE '%"" &amp; $B15 &amp; ""%' AND J='"" &amp; D$1 &amp; ""') label Count(A) ''""),0)"),1.0)</f>
        <v>1</v>
      </c>
      <c r="E15" s="101">
        <f>IFERROR(__xludf.DUMMYFUNCTION("IFNA(QUERY('1. Karten'!$A:$Q,""select count(A) where ("" &amp; IF($A$4=""*"",,""C="" &amp; $A$4 &amp; "" AND"") &amp; "" B LIKE '%"" &amp; $B15 &amp; ""%' AND J='"" &amp; E$1 &amp; ""') label Count(A) ''""),0)"),1.0)</f>
        <v>1</v>
      </c>
      <c r="F15" s="102">
        <f>IFERROR(__xludf.DUMMYFUNCTION("IFNA(QUERY('1. Karten'!$A:$Q,""select count(A) where ("" &amp; IF($A$4=""*"",,""C="" &amp; $A$4 &amp; "" AND"") &amp; "" B LIKE '%"" &amp; $B15 &amp; ""%' AND J='"" &amp; F$1 &amp; ""') label Count(A) ''""),0)"),1.0)</f>
        <v>1</v>
      </c>
    </row>
    <row r="16">
      <c r="A16" s="118" t="s">
        <v>1559</v>
      </c>
      <c r="B16" s="119" t="s">
        <v>1056</v>
      </c>
      <c r="C16" s="120">
        <f>IFERROR(__xludf.DUMMYFUNCTION("IFNA(QUERY('1. Karten'!$A:$Q,""select count(A) where ("" &amp; IF($A$4=""*"",,""C="" &amp; $A$4 &amp; "" AND"") &amp; "" B LIKE '%"" &amp; $B16 &amp; ""%') label Count(A) ''""),0)"),3.0)</f>
        <v>3</v>
      </c>
      <c r="D16" s="101">
        <f>IFERROR(__xludf.DUMMYFUNCTION("IFNA(QUERY('1. Karten'!$A:$Q,""select count(A) where ("" &amp; IF($A$4=""*"",,""C="" &amp; $A$4 &amp; "" AND"") &amp; "" B LIKE '%"" &amp; $B16 &amp; ""%' AND J='"" &amp; D$1 &amp; ""') label Count(A) ''""),0)"),1.0)</f>
        <v>1</v>
      </c>
      <c r="E16" s="101">
        <f>IFERROR(__xludf.DUMMYFUNCTION("IFNA(QUERY('1. Karten'!$A:$Q,""select count(A) where ("" &amp; IF($A$4=""*"",,""C="" &amp; $A$4 &amp; "" AND"") &amp; "" B LIKE '%"" &amp; $B16 &amp; ""%' AND J='"" &amp; E$1 &amp; ""') label Count(A) ''""),0)"),1.0)</f>
        <v>1</v>
      </c>
      <c r="F16" s="102">
        <f>IFERROR(__xludf.DUMMYFUNCTION("IFNA(QUERY('1. Karten'!$A:$Q,""select count(A) where ("" &amp; IF($A$4=""*"",,""C="" &amp; $A$4 &amp; "" AND"") &amp; "" B LIKE '%"" &amp; $B16 &amp; ""%' AND J='"" &amp; F$1 &amp; ""') label Count(A) ''""),0)"),1.0)</f>
        <v>1</v>
      </c>
    </row>
    <row r="17">
      <c r="A17" s="118" t="s">
        <v>1560</v>
      </c>
      <c r="B17" s="119" t="s">
        <v>849</v>
      </c>
      <c r="C17" s="120">
        <f>IFERROR(__xludf.DUMMYFUNCTION("IFNA(QUERY('1. Karten'!$A:$Q,""select count(A) where ("" &amp; IF($A$4=""*"",,""C="" &amp; $A$4 &amp; "" AND"") &amp; "" B LIKE '%"" &amp; $B17 &amp; ""%') label Count(A) ''""),0)"),3.0)</f>
        <v>3</v>
      </c>
      <c r="D17" s="101">
        <f>IFERROR(__xludf.DUMMYFUNCTION("IFNA(QUERY('1. Karten'!$A:$Q,""select count(A) where ("" &amp; IF($A$4=""*"",,""C="" &amp; $A$4 &amp; "" AND"") &amp; "" B LIKE '%"" &amp; $B17 &amp; ""%' AND J='"" &amp; D$1 &amp; ""') label Count(A) ''""),0)"),1.0)</f>
        <v>1</v>
      </c>
      <c r="E17" s="101">
        <f>IFERROR(__xludf.DUMMYFUNCTION("IFNA(QUERY('1. Karten'!$A:$Q,""select count(A) where ("" &amp; IF($A$4=""*"",,""C="" &amp; $A$4 &amp; "" AND"") &amp; "" B LIKE '%"" &amp; $B17 &amp; ""%' AND J='"" &amp; E$1 &amp; ""') label Count(A) ''""),0)"),1.0)</f>
        <v>1</v>
      </c>
      <c r="F17" s="102">
        <f>IFERROR(__xludf.DUMMYFUNCTION("IFNA(QUERY('1. Karten'!$A:$Q,""select count(A) where ("" &amp; IF($A$4=""*"",,""C="" &amp; $A$4 &amp; "" AND"") &amp; "" B LIKE '%"" &amp; $B17 &amp; ""%' AND J='"" &amp; F$1 &amp; ""') label Count(A) ''""),0)"),1.0)</f>
        <v>1</v>
      </c>
    </row>
    <row r="18">
      <c r="A18" s="118" t="s">
        <v>1561</v>
      </c>
      <c r="B18" s="125" t="s">
        <v>1087</v>
      </c>
      <c r="C18" s="126">
        <f>IFERROR(__xludf.DUMMYFUNCTION("IFNA(QUERY('1. Karten'!$A:$Q,""select count(A) where ("" &amp; IF($A$4=""*"",,""C="" &amp; $A$4 &amp; "" AND"") &amp; "" B LIKE '%"" &amp; $B18 &amp; ""%') label Count(A) ''""),0)"),3.0)</f>
        <v>3</v>
      </c>
      <c r="D18" s="111">
        <f>IFERROR(__xludf.DUMMYFUNCTION("IFNA(QUERY('1. Karten'!$A:$Q,""select count(A) where ("" &amp; IF($A$4=""*"",,""C="" &amp; $A$4 &amp; "" AND"") &amp; "" B LIKE '%"" &amp; $B18 &amp; ""%' AND J='"" &amp; D$1 &amp; ""') label Count(A) ''""),0)"),1.0)</f>
        <v>1</v>
      </c>
      <c r="E18" s="111">
        <f>IFERROR(__xludf.DUMMYFUNCTION("IFNA(QUERY('1. Karten'!$A:$Q,""select count(A) where ("" &amp; IF($A$4=""*"",,""C="" &amp; $A$4 &amp; "" AND"") &amp; "" B LIKE '%"" &amp; $B18 &amp; ""%' AND J='"" &amp; E$1 &amp; ""') label Count(A) ''""),0)"),1.0)</f>
        <v>1</v>
      </c>
      <c r="F18" s="112">
        <f>IFERROR(__xludf.DUMMYFUNCTION("IFNA(QUERY('1. Karten'!$A:$Q,""select count(A) where ("" &amp; IF($A$4=""*"",,""C="" &amp; $A$4 &amp; "" AND"") &amp; "" B LIKE '%"" &amp; $B18 &amp; ""%' AND J='"" &amp; F$1 &amp; ""') label Count(A) ''""),0)"),1.0)</f>
        <v>1</v>
      </c>
      <c r="G18" s="20" t="s">
        <v>1562</v>
      </c>
    </row>
    <row r="19">
      <c r="A19" s="109" t="s">
        <v>1563</v>
      </c>
      <c r="B19" s="127"/>
      <c r="C19" s="128">
        <f>IFERROR(__xludf.DUMMYFUNCTION("IFNA(QUERY('1. Karten'!$A:$Q,""select count(A) where (C="" &amp; $A$4 &amp; "") label Count(A) ''""),0)"),170.0)</f>
        <v>170</v>
      </c>
      <c r="D19" s="128">
        <f>IFERROR(__xludf.DUMMYFUNCTION("IFNA(QUERY('1. Karten'!$A:$Q,""select count(A) where (C="" &amp; $A$4 &amp; "" AND J='"" &amp; D$1 &amp; ""') label Count(A) ''""),0)"),83.0)</f>
        <v>83</v>
      </c>
      <c r="E19" s="128">
        <f>IFERROR(__xludf.DUMMYFUNCTION("IFNA(QUERY('1. Karten'!$A:$Q,""select count(A) where (C="" &amp; $A$4 &amp; "" AND J='"" &amp; E$1 &amp; ""') label Count(A) ''""),0)"),54.0)</f>
        <v>54</v>
      </c>
      <c r="F19" s="128">
        <f>IFERROR(__xludf.DUMMYFUNCTION("IFNA(QUERY('1. Karten'!$A:$Q,""select count(A) where (C="" &amp; $A$4 &amp; "" AND J='"" &amp; F$1 &amp; ""') label Count(A) ''""),0)"),33.0)</f>
        <v>33</v>
      </c>
    </row>
    <row r="20">
      <c r="A20" s="129">
        <f>3*$D$19 + 2*$E$19 + $F$19</f>
        <v>390</v>
      </c>
      <c r="C20" s="130">
        <v>1.0</v>
      </c>
      <c r="D20" s="131" t="str">
        <f t="shared" ref="D20:F20" si="1">ROUND(D$19/$C$19*100,2) &amp; "%"</f>
        <v>48,82%</v>
      </c>
      <c r="E20" s="131" t="str">
        <f t="shared" si="1"/>
        <v>31,76%</v>
      </c>
      <c r="F20" s="131" t="str">
        <f t="shared" si="1"/>
        <v>19,41%</v>
      </c>
      <c r="I20" s="132" t="s">
        <v>1564</v>
      </c>
      <c r="J20" s="133" t="s">
        <v>1565</v>
      </c>
      <c r="K20" s="134" t="s">
        <v>1566</v>
      </c>
      <c r="L20" s="135" t="s">
        <v>1567</v>
      </c>
      <c r="M20" s="136" t="s">
        <v>1568</v>
      </c>
      <c r="N20" s="137" t="s">
        <v>1569</v>
      </c>
    </row>
    <row r="21">
      <c r="A21" s="109" t="s">
        <v>1570</v>
      </c>
      <c r="B21" s="138" t="s">
        <v>33</v>
      </c>
      <c r="C21" s="138" t="s">
        <v>69</v>
      </c>
      <c r="D21" s="138" t="s">
        <v>39</v>
      </c>
      <c r="E21" s="139" t="s">
        <v>1571</v>
      </c>
      <c r="F21" s="138" t="s">
        <v>1572</v>
      </c>
      <c r="H21" s="140" t="str">
        <f>IFERROR(__xludf.DUMMYFUNCTION("QUERY(UNIQUE(FLATTEN(MAP(UNIQUE(IFNA(QUERY('1. Karten'!$A$2:$Q1000,""select D where (C="" &amp; $A$4 &amp; "")"")),""""),LAMBDA(x,(SPLIT(x,"" "")))))),""SELECT * WHERE (Col1 IS NOT NULL) AND (Col1 matches '^\w+$')"")"),"Angel")</f>
        <v>Angel</v>
      </c>
      <c r="I21" s="141">
        <f>IFERROR(__xludf.DUMMYFUNCTION("IFNA(QUERY('1. Karten'!$A:$Q,""select count(A) where (C="" &amp; $A$4 &amp; "" AND D LIKE '%"" &amp; $H21 &amp; ""%') label Count(A) ''""),0)"),18.0)</f>
        <v>18</v>
      </c>
      <c r="J21" s="142">
        <f>IFERROR(__xludf.DUMMYFUNCTION("IFNA(QUERY('1. Karten'!$A:$Q,""select count(A) where (C="" &amp; $A$4 &amp; "" AND D LIKE '%"" &amp; $H21 &amp; ""%' AND B LIKE '%"" &amp; REGEXEXTRACT(J$20,""[^#\s]+"") &amp; ""%') label Count(A) ''""),0)"),15.0)</f>
        <v>15</v>
      </c>
      <c r="K21" s="142">
        <f>IFERROR(__xludf.DUMMYFUNCTION("IFNA(QUERY('1. Karten'!$A:$Q,""select count(A) where (C="" &amp; $A$4 &amp; "" AND D LIKE '%"" &amp; $H21 &amp; ""%' AND B LIKE '%"" &amp; REGEXEXTRACT(K$20,""[^#\s]+"") &amp; ""%') label Count(A) ''""),0)"),1.0)</f>
        <v>1</v>
      </c>
      <c r="L21" s="142">
        <f>IFERROR(__xludf.DUMMYFUNCTION("IFNA(QUERY('1. Karten'!$A:$Q,""select count(A) where (C="" &amp; $A$4 &amp; "" AND D LIKE '%"" &amp; $H21 &amp; ""%' AND B LIKE '%"" &amp; REGEXEXTRACT(L$20,""[^#\s]+"") &amp; ""%') label Count(A) ''""),0)"),2.0)</f>
        <v>2</v>
      </c>
      <c r="M21" s="142">
        <f>IFERROR(__xludf.DUMMYFUNCTION("IFNA(QUERY('1. Karten'!$A:$Q,""select count(A) where (C="" &amp; $A$4 &amp; "" AND D LIKE '%"" &amp; $H21 &amp; ""%' AND B LIKE '%"" &amp; REGEXEXTRACT(M$20,""[^#\s]+"") &amp; ""%') label Count(A) ''""),0)"),1.0)</f>
        <v>1</v>
      </c>
      <c r="N21" s="142">
        <f>IFERROR(__xludf.DUMMYFUNCTION("IFNA(QUERY('1. Karten'!$A:$Q,""select count(A) where (C="" &amp; $A$4 &amp; "" AND D LIKE '%"" &amp; $H21 &amp; ""%' AND B LIKE '%"" &amp; REGEXEXTRACT(N$20,""[^#\s]+"") &amp; ""%') label Count(A) ''""),0)"),4.0)</f>
        <v>4</v>
      </c>
    </row>
    <row r="22">
      <c r="A22" s="143" t="s">
        <v>15</v>
      </c>
      <c r="B22" s="101">
        <f>IFERROR(__xludf.DUMMYFUNCTION("IFNA(QUERY('1. Karten'!$A:$Q,""select count(A) where (C="" &amp; $A$4 &amp; "" AND F LIKE '%"" &amp; $A22 &amp; ""%' AND J='"" &amp; B$21 &amp; ""') label Count(A) ''""),0)"),3.0)</f>
        <v>3</v>
      </c>
      <c r="C22" s="101">
        <f>IFERROR(__xludf.DUMMYFUNCTION("IFNA(QUERY('1. Karten'!$A:$Q,""select count(A) where (C="" &amp; $A$4 &amp; "" AND F LIKE '%"" &amp; $A22 &amp; ""%' AND J='"" &amp; C$21 &amp; ""') label Count(A) ''""),0)"),1.0)</f>
        <v>1</v>
      </c>
      <c r="D22" s="101">
        <f>IFERROR(__xludf.DUMMYFUNCTION("IFNA(QUERY('1. Karten'!$A:$Q,""select count(A) where (C="" &amp; $A$4 &amp; "" AND F LIKE '%"" &amp; $A22 &amp; ""%' AND J='"" &amp; D$21 &amp; ""') label Count(A) ''""),0)"),1.0)</f>
        <v>1</v>
      </c>
      <c r="E22" s="144">
        <f t="shared" ref="E22:E34" si="2">SUM($B22:$D22)</f>
        <v>5</v>
      </c>
      <c r="F22" s="145">
        <f t="shared" ref="F22:F34" si="3">($E22/$A$2)</f>
        <v>0.02941176471</v>
      </c>
      <c r="H22" s="146" t="str">
        <f>IFERROR(__xludf.DUMMYFUNCTION("""COMPUTED_VALUE"""),"Warrior")</f>
        <v>Warrior</v>
      </c>
      <c r="I22" s="141">
        <f>IFERROR(__xludf.DUMMYFUNCTION("IFNA(QUERY('1. Karten'!$A:$Q,""select count(A) where (C="" &amp; $A$4 &amp; "" AND D LIKE '%"" &amp; $H22 &amp; ""%') label Count(A) ''""),0)"),20.0)</f>
        <v>20</v>
      </c>
      <c r="J22" s="142">
        <f>IFERROR(__xludf.DUMMYFUNCTION("IFNA(QUERY('1. Karten'!$A:$Q,""select count(A) where (C="" &amp; $A$4 &amp; "" AND D LIKE '%"" &amp; $H22 &amp; ""%' AND B LIKE '%"" &amp; REGEXEXTRACT(J$20,""[^#\s]+"") &amp; ""%') label Count(A) ''""),0)"),7.0)</f>
        <v>7</v>
      </c>
      <c r="K22" s="142">
        <f>IFERROR(__xludf.DUMMYFUNCTION("IFNA(QUERY('1. Karten'!$A:$Q,""select count(A) where (C="" &amp; $A$4 &amp; "" AND D LIKE '%"" &amp; $H22 &amp; ""%' AND B LIKE '%"" &amp; REGEXEXTRACT(K$20,""[^#\s]+"") &amp; ""%') label Count(A) ''""),0)"),1.0)</f>
        <v>1</v>
      </c>
      <c r="L22" s="142">
        <f>IFERROR(__xludf.DUMMYFUNCTION("IFNA(QUERY('1. Karten'!$A:$Q,""select count(A) where (C="" &amp; $A$4 &amp; "" AND D LIKE '%"" &amp; $H22 &amp; ""%' AND B LIKE '%"" &amp; REGEXEXTRACT(L$20,""[^#\s]+"") &amp; ""%') label Count(A) ''""),0)"),4.0)</f>
        <v>4</v>
      </c>
      <c r="M22" s="142">
        <f>IFERROR(__xludf.DUMMYFUNCTION("IFNA(QUERY('1. Karten'!$A:$Q,""select count(A) where (C="" &amp; $A$4 &amp; "" AND D LIKE '%"" &amp; $H22 &amp; ""%' AND B LIKE '%"" &amp; REGEXEXTRACT(M$20,""[^#\s]+"") &amp; ""%') label Count(A) ''""),0)"),11.0)</f>
        <v>11</v>
      </c>
      <c r="N22" s="142">
        <f>IFERROR(__xludf.DUMMYFUNCTION("IFNA(QUERY('1. Karten'!$A:$Q,""select count(A) where (C="" &amp; $A$4 &amp; "" AND D LIKE '%"" &amp; $H22 &amp; ""%' AND B LIKE '%"" &amp; REGEXEXTRACT(N$20,""[^#\s]+"") &amp; ""%') label Count(A) ''""),0)"),3.0)</f>
        <v>3</v>
      </c>
    </row>
    <row r="23">
      <c r="A23" s="143" t="s">
        <v>11</v>
      </c>
      <c r="B23" s="101">
        <f>IFERROR(__xludf.DUMMYFUNCTION("IFNA(QUERY('1. Karten'!$A:$Q,""select count(A) where (C="" &amp; $A$4 &amp; "" AND F LIKE '%"" &amp; $A23 &amp; ""%' AND J='"" &amp; B$21 &amp; ""') label Count(A) ''""),0)"),2.0)</f>
        <v>2</v>
      </c>
      <c r="C23" s="101">
        <f>IFERROR(__xludf.DUMMYFUNCTION("IFNA(QUERY('1. Karten'!$A:$Q,""select count(A) where (C="" &amp; $A$4 &amp; "" AND F LIKE '%"" &amp; $A23 &amp; ""%' AND J='"" &amp; C$21 &amp; ""') label Count(A) ''""),0)"),1.0)</f>
        <v>1</v>
      </c>
      <c r="D23" s="101">
        <f>IFERROR(__xludf.DUMMYFUNCTION("IFNA(QUERY('1. Karten'!$A:$Q,""select count(A) where (C="" &amp; $A$4 &amp; "" AND F LIKE '%"" &amp; $A23 &amp; ""%' AND J='"" &amp; D$21 &amp; ""') label Count(A) ''""),0)"),1.0)</f>
        <v>1</v>
      </c>
      <c r="E23" s="144">
        <f t="shared" si="2"/>
        <v>4</v>
      </c>
      <c r="F23" s="145">
        <f t="shared" si="3"/>
        <v>0.02352941176</v>
      </c>
      <c r="H23" s="146" t="str">
        <f>IFERROR(__xludf.DUMMYFUNCTION("""COMPUTED_VALUE"""),"Construct")</f>
        <v>Construct</v>
      </c>
      <c r="I23" s="141">
        <f>IFERROR(__xludf.DUMMYFUNCTION("IFNA(QUERY('1. Karten'!$A:$Q,""select count(A) where (C="" &amp; $A$4 &amp; "" AND D LIKE '%"" &amp; $H23 &amp; ""%') label Count(A) ''""),0)"),26.0)</f>
        <v>26</v>
      </c>
      <c r="J23" s="142">
        <f>IFERROR(__xludf.DUMMYFUNCTION("IFNA(QUERY('1. Karten'!$A:$Q,""select count(A) where (C="" &amp; $A$4 &amp; "" AND D LIKE '%"" &amp; $H23 &amp; ""%' AND B LIKE '%"" &amp; REGEXEXTRACT(J$20,""[^#\s]+"") &amp; ""%') label Count(A) ''""),0)"),14.0)</f>
        <v>14</v>
      </c>
      <c r="K23" s="142">
        <f>IFERROR(__xludf.DUMMYFUNCTION("IFNA(QUERY('1. Karten'!$A:$Q,""select count(A) where (C="" &amp; $A$4 &amp; "" AND D LIKE '%"" &amp; $H23 &amp; ""%' AND B LIKE '%"" &amp; REGEXEXTRACT(K$20,""[^#\s]+"") &amp; ""%') label Count(A) ''""),0)"),2.0)</f>
        <v>2</v>
      </c>
      <c r="L23" s="142">
        <f>IFERROR(__xludf.DUMMYFUNCTION("IFNA(QUERY('1. Karten'!$A:$Q,""select count(A) where (C="" &amp; $A$4 &amp; "" AND D LIKE '%"" &amp; $H23 &amp; ""%' AND B LIKE '%"" &amp; REGEXEXTRACT(L$20,""[^#\s]+"") &amp; ""%') label Count(A) ''""),0)"),1.0)</f>
        <v>1</v>
      </c>
      <c r="M23" s="142">
        <f>IFERROR(__xludf.DUMMYFUNCTION("IFNA(QUERY('1. Karten'!$A:$Q,""select count(A) where (C="" &amp; $A$4 &amp; "" AND D LIKE '%"" &amp; $H23 &amp; ""%' AND B LIKE '%"" &amp; REGEXEXTRACT(M$20,""[^#\s]+"") &amp; ""%') label Count(A) ''""),0)"),6.0)</f>
        <v>6</v>
      </c>
      <c r="N23" s="142">
        <f>IFERROR(__xludf.DUMMYFUNCTION("IFNA(QUERY('1. Karten'!$A:$Q,""select count(A) where (C="" &amp; $A$4 &amp; "" AND D LIKE '%"" &amp; $H23 &amp; ""%' AND B LIKE '%"" &amp; REGEXEXTRACT(N$20,""[^#\s]+"") &amp; ""%') label Count(A) ''""),0)"),2.0)</f>
        <v>2</v>
      </c>
    </row>
    <row r="24">
      <c r="A24" s="143" t="s">
        <v>14</v>
      </c>
      <c r="B24" s="101">
        <f>IFERROR(__xludf.DUMMYFUNCTION("IFNA(QUERY('1. Karten'!$A:$Q,""select count(A) where (C="" &amp; $A$4 &amp; "" AND F LIKE '%"" &amp; $A24 &amp; ""%' AND J='"" &amp; B$21 &amp; ""') label Count(A) ''""),0)"),2.0)</f>
        <v>2</v>
      </c>
      <c r="C24" s="101">
        <f>IFERROR(__xludf.DUMMYFUNCTION("IFNA(QUERY('1. Karten'!$A:$Q,""select count(A) where (C="" &amp; $A$4 &amp; "" AND F LIKE '%"" &amp; $A24 &amp; ""%' AND J='"" &amp; C$21 &amp; ""') label Count(A) ''""),0)"),2.0)</f>
        <v>2</v>
      </c>
      <c r="D24" s="101">
        <f>IFERROR(__xludf.DUMMYFUNCTION("IFNA(QUERY('1. Karten'!$A:$Q,""select count(A) where (C="" &amp; $A$4 &amp; "" AND F LIKE '%"" &amp; $A24 &amp; ""%' AND J='"" &amp; D$21 &amp; ""') label Count(A) ''""),0)"),1.0)</f>
        <v>1</v>
      </c>
      <c r="E24" s="144">
        <f t="shared" si="2"/>
        <v>5</v>
      </c>
      <c r="F24" s="145">
        <f t="shared" si="3"/>
        <v>0.02941176471</v>
      </c>
      <c r="H24" s="146" t="str">
        <f>IFERROR(__xludf.DUMMYFUNCTION("""COMPUTED_VALUE"""),"Dragon")</f>
        <v>Dragon</v>
      </c>
      <c r="I24" s="141">
        <f>IFERROR(__xludf.DUMMYFUNCTION("IFNA(QUERY('1. Karten'!$A:$Q,""select count(A) where (C="" &amp; $A$4 &amp; "" AND D LIKE '%"" &amp; $H24 &amp; ""%') label Count(A) ''""),0)"),19.0)</f>
        <v>19</v>
      </c>
      <c r="J24" s="142">
        <f>IFERROR(__xludf.DUMMYFUNCTION("IFNA(QUERY('1. Karten'!$A:$Q,""select count(A) where (C="" &amp; $A$4 &amp; "" AND D LIKE '%"" &amp; $H24 &amp; ""%' AND B LIKE '%"" &amp; REGEXEXTRACT(J$20,""[^#\s]+"") &amp; ""%') label Count(A) ''""),0)"),2.0)</f>
        <v>2</v>
      </c>
      <c r="K24" s="142">
        <f>IFERROR(__xludf.DUMMYFUNCTION("IFNA(QUERY('1. Karten'!$A:$Q,""select count(A) where (C="" &amp; $A$4 &amp; "" AND D LIKE '%"" &amp; $H24 &amp; ""%' AND B LIKE '%"" &amp; REGEXEXTRACT(K$20,""[^#\s]+"") &amp; ""%') label Count(A) ''""),0)"),3.0)</f>
        <v>3</v>
      </c>
      <c r="L24" s="142">
        <f>IFERROR(__xludf.DUMMYFUNCTION("IFNA(QUERY('1. Karten'!$A:$Q,""select count(A) where (C="" &amp; $A$4 &amp; "" AND D LIKE '%"" &amp; $H24 &amp; ""%' AND B LIKE '%"" &amp; REGEXEXTRACT(L$20,""[^#\s]+"") &amp; ""%') label Count(A) ''""),0)"),15.0)</f>
        <v>15</v>
      </c>
      <c r="M24" s="142">
        <f>IFERROR(__xludf.DUMMYFUNCTION("IFNA(QUERY('1. Karten'!$A:$Q,""select count(A) where (C="" &amp; $A$4 &amp; "" AND D LIKE '%"" &amp; $H24 &amp; ""%' AND B LIKE '%"" &amp; REGEXEXTRACT(M$20,""[^#\s]+"") &amp; ""%') label Count(A) ''""),0)"),3.0)</f>
        <v>3</v>
      </c>
      <c r="N24" s="142">
        <f>IFERROR(__xludf.DUMMYFUNCTION("IFNA(QUERY('1. Karten'!$A:$Q,""select count(A) where (C="" &amp; $A$4 &amp; "" AND D LIKE '%"" &amp; $H24 &amp; ""%' AND B LIKE '%"" &amp; REGEXEXTRACT(N$20,""[^#\s]+"") &amp; ""%') label Count(A) ''""),0)"),1.0)</f>
        <v>1</v>
      </c>
    </row>
    <row r="25">
      <c r="A25" s="143" t="s">
        <v>12</v>
      </c>
      <c r="B25" s="101">
        <f>IFERROR(__xludf.DUMMYFUNCTION("IFNA(QUERY('1. Karten'!$A:$Q,""select count(A) where (C="" &amp; $A$4 &amp; "" AND F LIKE '%"" &amp; $A25 &amp; ""%' AND J='"" &amp; B$21 &amp; ""') label Count(A) ''""),0)"),2.0)</f>
        <v>2</v>
      </c>
      <c r="C25" s="101">
        <f>IFERROR(__xludf.DUMMYFUNCTION("IFNA(QUERY('1. Karten'!$A:$Q,""select count(A) where (C="" &amp; $A$4 &amp; "" AND F LIKE '%"" &amp; $A25 &amp; ""%' AND J='"" &amp; C$21 &amp; ""') label Count(A) ''""),0)"),1.0)</f>
        <v>1</v>
      </c>
      <c r="D25" s="101">
        <f>IFERROR(__xludf.DUMMYFUNCTION("IFNA(QUERY('1. Karten'!$A:$Q,""select count(A) where (C="" &amp; $A$4 &amp; "" AND F LIKE '%"" &amp; $A25 &amp; ""%' AND J='"" &amp; D$21 &amp; ""') label Count(A) ''""),0)"),1.0)</f>
        <v>1</v>
      </c>
      <c r="E25" s="144">
        <f t="shared" si="2"/>
        <v>4</v>
      </c>
      <c r="F25" s="145">
        <f t="shared" si="3"/>
        <v>0.02352941176</v>
      </c>
      <c r="H25" s="146" t="str">
        <f>IFERROR(__xludf.DUMMYFUNCTION("""COMPUTED_VALUE"""),"Insect")</f>
        <v>Insect</v>
      </c>
      <c r="I25" s="141">
        <f>IFERROR(__xludf.DUMMYFUNCTION("IFNA(QUERY('1. Karten'!$A:$Q,""select count(A) where (C="" &amp; $A$4 &amp; "" AND D LIKE '%"" &amp; $H25 &amp; ""%') label Count(A) ''""),0)"),11.0)</f>
        <v>11</v>
      </c>
      <c r="J25" s="142">
        <f>IFERROR(__xludf.DUMMYFUNCTION("IFNA(QUERY('1. Karten'!$A:$Q,""select count(A) where (C="" &amp; $A$4 &amp; "" AND D LIKE '%"" &amp; $H25 &amp; ""%' AND B LIKE '%"" &amp; REGEXEXTRACT(J$20,""[^#\s]+"") &amp; ""%') label Count(A) ''""),0)"),1.0)</f>
        <v>1</v>
      </c>
      <c r="K25" s="142">
        <f>IFERROR(__xludf.DUMMYFUNCTION("IFNA(QUERY('1. Karten'!$A:$Q,""select count(A) where (C="" &amp; $A$4 &amp; "" AND D LIKE '%"" &amp; $H25 &amp; ""%' AND B LIKE '%"" &amp; REGEXEXTRACT(K$20,""[^#\s]+"") &amp; ""%') label Count(A) ''""),0)"),4.0)</f>
        <v>4</v>
      </c>
      <c r="L25" s="142">
        <f>IFERROR(__xludf.DUMMYFUNCTION("IFNA(QUERY('1. Karten'!$A:$Q,""select count(A) where (C="" &amp; $A$4 &amp; "" AND D LIKE '%"" &amp; $H25 &amp; ""%' AND B LIKE '%"" &amp; REGEXEXTRACT(L$20,""[^#\s]+"") &amp; ""%') label Count(A) ''""),0)"),2.0)</f>
        <v>2</v>
      </c>
      <c r="M25" s="142">
        <f>IFERROR(__xludf.DUMMYFUNCTION("IFNA(QUERY('1. Karten'!$A:$Q,""select count(A) where (C="" &amp; $A$4 &amp; "" AND D LIKE '%"" &amp; $H25 &amp; ""%' AND B LIKE '%"" &amp; REGEXEXTRACT(M$20,""[^#\s]+"") &amp; ""%') label Count(A) ''""),0)"),1.0)</f>
        <v>1</v>
      </c>
      <c r="N25" s="142">
        <f>IFERROR(__xludf.DUMMYFUNCTION("IFNA(QUERY('1. Karten'!$A:$Q,""select count(A) where (C="" &amp; $A$4 &amp; "" AND D LIKE '%"" &amp; $H25 &amp; ""%' AND B LIKE '%"" &amp; REGEXEXTRACT(N$20,""[^#\s]+"") &amp; ""%') label Count(A) ''""),0)"),4.0)</f>
        <v>4</v>
      </c>
    </row>
    <row r="26">
      <c r="A26" s="143" t="s">
        <v>13</v>
      </c>
      <c r="B26" s="101">
        <f>IFERROR(__xludf.DUMMYFUNCTION("IFNA(QUERY('1. Karten'!$A:$Q,""select count(A) where (C="" &amp; $A$4 &amp; "" AND F LIKE '%"" &amp; $A26 &amp; ""%' AND J='"" &amp; B$21 &amp; ""') label Count(A) ''""),0)"),4.0)</f>
        <v>4</v>
      </c>
      <c r="C26" s="101">
        <f>IFERROR(__xludf.DUMMYFUNCTION("IFNA(QUERY('1. Karten'!$A:$Q,""select count(A) where (C="" &amp; $A$4 &amp; "" AND F LIKE '%"" &amp; $A26 &amp; ""%' AND J='"" &amp; C$21 &amp; ""') label Count(A) ''""),0)"),2.0)</f>
        <v>2</v>
      </c>
      <c r="D26" s="101">
        <f>IFERROR(__xludf.DUMMYFUNCTION("IFNA(QUERY('1. Karten'!$A:$Q,""select count(A) where (C="" &amp; $A$4 &amp; "" AND F LIKE '%"" &amp; $A26 &amp; ""%' AND J='"" &amp; D$21 &amp; ""') label Count(A) ''""),0)"),1.0)</f>
        <v>1</v>
      </c>
      <c r="E26" s="144">
        <f t="shared" si="2"/>
        <v>7</v>
      </c>
      <c r="F26" s="145">
        <f t="shared" si="3"/>
        <v>0.04117647059</v>
      </c>
      <c r="H26" s="146" t="str">
        <f>IFERROR(__xludf.DUMMYFUNCTION("""COMPUTED_VALUE"""),"Undead")</f>
        <v>Undead</v>
      </c>
      <c r="I26" s="141">
        <f>IFERROR(__xludf.DUMMYFUNCTION("IFNA(QUERY('1. Karten'!$A:$Q,""select count(A) where (C="" &amp; $A$4 &amp; "" AND D LIKE '%"" &amp; $H26 &amp; ""%') label Count(A) ''""),0)"),19.0)</f>
        <v>19</v>
      </c>
      <c r="J26" s="142">
        <f>IFERROR(__xludf.DUMMYFUNCTION("IFNA(QUERY('1. Karten'!$A:$Q,""select count(A) where (C="" &amp; $A$4 &amp; "" AND D LIKE '%"" &amp; $H26 &amp; ""%' AND B LIKE '%"" &amp; REGEXEXTRACT(J$20,""[^#\s]+"") &amp; ""%') label Count(A) ''""),0)"),4.0)</f>
        <v>4</v>
      </c>
      <c r="K26" s="142">
        <f>IFERROR(__xludf.DUMMYFUNCTION("IFNA(QUERY('1. Karten'!$A:$Q,""select count(A) where (C="" &amp; $A$4 &amp; "" AND D LIKE '%"" &amp; $H26 &amp; ""%' AND B LIKE '%"" &amp; REGEXEXTRACT(K$20,""[^#\s]+"") &amp; ""%') label Count(A) ''""),0)"),1.0)</f>
        <v>1</v>
      </c>
      <c r="L26" s="142">
        <f>IFERROR(__xludf.DUMMYFUNCTION("IFNA(QUERY('1. Karten'!$A:$Q,""select count(A) where (C="" &amp; $A$4 &amp; "" AND D LIKE '%"" &amp; $H26 &amp; ""%' AND B LIKE '%"" &amp; REGEXEXTRACT(L$20,""[^#\s]+"") &amp; ""%') label Count(A) ''""),0)"),2.0)</f>
        <v>2</v>
      </c>
      <c r="M26" s="142">
        <f>IFERROR(__xludf.DUMMYFUNCTION("IFNA(QUERY('1. Karten'!$A:$Q,""select count(A) where (C="" &amp; $A$4 &amp; "" AND D LIKE '%"" &amp; $H26 &amp; ""%' AND B LIKE '%"" &amp; REGEXEXTRACT(M$20,""[^#\s]+"") &amp; ""%') label Count(A) ''""),0)"),2.0)</f>
        <v>2</v>
      </c>
      <c r="N26" s="142">
        <f>IFERROR(__xludf.DUMMYFUNCTION("IFNA(QUERY('1. Karten'!$A:$Q,""select count(A) where (C="" &amp; $A$4 &amp; "" AND D LIKE '%"" &amp; $H26 &amp; ""%' AND B LIKE '%"" &amp; REGEXEXTRACT(N$20,""[^#\s]+"") &amp; ""%') label Count(A) ''""),0)"),15.0)</f>
        <v>15</v>
      </c>
    </row>
    <row r="27">
      <c r="A27" s="147" t="s">
        <v>1573</v>
      </c>
      <c r="B27" s="101">
        <f>IFERROR(__xludf.DUMMYFUNCTION("IFNA(QUERY('1. Karten'!$A:$Q,""select count(A) where (C="" &amp; $A$4 &amp; "" AND F LIKE '%"" &amp; $A27 &amp; ""%' AND J='"" &amp; B$21 &amp; ""') label Count(A) ''""),0)"),11.0)</f>
        <v>11</v>
      </c>
      <c r="C27" s="101">
        <f>IFERROR(__xludf.DUMMYFUNCTION("IFNA(QUERY('1. Karten'!$A:$Q,""select count(A) where (C="" &amp; $A$4 &amp; "" AND F LIKE '%"" &amp; $A27 &amp; ""%' AND J='"" &amp; C$21 &amp; ""') label Count(A) ''""),0)"),12.0)</f>
        <v>12</v>
      </c>
      <c r="D27" s="101">
        <f>IFERROR(__xludf.DUMMYFUNCTION("IFNA(QUERY('1. Karten'!$A:$Q,""select count(A) where (C="" &amp; $A$4 &amp; "" AND F LIKE '%"" &amp; $A27 &amp; ""%' AND J='"" &amp; D$21 &amp; ""') label Count(A) ''""),0)"),3.0)</f>
        <v>3</v>
      </c>
      <c r="E27" s="144">
        <f t="shared" si="2"/>
        <v>26</v>
      </c>
      <c r="F27" s="148">
        <f t="shared" si="3"/>
        <v>0.1529411765</v>
      </c>
      <c r="H27" s="146" t="str">
        <f>IFERROR(__xludf.DUMMYFUNCTION("""COMPUTED_VALUE"""),"Wizard")</f>
        <v>Wizard</v>
      </c>
      <c r="I27" s="141">
        <f>IFERROR(__xludf.DUMMYFUNCTION("IFNA(QUERY('1. Karten'!$A:$Q,""select count(A) where (C="" &amp; $A$4 &amp; "" AND D LIKE '%"" &amp; $H27 &amp; ""%') label Count(A) ''""),0)"),19.0)</f>
        <v>19</v>
      </c>
      <c r="J27" s="142">
        <f>IFERROR(__xludf.DUMMYFUNCTION("IFNA(QUERY('1. Karten'!$A:$Q,""select count(A) where (C="" &amp; $A$4 &amp; "" AND D LIKE '%"" &amp; $H27 &amp; ""%' AND B LIKE '%"" &amp; REGEXEXTRACT(J$20,""[^#\s]+"") &amp; ""%') label Count(A) ''""),0)"),4.0)</f>
        <v>4</v>
      </c>
      <c r="K27" s="142">
        <f>IFERROR(__xludf.DUMMYFUNCTION("IFNA(QUERY('1. Karten'!$A:$Q,""select count(A) where (C="" &amp; $A$4 &amp; "" AND D LIKE '%"" &amp; $H27 &amp; ""%' AND B LIKE '%"" &amp; REGEXEXTRACT(K$20,""[^#\s]+"") &amp; ""%') label Count(A) ''""),0)"),3.0)</f>
        <v>3</v>
      </c>
      <c r="L27" s="142">
        <f>IFERROR(__xludf.DUMMYFUNCTION("IFNA(QUERY('1. Karten'!$A:$Q,""select count(A) where (C="" &amp; $A$4 &amp; "" AND D LIKE '%"" &amp; $H27 &amp; ""%' AND B LIKE '%"" &amp; REGEXEXTRACT(L$20,""[^#\s]+"") &amp; ""%') label Count(A) ''""),0)"),8.0)</f>
        <v>8</v>
      </c>
      <c r="M27" s="142">
        <f>IFERROR(__xludf.DUMMYFUNCTION("IFNA(QUERY('1. Karten'!$A:$Q,""select count(A) where (C="" &amp; $A$4 &amp; "" AND D LIKE '%"" &amp; $H27 &amp; ""%' AND B LIKE '%"" &amp; REGEXEXTRACT(M$20,""[^#\s]+"") &amp; ""%') label Count(A) ''""),0)"),4.0)</f>
        <v>4</v>
      </c>
      <c r="N27" s="142">
        <f>IFERROR(__xludf.DUMMYFUNCTION("IFNA(QUERY('1. Karten'!$A:$Q,""select count(A) where (C="" &amp; $A$4 &amp; "" AND D LIKE '%"" &amp; $H27 &amp; ""%' AND B LIKE '%"" &amp; REGEXEXTRACT(N$20,""[^#\s]+"") &amp; ""%') label Count(A) ''""),0)"),5.0)</f>
        <v>5</v>
      </c>
    </row>
    <row r="28">
      <c r="A28" s="149" t="s">
        <v>1574</v>
      </c>
      <c r="B28" s="101">
        <f>IFERROR(__xludf.DUMMYFUNCTION("IFNA(QUERY('1. Karten'!$A:$Q,""select count(A) where (C="" &amp; $A$4 &amp; "" AND F LIKE '%"" &amp; $A28 &amp; ""%' AND J='"" &amp; B$21 &amp; ""') label Count(A) ''""),0)"),9.0)</f>
        <v>9</v>
      </c>
      <c r="C28" s="101">
        <f>IFERROR(__xludf.DUMMYFUNCTION("IFNA(QUERY('1. Karten'!$A:$Q,""select count(A) where (C="" &amp; $A$4 &amp; "" AND F LIKE '%"" &amp; $A28 &amp; ""%' AND J='"" &amp; C$21 &amp; ""') label Count(A) ''""),0)"),11.0)</f>
        <v>11</v>
      </c>
      <c r="D28" s="101">
        <f>IFERROR(__xludf.DUMMYFUNCTION("IFNA(QUERY('1. Karten'!$A:$Q,""select count(A) where (C="" &amp; $A$4 &amp; "" AND F LIKE '%"" &amp; $A28 &amp; ""%' AND J='"" &amp; D$21 &amp; ""') label Count(A) ''""),0)"),8.0)</f>
        <v>8</v>
      </c>
      <c r="E28" s="150">
        <f t="shared" si="2"/>
        <v>28</v>
      </c>
      <c r="F28" s="151">
        <f t="shared" si="3"/>
        <v>0.1647058824</v>
      </c>
      <c r="H28" s="146" t="str">
        <f>IFERROR(__xludf.DUMMYFUNCTION("""COMPUTED_VALUE"""),"Animal")</f>
        <v>Animal</v>
      </c>
      <c r="I28" s="141">
        <f>IFERROR(__xludf.DUMMYFUNCTION("IFNA(QUERY('1. Karten'!$A:$Q,""select count(A) where (C="" &amp; $A$4 &amp; "" AND D LIKE '%"" &amp; $H28 &amp; ""%') label Count(A) ''""),0)"),33.0)</f>
        <v>33</v>
      </c>
      <c r="J28" s="142">
        <f>IFERROR(__xludf.DUMMYFUNCTION("IFNA(QUERY('1. Karten'!$A:$Q,""select count(A) where (C="" &amp; $A$4 &amp; "" AND D LIKE '%"" &amp; $H28 &amp; ""%' AND B LIKE '%"" &amp; REGEXEXTRACT(J$20,""[^#\s]+"") &amp; ""%') label Count(A) ''""),0)"),11.0)</f>
        <v>11</v>
      </c>
      <c r="K28" s="142">
        <f>IFERROR(__xludf.DUMMYFUNCTION("IFNA(QUERY('1. Karten'!$A:$Q,""select count(A) where (C="" &amp; $A$4 &amp; "" AND D LIKE '%"" &amp; $H28 &amp; ""%' AND B LIKE '%"" &amp; REGEXEXTRACT(K$20,""[^#\s]+"") &amp; ""%') label Count(A) ''""),0)"),12.0)</f>
        <v>12</v>
      </c>
      <c r="L28" s="142">
        <f>IFERROR(__xludf.DUMMYFUNCTION("IFNA(QUERY('1. Karten'!$A:$Q,""select count(A) where (C="" &amp; $A$4 &amp; "" AND D LIKE '%"" &amp; $H28 &amp; ""%' AND B LIKE '%"" &amp; REGEXEXTRACT(L$20,""[^#\s]+"") &amp; ""%') label Count(A) ''""),0)"),4.0)</f>
        <v>4</v>
      </c>
      <c r="M28" s="142">
        <f>IFERROR(__xludf.DUMMYFUNCTION("IFNA(QUERY('1. Karten'!$A:$Q,""select count(A) where (C="" &amp; $A$4 &amp; "" AND D LIKE '%"" &amp; $H28 &amp; ""%' AND B LIKE '%"" &amp; REGEXEXTRACT(M$20,""[^#\s]+"") &amp; ""%') label Count(A) ''""),0)"),9.0)</f>
        <v>9</v>
      </c>
      <c r="N28" s="142">
        <f>IFERROR(__xludf.DUMMYFUNCTION("IFNA(QUERY('1. Karten'!$A:$Q,""select count(A) where (C="" &amp; $A$4 &amp; "" AND D LIKE '%"" &amp; $H28 &amp; ""%' AND B LIKE '%"" &amp; REGEXEXTRACT(N$20,""[^#\s]+"") &amp; ""%') label Count(A) ''""),0)"),5.0)</f>
        <v>5</v>
      </c>
    </row>
    <row r="29">
      <c r="A29" s="152" t="s">
        <v>1575</v>
      </c>
      <c r="B29" s="101">
        <f>IFERROR(__xludf.DUMMYFUNCTION("IFNA(QUERY('1. Karten'!$A:$Q,""select count(A) where (C="" &amp; $A$4 &amp; "" AND F LIKE '%"" &amp; $A29 &amp; ""%' AND J='"" &amp; B$21 &amp; ""') label Count(A) ''""),0)"),2.0)</f>
        <v>2</v>
      </c>
      <c r="C29" s="101">
        <f>IFERROR(__xludf.DUMMYFUNCTION("IFNA(QUERY('1. Karten'!$A:$Q,""select count(A) where (C="" &amp; $A$4 &amp; "" AND F LIKE '%"" &amp; $A29 &amp; ""%' AND J='"" &amp; C$21 &amp; ""') label Count(A) ''""),0)"),14.0)</f>
        <v>14</v>
      </c>
      <c r="D29" s="101">
        <f>IFERROR(__xludf.DUMMYFUNCTION("IFNA(QUERY('1. Karten'!$A:$Q,""select count(A) where (C="" &amp; $A$4 &amp; "" AND F LIKE '%"" &amp; $A29 &amp; ""%' AND J='"" &amp; D$21 &amp; ""') label Count(A) ''""),0)"),5.0)</f>
        <v>5</v>
      </c>
      <c r="E29" s="153">
        <f t="shared" si="2"/>
        <v>21</v>
      </c>
      <c r="F29" s="154">
        <f t="shared" si="3"/>
        <v>0.1235294118</v>
      </c>
      <c r="H29" s="146" t="str">
        <f>IFERROR(__xludf.DUMMYFUNCTION("""COMPUTED_VALUE"""),"Human")</f>
        <v>Human</v>
      </c>
      <c r="I29" s="141">
        <f>IFERROR(__xludf.DUMMYFUNCTION("IFNA(QUERY('1. Karten'!$A:$Q,""select count(A) where (C="" &amp; $A$4 &amp; "" AND D LIKE '%"" &amp; $H29 &amp; ""%') label Count(A) ''""),0)"),26.0)</f>
        <v>26</v>
      </c>
      <c r="J29" s="142">
        <f>IFERROR(__xludf.DUMMYFUNCTION("IFNA(QUERY('1. Karten'!$A:$Q,""select count(A) where (C="" &amp; $A$4 &amp; "" AND D LIKE '%"" &amp; $H29 &amp; ""%' AND B LIKE '%"" &amp; REGEXEXTRACT(J$20,""[^#\s]+"") &amp; ""%') label Count(A) ''""),0)"),2.0)</f>
        <v>2</v>
      </c>
      <c r="K29" s="142">
        <f>IFERROR(__xludf.DUMMYFUNCTION("IFNA(QUERY('1. Karten'!$A:$Q,""select count(A) where (C="" &amp; $A$4 &amp; "" AND D LIKE '%"" &amp; $H29 &amp; ""%' AND B LIKE '%"" &amp; REGEXEXTRACT(K$20,""[^#\s]+"") &amp; ""%') label Count(A) ''""),0)"),1.0)</f>
        <v>1</v>
      </c>
      <c r="L29" s="142">
        <f>IFERROR(__xludf.DUMMYFUNCTION("IFNA(QUERY('1. Karten'!$A:$Q,""select count(A) where (C="" &amp; $A$4 &amp; "" AND D LIKE '%"" &amp; $H29 &amp; ""%' AND B LIKE '%"" &amp; REGEXEXTRACT(L$20,""[^#\s]+"") &amp; ""%') label Count(A) ''""),0)"),9.0)</f>
        <v>9</v>
      </c>
      <c r="M29" s="142">
        <f>IFERROR(__xludf.DUMMYFUNCTION("IFNA(QUERY('1. Karten'!$A:$Q,""select count(A) where (C="" &amp; $A$4 &amp; "" AND D LIKE '%"" &amp; $H29 &amp; ""%' AND B LIKE '%"" &amp; REGEXEXTRACT(M$20,""[^#\s]+"") &amp; ""%') label Count(A) ''""),0)"),17.0)</f>
        <v>17</v>
      </c>
      <c r="N29" s="142">
        <f>IFERROR(__xludf.DUMMYFUNCTION("IFNA(QUERY('1. Karten'!$A:$Q,""select count(A) where (C="" &amp; $A$4 &amp; "" AND D LIKE '%"" &amp; $H29 &amp; ""%' AND B LIKE '%"" &amp; REGEXEXTRACT(N$20,""[^#\s]+"") &amp; ""%') label Count(A) ''""),0)"),3.0)</f>
        <v>3</v>
      </c>
    </row>
    <row r="30">
      <c r="A30" s="143" t="s">
        <v>1576</v>
      </c>
      <c r="B30" s="101">
        <f>IFERROR(__xludf.DUMMYFUNCTION("IFNA(QUERY('1. Karten'!$A:$Q,""select count(A) where (C="" &amp; $A$4 &amp; "" AND F LIKE '%"" &amp; $A30 &amp; ""%' AND J='"" &amp; B$21 &amp; ""') label Count(A) ''""),0)"),1.0)</f>
        <v>1</v>
      </c>
      <c r="C30" s="101">
        <f>IFERROR(__xludf.DUMMYFUNCTION("IFNA(QUERY('1. Karten'!$A:$Q,""select count(A) where (C="" &amp; $A$4 &amp; "" AND F LIKE '%"" &amp; $A30 &amp; ""%' AND J='"" &amp; C$21 &amp; ""') label Count(A) ''""),0)"),4.0)</f>
        <v>4</v>
      </c>
      <c r="D30" s="101">
        <f>IFERROR(__xludf.DUMMYFUNCTION("IFNA(QUERY('1. Karten'!$A:$Q,""select count(A) where (C="" &amp; $A$4 &amp; "" AND F LIKE '%"" &amp; $A30 &amp; ""%' AND J='"" &amp; D$21 &amp; ""') label Count(A) ''""),0)"),3.0)</f>
        <v>3</v>
      </c>
      <c r="E30" s="144">
        <f t="shared" si="2"/>
        <v>8</v>
      </c>
      <c r="F30" s="145">
        <f t="shared" si="3"/>
        <v>0.04705882353</v>
      </c>
      <c r="H30" s="146" t="str">
        <f>IFERROR(__xludf.DUMMYFUNCTION("""COMPUTED_VALUE"""),"Hunter")</f>
        <v>Hunter</v>
      </c>
      <c r="I30" s="141">
        <f>IFERROR(__xludf.DUMMYFUNCTION("IFNA(QUERY('1. Karten'!$A:$Q,""select count(A) where (C="" &amp; $A$4 &amp; "" AND D LIKE '%"" &amp; $H30 &amp; ""%') label Count(A) ''""),0)"),20.0)</f>
        <v>20</v>
      </c>
      <c r="J30" s="142">
        <f>IFERROR(__xludf.DUMMYFUNCTION("IFNA(QUERY('1. Karten'!$A:$Q,""select count(A) where (C="" &amp; $A$4 &amp; "" AND D LIKE '%"" &amp; $H30 &amp; ""%' AND B LIKE '%"" &amp; REGEXEXTRACT(J$20,""[^#\s]+"") &amp; ""%') label Count(A) ''""),0)"),2.0)</f>
        <v>2</v>
      </c>
      <c r="K30" s="142">
        <f>IFERROR(__xludf.DUMMYFUNCTION("IFNA(QUERY('1. Karten'!$A:$Q,""select count(A) where (C="" &amp; $A$4 &amp; "" AND D LIKE '%"" &amp; $H30 &amp; ""%' AND B LIKE '%"" &amp; REGEXEXTRACT(K$20,""[^#\s]+"") &amp; ""%') label Count(A) ''""),0)"),8.0)</f>
        <v>8</v>
      </c>
      <c r="L30" s="142">
        <f>IFERROR(__xludf.DUMMYFUNCTION("IFNA(QUERY('1. Karten'!$A:$Q,""select count(A) where (C="" &amp; $A$4 &amp; "" AND D LIKE '%"" &amp; $H30 &amp; ""%' AND B LIKE '%"" &amp; REGEXEXTRACT(L$20,""[^#\s]+"") &amp; ""%') label Count(A) ''""),0)"),3.0)</f>
        <v>3</v>
      </c>
      <c r="M30" s="142">
        <f>IFERROR(__xludf.DUMMYFUNCTION("IFNA(QUERY('1. Karten'!$A:$Q,""select count(A) where (C="" &amp; $A$4 &amp; "" AND D LIKE '%"" &amp; $H30 &amp; ""%' AND B LIKE '%"" &amp; REGEXEXTRACT(M$20,""[^#\s]+"") &amp; ""%') label Count(A) ''""),0)"),6.0)</f>
        <v>6</v>
      </c>
      <c r="N30" s="142">
        <f>IFERROR(__xludf.DUMMYFUNCTION("IFNA(QUERY('1. Karten'!$A:$Q,""select count(A) where (C="" &amp; $A$4 &amp; "" AND D LIKE '%"" &amp; $H30 &amp; ""%' AND B LIKE '%"" &amp; REGEXEXTRACT(N$20,""[^#\s]+"") &amp; ""%') label Count(A) ''""),0)"),3.0)</f>
        <v>3</v>
      </c>
    </row>
    <row r="31">
      <c r="A31" s="155" t="s">
        <v>1577</v>
      </c>
      <c r="B31" s="101">
        <f>IFERROR(__xludf.DUMMYFUNCTION("IFNA(QUERY('1. Karten'!$A:$Q,""select count(A) where (C="" &amp; $A$4 &amp; "" AND F LIKE '%"" &amp; $A31 &amp; ""%' AND J='"" &amp; B$21 &amp; ""') label Count(A) ''""),0)"),2.0)</f>
        <v>2</v>
      </c>
      <c r="C31" s="101">
        <f>IFERROR(__xludf.DUMMYFUNCTION("IFNA(QUERY('1. Karten'!$A:$Q,""select count(A) where (C="" &amp; $A$4 &amp; "" AND F LIKE '%"" &amp; $A31 &amp; ""%' AND J='"" &amp; C$21 &amp; ""') label Count(A) ''""),0)"),5.0)</f>
        <v>5</v>
      </c>
      <c r="D31" s="101">
        <f>IFERROR(__xludf.DUMMYFUNCTION("IFNA(QUERY('1. Karten'!$A:$Q,""select count(A) where (C="" &amp; $A$4 &amp; "" AND F LIKE '%"" &amp; $A31 &amp; ""%' AND J='"" &amp; D$21 &amp; ""') label Count(A) ''""),0)"),3.0)</f>
        <v>3</v>
      </c>
      <c r="E31" s="156">
        <f t="shared" si="2"/>
        <v>10</v>
      </c>
      <c r="F31" s="157">
        <f t="shared" si="3"/>
        <v>0.05882352941</v>
      </c>
      <c r="H31" s="146" t="str">
        <f>IFERROR(__xludf.DUMMYFUNCTION("""COMPUTED_VALUE"""),"Spirit")</f>
        <v>Spirit</v>
      </c>
      <c r="I31" s="141">
        <f>IFERROR(__xludf.DUMMYFUNCTION("IFNA(QUERY('1. Karten'!$A:$Q,""select count(A) where (C="" &amp; $A$4 &amp; "" AND D LIKE '%"" &amp; $H31 &amp; ""%') label Count(A) ''""),0)"),22.0)</f>
        <v>22</v>
      </c>
      <c r="J31" s="142">
        <f>IFERROR(__xludf.DUMMYFUNCTION("IFNA(QUERY('1. Karten'!$A:$Q,""select count(A) where (C="" &amp; $A$4 &amp; "" AND D LIKE '%"" &amp; $H31 &amp; ""%' AND B LIKE '%"" &amp; REGEXEXTRACT(J$20,""[^#\s]+"") &amp; ""%') label Count(A) ''""),0)"),5.0)</f>
        <v>5</v>
      </c>
      <c r="K31" s="142">
        <f>IFERROR(__xludf.DUMMYFUNCTION("IFNA(QUERY('1. Karten'!$A:$Q,""select count(A) where (C="" &amp; $A$4 &amp; "" AND D LIKE '%"" &amp; $H31 &amp; ""%' AND B LIKE '%"" &amp; REGEXEXTRACT(K$20,""[^#\s]+"") &amp; ""%') label Count(A) ''""),0)"),5.0)</f>
        <v>5</v>
      </c>
      <c r="L31" s="142">
        <f>IFERROR(__xludf.DUMMYFUNCTION("IFNA(QUERY('1. Karten'!$A:$Q,""select count(A) where (C="" &amp; $A$4 &amp; "" AND D LIKE '%"" &amp; $H31 &amp; ""%' AND B LIKE '%"" &amp; REGEXEXTRACT(L$20,""[^#\s]+"") &amp; ""%') label Count(A) ''""),0)"),13.0)</f>
        <v>13</v>
      </c>
      <c r="M31" s="142">
        <f>IFERROR(__xludf.DUMMYFUNCTION("IFNA(QUERY('1. Karten'!$A:$Q,""select count(A) where (C="" &amp; $A$4 &amp; "" AND D LIKE '%"" &amp; $H31 &amp; ""%' AND B LIKE '%"" &amp; REGEXEXTRACT(M$20,""[^#\s]+"") &amp; ""%') label Count(A) ''""),0)"),1.0)</f>
        <v>1</v>
      </c>
      <c r="N31" s="142">
        <f>IFERROR(__xludf.DUMMYFUNCTION("IFNA(QUERY('1. Karten'!$A:$Q,""select count(A) where (C="" &amp; $A$4 &amp; "" AND D LIKE '%"" &amp; $H31 &amp; ""%' AND B LIKE '%"" &amp; REGEXEXTRACT(N$20,""[^#\s]+"") &amp; ""%') label Count(A) ''""),0)"),2.0)</f>
        <v>2</v>
      </c>
    </row>
    <row r="32">
      <c r="A32" s="143" t="s">
        <v>31</v>
      </c>
      <c r="B32" s="101">
        <f>IFERROR(__xludf.DUMMYFUNCTION("IFNA(QUERY('1. Karten'!$A:$Q,""select count(A) where (C="" &amp; $A$4 &amp; "" AND F LIKE '%"" &amp; $A32 &amp; ""%' AND J='"" &amp; B$21 &amp; ""') label Count(A) ''""),0)"),0.0)</f>
        <v>0</v>
      </c>
      <c r="C32" s="101">
        <f>IFERROR(__xludf.DUMMYFUNCTION("IFNA(QUERY('1. Karten'!$A:$Q,""select count(A) where (C="" &amp; $A$4 &amp; "" AND F LIKE '%"" &amp; $A32 &amp; ""%' AND J='"" &amp; C$21 &amp; ""') label Count(A) ''""),0)"),0.0)</f>
        <v>0</v>
      </c>
      <c r="D32" s="101">
        <f>IFERROR(__xludf.DUMMYFUNCTION("IFNA(QUERY('1. Karten'!$A:$Q,""select count(A) where (C="" &amp; $A$4 &amp; "" AND F LIKE '%"" &amp; $A32 &amp; ""%' AND J='"" &amp; D$21 &amp; ""') label Count(A) ''""),0)"),0.0)</f>
        <v>0</v>
      </c>
      <c r="E32" s="144">
        <f t="shared" si="2"/>
        <v>0</v>
      </c>
      <c r="F32" s="145">
        <f t="shared" si="3"/>
        <v>0</v>
      </c>
      <c r="H32" s="146" t="str">
        <f>IFERROR(__xludf.DUMMYFUNCTION("""COMPUTED_VALUE"""),"Plant")</f>
        <v>Plant</v>
      </c>
      <c r="I32" s="141">
        <f>IFERROR(__xludf.DUMMYFUNCTION("IFNA(QUERY('1. Karten'!$A:$Q,""select count(A) where (C="" &amp; $A$4 &amp; "" AND D LIKE '%"" &amp; $H32 &amp; ""%') label Count(A) ''""),0)"),15.0)</f>
        <v>15</v>
      </c>
      <c r="J32" s="142">
        <f>IFERROR(__xludf.DUMMYFUNCTION("IFNA(QUERY('1. Karten'!$A:$Q,""select count(A) where (C="" &amp; $A$4 &amp; "" AND D LIKE '%"" &amp; $H32 &amp; ""%' AND B LIKE '%"" &amp; REGEXEXTRACT(J$20,""[^#\s]+"") &amp; ""%') label Count(A) ''""),0)"),1.0)</f>
        <v>1</v>
      </c>
      <c r="K32" s="142">
        <f>IFERROR(__xludf.DUMMYFUNCTION("IFNA(QUERY('1. Karten'!$A:$Q,""select count(A) where (C="" &amp; $A$4 &amp; "" AND D LIKE '%"" &amp; $H32 &amp; ""%' AND B LIKE '%"" &amp; REGEXEXTRACT(K$20,""[^#\s]+"") &amp; ""%') label Count(A) ''""),0)"),11.0)</f>
        <v>11</v>
      </c>
      <c r="L32" s="142">
        <f>IFERROR(__xludf.DUMMYFUNCTION("IFNA(QUERY('1. Karten'!$A:$Q,""select count(A) where (C="" &amp; $A$4 &amp; "" AND D LIKE '%"" &amp; $H32 &amp; ""%' AND B LIKE '%"" &amp; REGEXEXTRACT(L$20,""[^#\s]+"") &amp; ""%') label Count(A) ''""),0)"),1.0)</f>
        <v>1</v>
      </c>
      <c r="M32" s="142">
        <f>IFERROR(__xludf.DUMMYFUNCTION("IFNA(QUERY('1. Karten'!$A:$Q,""select count(A) where (C="" &amp; $A$4 &amp; "" AND D LIKE '%"" &amp; $H32 &amp; ""%' AND B LIKE '%"" &amp; REGEXEXTRACT(M$20,""[^#\s]+"") &amp; ""%') label Count(A) ''""),0)"),1.0)</f>
        <v>1</v>
      </c>
      <c r="N32" s="142">
        <f>IFERROR(__xludf.DUMMYFUNCTION("IFNA(QUERY('1. Karten'!$A:$Q,""select count(A) where (C="" &amp; $A$4 &amp; "" AND D LIKE '%"" &amp; $H32 &amp; ""%' AND B LIKE '%"" &amp; REGEXEXTRACT(N$20,""[^#\s]+"") &amp; ""%') label Count(A) ''""),0)"),3.0)</f>
        <v>3</v>
      </c>
    </row>
    <row r="33">
      <c r="A33" s="143" t="s">
        <v>1578</v>
      </c>
      <c r="B33" s="101">
        <f>IFERROR(__xludf.DUMMYFUNCTION("IFNA(QUERY('1. Karten'!$A:$Q,""select count(A) where (C="" &amp; $A$4 &amp; "" AND F LIKE '%"" &amp; $A33 &amp; ""%' AND J='"" &amp; B$21 &amp; ""') label Count(A) ''""),0)"),0.0)</f>
        <v>0</v>
      </c>
      <c r="C33" s="101">
        <f>IFERROR(__xludf.DUMMYFUNCTION("IFNA(QUERY('1. Karten'!$A:$Q,""select count(A) where (C="" &amp; $A$4 &amp; "" AND F LIKE '%"" &amp; $A33 &amp; ""%' AND J='"" &amp; C$21 &amp; ""') label Count(A) ''""),0)"),3.0)</f>
        <v>3</v>
      </c>
      <c r="D33" s="101">
        <f>IFERROR(__xludf.DUMMYFUNCTION("IFNA(QUERY('1. Karten'!$A:$Q,""select count(A) where (C="" &amp; $A$4 &amp; "" AND F LIKE '%"" &amp; $A33 &amp; ""%' AND J='"" &amp; D$21 &amp; ""') label Count(A) ''""),0)"),1.0)</f>
        <v>1</v>
      </c>
      <c r="E33" s="144">
        <f t="shared" si="2"/>
        <v>4</v>
      </c>
      <c r="F33" s="145">
        <f t="shared" si="3"/>
        <v>0.02352941176</v>
      </c>
      <c r="H33" s="146" t="str">
        <f>IFERROR(__xludf.DUMMYFUNCTION("""COMPUTED_VALUE"""),"Bannerbearer")</f>
        <v>Bannerbearer</v>
      </c>
      <c r="I33" s="141">
        <f>IFERROR(__xludf.DUMMYFUNCTION("IFNA(QUERY('1. Karten'!$A:$Q,""select count(A) where (C="" &amp; $A$4 &amp; "" AND D LIKE '%"" &amp; $H33 &amp; ""%') label Count(A) ''""),0)"),10.0)</f>
        <v>10</v>
      </c>
      <c r="J33" s="142">
        <f>IFERROR(__xludf.DUMMYFUNCTION("IFNA(QUERY('1. Karten'!$A:$Q,""select count(A) where (C="" &amp; $A$4 &amp; "" AND D LIKE '%"" &amp; $H33 &amp; ""%' AND B LIKE '%"" &amp; REGEXEXTRACT(J$20,""[^#\s]+"") &amp; ""%') label Count(A) ''""),0)"),4.0)</f>
        <v>4</v>
      </c>
      <c r="K33" s="142">
        <f>IFERROR(__xludf.DUMMYFUNCTION("IFNA(QUERY('1. Karten'!$A:$Q,""select count(A) where (C="" &amp; $A$4 &amp; "" AND D LIKE '%"" &amp; $H33 &amp; ""%' AND B LIKE '%"" &amp; REGEXEXTRACT(K$20,""[^#\s]+"") &amp; ""%') label Count(A) ''""),0)"),4.0)</f>
        <v>4</v>
      </c>
      <c r="L33" s="142">
        <f>IFERROR(__xludf.DUMMYFUNCTION("IFNA(QUERY('1. Karten'!$A:$Q,""select count(A) where (C="" &amp; $A$4 &amp; "" AND D LIKE '%"" &amp; $H33 &amp; ""%' AND B LIKE '%"" &amp; REGEXEXTRACT(L$20,""[^#\s]+"") &amp; ""%') label Count(A) ''""),0)"),4.0)</f>
        <v>4</v>
      </c>
      <c r="M33" s="142">
        <f>IFERROR(__xludf.DUMMYFUNCTION("IFNA(QUERY('1. Karten'!$A:$Q,""select count(A) where (C="" &amp; $A$4 &amp; "" AND D LIKE '%"" &amp; $H33 &amp; ""%' AND B LIKE '%"" &amp; REGEXEXTRACT(M$20,""[^#\s]+"") &amp; ""%') label Count(A) ''""),0)"),4.0)</f>
        <v>4</v>
      </c>
      <c r="N33" s="142">
        <f>IFERROR(__xludf.DUMMYFUNCTION("IFNA(QUERY('1. Karten'!$A:$Q,""select count(A) where (C="" &amp; $A$4 &amp; "" AND D LIKE '%"" &amp; $H33 &amp; ""%' AND B LIKE '%"" &amp; REGEXEXTRACT(N$20,""[^#\s]+"") &amp; ""%') label Count(A) ''""),0)"),4.0)</f>
        <v>4</v>
      </c>
    </row>
    <row r="34">
      <c r="A34" s="143" t="s">
        <v>1579</v>
      </c>
      <c r="B34" s="101">
        <f>IFERROR(__xludf.DUMMYFUNCTION("IFNA(QUERY('1. Karten'!$A:$Q,""select count(A) where (C="" &amp; $A$4 &amp; "" AND F LIKE '%"" &amp; $A34 &amp; ""%' AND J='"" &amp; B$21 &amp; ""') label Count(A) ''""),0)"),6.0)</f>
        <v>6</v>
      </c>
      <c r="C34" s="101">
        <f>IFERROR(__xludf.DUMMYFUNCTION("IFNA(QUERY('1. Karten'!$A:$Q,""select count(A) where (C="" &amp; $A$4 &amp; "" AND F LIKE '%"" &amp; $A34 &amp; ""%' AND J='"" &amp; C$21 &amp; ""') label Count(A) ''""),0)"),3.0)</f>
        <v>3</v>
      </c>
      <c r="D34" s="101">
        <f>IFERROR(__xludf.DUMMYFUNCTION("IFNA(QUERY('1. Karten'!$A:$Q,""select count(A) where (C="" &amp; $A$4 &amp; "" AND F LIKE '%"" &amp; $A34 &amp; ""%' AND J='"" &amp; D$21 &amp; ""') label Count(A) ''""),0)"),0.0)</f>
        <v>0</v>
      </c>
      <c r="E34" s="150">
        <f t="shared" si="2"/>
        <v>9</v>
      </c>
      <c r="F34" s="145">
        <f t="shared" si="3"/>
        <v>0.05294117647</v>
      </c>
      <c r="H34" s="146" t="str">
        <f>IFERROR(__xludf.DUMMYFUNCTION("""COMPUTED_VALUE"""),"Dinosaur")</f>
        <v>Dinosaur</v>
      </c>
      <c r="I34" s="141">
        <f>IFERROR(__xludf.DUMMYFUNCTION("IFNA(QUERY('1. Karten'!$A:$Q,""select count(A) where (C="" &amp; $A$4 &amp; "" AND D LIKE '%"" &amp; $H34 &amp; ""%') label Count(A) ''""),0)"),18.0)</f>
        <v>18</v>
      </c>
      <c r="J34" s="142">
        <f>IFERROR(__xludf.DUMMYFUNCTION("IFNA(QUERY('1. Karten'!$A:$Q,""select count(A) where (C="" &amp; $A$4 &amp; "" AND D LIKE '%"" &amp; $H34 &amp; ""%' AND B LIKE '%"" &amp; REGEXEXTRACT(J$20,""[^#\s]+"") &amp; ""%') label Count(A) ''""),0)"),2.0)</f>
        <v>2</v>
      </c>
      <c r="K34" s="142">
        <f>IFERROR(__xludf.DUMMYFUNCTION("IFNA(QUERY('1. Karten'!$A:$Q,""select count(A) where (C="" &amp; $A$4 &amp; "" AND D LIKE '%"" &amp; $H34 &amp; ""%' AND B LIKE '%"" &amp; REGEXEXTRACT(K$20,""[^#\s]+"") &amp; ""%') label Count(A) ''""),0)"),14.0)</f>
        <v>14</v>
      </c>
      <c r="L34" s="142">
        <f>IFERROR(__xludf.DUMMYFUNCTION("IFNA(QUERY('1. Karten'!$A:$Q,""select count(A) where (C="" &amp; $A$4 &amp; "" AND D LIKE '%"" &amp; $H34 &amp; ""%' AND B LIKE '%"" &amp; REGEXEXTRACT(L$20,""[^#\s]+"") &amp; ""%') label Count(A) ''""),0)"),1.0)</f>
        <v>1</v>
      </c>
      <c r="M34" s="142">
        <f>IFERROR(__xludf.DUMMYFUNCTION("IFNA(QUERY('1. Karten'!$A:$Q,""select count(A) where (C="" &amp; $A$4 &amp; "" AND D LIKE '%"" &amp; $H34 &amp; ""%' AND B LIKE '%"" &amp; REGEXEXTRACT(M$20,""[^#\s]+"") &amp; ""%') label Count(A) ''""),0)"),2.0)</f>
        <v>2</v>
      </c>
      <c r="N34" s="142">
        <f>IFERROR(__xludf.DUMMYFUNCTION("IFNA(QUERY('1. Karten'!$A:$Q,""select count(A) where (C="" &amp; $A$4 &amp; "" AND D LIKE '%"" &amp; $H34 &amp; ""%' AND B LIKE '%"" &amp; REGEXEXTRACT(N$20,""[^#\s]+"") &amp; ""%') label Count(A) ''""),0)"),1.0)</f>
        <v>1</v>
      </c>
    </row>
    <row r="35">
      <c r="H35" s="158" t="str">
        <f>IFERROR(__xludf.DUMMYFUNCTION("""COMPUTED_VALUE"""),"Demon")</f>
        <v>Demon</v>
      </c>
      <c r="I35" s="141">
        <f>IFERROR(__xludf.DUMMYFUNCTION("IFNA(QUERY('1. Karten'!$A:$Q,""select count(A) where (C="" &amp; $A$4 &amp; "" AND D LIKE '%"" &amp; $H35 &amp; ""%') label Count(A) ''""),0)"),20.0)</f>
        <v>20</v>
      </c>
      <c r="J35" s="142">
        <f>IFERROR(__xludf.DUMMYFUNCTION("IFNA(QUERY('1. Karten'!$A:$Q,""select count(A) where (C="" &amp; $A$4 &amp; "" AND D LIKE '%"" &amp; $H35 &amp; ""%' AND B LIKE '%"" &amp; REGEXEXTRACT(J$20,""[^#\s]+"") &amp; ""%') label Count(A) ''""),0)"),1.0)</f>
        <v>1</v>
      </c>
      <c r="K35" s="142">
        <f>IFERROR(__xludf.DUMMYFUNCTION("IFNA(QUERY('1. Karten'!$A:$Q,""select count(A) where (C="" &amp; $A$4 &amp; "" AND D LIKE '%"" &amp; $H35 &amp; ""%' AND B LIKE '%"" &amp; REGEXEXTRACT(K$20,""[^#\s]+"") &amp; ""%') label Count(A) ''""),0)"),4.0)</f>
        <v>4</v>
      </c>
      <c r="L35" s="142">
        <f>IFERROR(__xludf.DUMMYFUNCTION("IFNA(QUERY('1. Karten'!$A:$Q,""select count(A) where (C="" &amp; $A$4 &amp; "" AND D LIKE '%"" &amp; $H35 &amp; ""%' AND B LIKE '%"" &amp; REGEXEXTRACT(L$20,""[^#\s]+"") &amp; ""%') label Count(A) ''""),0)"),2.0)</f>
        <v>2</v>
      </c>
      <c r="M35" s="142">
        <f>IFERROR(__xludf.DUMMYFUNCTION("IFNA(QUERY('1. Karten'!$A:$Q,""select count(A) where (C="" &amp; $A$4 &amp; "" AND D LIKE '%"" &amp; $H35 &amp; ""%' AND B LIKE '%"" &amp; REGEXEXTRACT(M$20,""[^#\s]+"") &amp; ""%') label Count(A) ''""),0)"),1.0)</f>
        <v>1</v>
      </c>
      <c r="N35" s="142">
        <f>IFERROR(__xludf.DUMMYFUNCTION("IFNA(QUERY('1. Karten'!$A:$Q,""select count(A) where (C="" &amp; $A$4 &amp; "" AND D LIKE '%"" &amp; $H35 &amp; ""%' AND B LIKE '%"" &amp; REGEXEXTRACT(N$20,""[^#\s]+"") &amp; ""%') label Count(A) ''""),0)"),17.0)</f>
        <v>17</v>
      </c>
    </row>
    <row r="36">
      <c r="A36" s="109" t="s">
        <v>1580</v>
      </c>
      <c r="B36" s="138" t="s">
        <v>33</v>
      </c>
      <c r="C36" s="138" t="s">
        <v>69</v>
      </c>
      <c r="D36" s="138" t="s">
        <v>39</v>
      </c>
      <c r="E36" s="139" t="s">
        <v>1571</v>
      </c>
      <c r="H36" s="158"/>
      <c r="I36" s="159">
        <f>IFERROR(__xludf.DUMMYFUNCTION("IFNA(QUERY('1. Karten'!$A:$Q,""select count(A) where (C="" &amp; $A$4 &amp; "" AND D LIKE '%"" &amp; $H36 &amp; ""%') label Count(A) ''""),0)"),170.0)</f>
        <v>170</v>
      </c>
      <c r="J36" s="142">
        <f>IFERROR(__xludf.DUMMYFUNCTION("IFNA(QUERY('1. Karten'!$A:$Q,""select count(A) where (C="" &amp; $A$4 &amp; "" AND D LIKE '%"" &amp; $H36 &amp; ""%' AND B LIKE '%"" &amp; REGEXEXTRACT(J$20,""[^#\s]+"") &amp; ""%') label Count(A) ''""),0)"),40.0)</f>
        <v>40</v>
      </c>
      <c r="K36" s="142">
        <f>IFERROR(__xludf.DUMMYFUNCTION("IFNA(QUERY('1. Karten'!$A:$Q,""select count(A) where (C="" &amp; $A$4 &amp; "" AND D LIKE '%"" &amp; $H36 &amp; ""%' AND B LIKE '%"" &amp; REGEXEXTRACT(K$20,""[^#\s]+"") &amp; ""%') label Count(A) ''""),0)"),40.0)</f>
        <v>40</v>
      </c>
      <c r="L36" s="142">
        <f>IFERROR(__xludf.DUMMYFUNCTION("IFNA(QUERY('1. Karten'!$A:$Q,""select count(A) where (C="" &amp; $A$4 &amp; "" AND D LIKE '%"" &amp; $H36 &amp; ""%' AND B LIKE '%"" &amp; REGEXEXTRACT(L$20,""[^#\s]+"") &amp; ""%') label Count(A) ''""),0)"),41.0)</f>
        <v>41</v>
      </c>
      <c r="M36" s="142">
        <f>IFERROR(__xludf.DUMMYFUNCTION("IFNA(QUERY('1. Karten'!$A:$Q,""select count(A) where (C="" &amp; $A$4 &amp; "" AND D LIKE '%"" &amp; $H36 &amp; ""%' AND B LIKE '%"" &amp; REGEXEXTRACT(M$20,""[^#\s]+"") &amp; ""%') label Count(A) ''""),0)"),38.0)</f>
        <v>38</v>
      </c>
      <c r="N36" s="142">
        <f>IFERROR(__xludf.DUMMYFUNCTION("IFNA(QUERY('1. Karten'!$A:$Q,""select count(A) where (C="" &amp; $A$4 &amp; "" AND D LIKE '%"" &amp; $H36 &amp; ""%' AND B LIKE '%"" &amp; REGEXEXTRACT(N$20,""[^#\s]+"") &amp; ""%') label Count(A) ''""),0)"),37.0)</f>
        <v>37</v>
      </c>
    </row>
    <row r="37">
      <c r="A37" s="160" t="str">
        <f>IFERROR(__xludf.DUMMYFUNCTION("QUERY(UNIQUE(FLATTEN(MAP(UNIQUE(IFNA(QUERY('1. Karten'!$A$2:$Q1000,""select D where (C="" &amp; $A$4 &amp; "")"")),""""),LAMBDA(x,(SPLIT(x,"" "")))))),""SELECT * WHERE (Col1 IS NOT NULL) AND (Col1 matches '^\w+$')"")"),"Angel")</f>
        <v>Angel</v>
      </c>
      <c r="B37" s="101">
        <f>IFERROR(__xludf.DUMMYFUNCTION("IF(ISBLANK($A37),"""",IFNA(QUERY('1. Karten'!$A:$Q,""select count(A) where (C="" &amp; $A$4 &amp; "" AND D LIKE '%"" &amp; $A37 &amp; ""%' AND J='"" &amp; B$36 &amp; ""') label Count(A) ''""),0))"),5.0)</f>
        <v>5</v>
      </c>
      <c r="C37" s="101">
        <f>IFERROR(__xludf.DUMMYFUNCTION("IF(ISBLANK($A37),"""",IFNA(QUERY('1. Karten'!$A:$Q,""select count(A) where (C="" &amp; $A$4 &amp; "" AND D LIKE '%"" &amp; $A37 &amp; ""%' AND J='"" &amp; C$36 &amp; ""') label Count(A) ''""),0))"),6.0)</f>
        <v>6</v>
      </c>
      <c r="D37" s="101">
        <f>IFERROR(__xludf.DUMMYFUNCTION("IF(ISBLANK($A37),"""",IFNA(QUERY('1. Karten'!$A:$Q,""select count(A) where (C="" &amp; $A$4 &amp; "" AND D LIKE '%"" &amp; $A37 &amp; ""%' AND J='"" &amp; D$36 &amp; ""') label Count(A) ''""),0))"),7.0)</f>
        <v>7</v>
      </c>
      <c r="E37" s="144">
        <f t="shared" ref="E37:E63" si="4">IF(ISBLANK($A37),"",SUM($B37:$D37))</f>
        <v>18</v>
      </c>
      <c r="F37" s="145">
        <f t="shared" ref="F37:F63" si="5">IF(ISBLANK($A37),"",($E37/$A$2))</f>
        <v>0.1058823529</v>
      </c>
      <c r="H37" s="161"/>
    </row>
    <row r="38">
      <c r="A38" s="160" t="str">
        <f>IFERROR(__xludf.DUMMYFUNCTION("""COMPUTED_VALUE"""),"Warrior")</f>
        <v>Warrior</v>
      </c>
      <c r="B38" s="101">
        <f>IFERROR(__xludf.DUMMYFUNCTION("IF(ISBLANK($A38),"""",IFNA(QUERY('1. Karten'!$A:$Q,""select count(A) where (C="" &amp; $A$4 &amp; "" AND D LIKE '%"" &amp; $A38 &amp; ""%' AND J='"" &amp; B$36 &amp; ""') label Count(A) ''""),0))"),13.0)</f>
        <v>13</v>
      </c>
      <c r="C38" s="101">
        <f>IFERROR(__xludf.DUMMYFUNCTION("IF(ISBLANK($A38),"""",IFNA(QUERY('1. Karten'!$A:$Q,""select count(A) where (C="" &amp; $A$4 &amp; "" AND D LIKE '%"" &amp; $A38 &amp; ""%' AND J='"" &amp; C$36 &amp; ""') label Count(A) ''""),0))"),4.0)</f>
        <v>4</v>
      </c>
      <c r="D38" s="101">
        <f>IFERROR(__xludf.DUMMYFUNCTION("IF(ISBLANK($A38),"""",IFNA(QUERY('1. Karten'!$A:$Q,""select count(A) where (C="" &amp; $A$4 &amp; "" AND D LIKE '%"" &amp; $A38 &amp; ""%' AND J='"" &amp; D$36 &amp; ""') label Count(A) ''""),0))"),3.0)</f>
        <v>3</v>
      </c>
      <c r="E38" s="144">
        <f t="shared" si="4"/>
        <v>20</v>
      </c>
      <c r="F38" s="145">
        <f t="shared" si="5"/>
        <v>0.1176470588</v>
      </c>
    </row>
    <row r="39">
      <c r="A39" s="160" t="str">
        <f>IFERROR(__xludf.DUMMYFUNCTION("""COMPUTED_VALUE"""),"Construct")</f>
        <v>Construct</v>
      </c>
      <c r="B39" s="101">
        <f>IFERROR(__xludf.DUMMYFUNCTION("IF(ISBLANK($A39),"""",IFNA(QUERY('1. Karten'!$A:$Q,""select count(A) where (C="" &amp; $A$4 &amp; "" AND D LIKE '%"" &amp; $A39 &amp; ""%' AND J='"" &amp; B$36 &amp; ""') label Count(A) ''""),0))"),14.0)</f>
        <v>14</v>
      </c>
      <c r="C39" s="101">
        <f>IFERROR(__xludf.DUMMYFUNCTION("IF(ISBLANK($A39),"""",IFNA(QUERY('1. Karten'!$A:$Q,""select count(A) where (C="" &amp; $A$4 &amp; "" AND D LIKE '%"" &amp; $A39 &amp; ""%' AND J='"" &amp; C$36 &amp; ""') label Count(A) ''""),0))"),9.0)</f>
        <v>9</v>
      </c>
      <c r="D39" s="101">
        <f>IFERROR(__xludf.DUMMYFUNCTION("IF(ISBLANK($A39),"""",IFNA(QUERY('1. Karten'!$A:$Q,""select count(A) where (C="" &amp; $A$4 &amp; "" AND D LIKE '%"" &amp; $A39 &amp; ""%' AND J='"" &amp; D$36 &amp; ""') label Count(A) ''""),0))"),3.0)</f>
        <v>3</v>
      </c>
      <c r="E39" s="144">
        <f t="shared" si="4"/>
        <v>26</v>
      </c>
      <c r="F39" s="145">
        <f t="shared" si="5"/>
        <v>0.1529411765</v>
      </c>
    </row>
    <row r="40">
      <c r="A40" s="160" t="str">
        <f>IFERROR(__xludf.DUMMYFUNCTION("""COMPUTED_VALUE"""),"Dragon")</f>
        <v>Dragon</v>
      </c>
      <c r="B40" s="101">
        <f>IFERROR(__xludf.DUMMYFUNCTION("IF(ISBLANK($A40),"""",IFNA(QUERY('1. Karten'!$A:$Q,""select count(A) where (C="" &amp; $A$4 &amp; "" AND D LIKE '%"" &amp; $A40 &amp; ""%' AND J='"" &amp; B$36 &amp; ""') label Count(A) ''""),0))"),8.0)</f>
        <v>8</v>
      </c>
      <c r="C40" s="101">
        <f>IFERROR(__xludf.DUMMYFUNCTION("IF(ISBLANK($A40),"""",IFNA(QUERY('1. Karten'!$A:$Q,""select count(A) where (C="" &amp; $A$4 &amp; "" AND D LIKE '%"" &amp; $A40 &amp; ""%' AND J='"" &amp; C$36 &amp; ""') label Count(A) ''""),0))"),5.0)</f>
        <v>5</v>
      </c>
      <c r="D40" s="101">
        <f>IFERROR(__xludf.DUMMYFUNCTION("IF(ISBLANK($A40),"""",IFNA(QUERY('1. Karten'!$A:$Q,""select count(A) where (C="" &amp; $A$4 &amp; "" AND D LIKE '%"" &amp; $A40 &amp; ""%' AND J='"" &amp; D$36 &amp; ""') label Count(A) ''""),0))"),6.0)</f>
        <v>6</v>
      </c>
      <c r="E40" s="144">
        <f t="shared" si="4"/>
        <v>19</v>
      </c>
      <c r="F40" s="145">
        <f t="shared" si="5"/>
        <v>0.1117647059</v>
      </c>
    </row>
    <row r="41">
      <c r="A41" s="160" t="str">
        <f>IFERROR(__xludf.DUMMYFUNCTION("""COMPUTED_VALUE"""),"Insect")</f>
        <v>Insect</v>
      </c>
      <c r="B41" s="101">
        <f>IFERROR(__xludf.DUMMYFUNCTION("IF(ISBLANK($A41),"""",IFNA(QUERY('1. Karten'!$A:$Q,""select count(A) where (C="" &amp; $A$4 &amp; "" AND D LIKE '%"" &amp; $A41 &amp; ""%' AND J='"" &amp; B$36 &amp; ""') label Count(A) ''""),0))"),4.0)</f>
        <v>4</v>
      </c>
      <c r="C41" s="101">
        <f>IFERROR(__xludf.DUMMYFUNCTION("IF(ISBLANK($A41),"""",IFNA(QUERY('1. Karten'!$A:$Q,""select count(A) where (C="" &amp; $A$4 &amp; "" AND D LIKE '%"" &amp; $A41 &amp; ""%' AND J='"" &amp; C$36 &amp; ""') label Count(A) ''""),0))"),6.0)</f>
        <v>6</v>
      </c>
      <c r="D41" s="101">
        <f>IFERROR(__xludf.DUMMYFUNCTION("IF(ISBLANK($A41),"""",IFNA(QUERY('1. Karten'!$A:$Q,""select count(A) where (C="" &amp; $A$4 &amp; "" AND D LIKE '%"" &amp; $A41 &amp; ""%' AND J='"" &amp; D$36 &amp; ""') label Count(A) ''""),0))"),1.0)</f>
        <v>1</v>
      </c>
      <c r="E41" s="144">
        <f t="shared" si="4"/>
        <v>11</v>
      </c>
      <c r="F41" s="145">
        <f t="shared" si="5"/>
        <v>0.06470588235</v>
      </c>
    </row>
    <row r="42">
      <c r="A42" s="160" t="str">
        <f>IFERROR(__xludf.DUMMYFUNCTION("""COMPUTED_VALUE"""),"Undead")</f>
        <v>Undead</v>
      </c>
      <c r="B42" s="101">
        <f>IFERROR(__xludf.DUMMYFUNCTION("IF(ISBLANK($A42),"""",IFNA(QUERY('1. Karten'!$A:$Q,""select count(A) where (C="" &amp; $A$4 &amp; "" AND D LIKE '%"" &amp; $A42 &amp; ""%' AND J='"" &amp; B$36 &amp; ""') label Count(A) ''""),0))"),11.0)</f>
        <v>11</v>
      </c>
      <c r="C42" s="101">
        <f>IFERROR(__xludf.DUMMYFUNCTION("IF(ISBLANK($A42),"""",IFNA(QUERY('1. Karten'!$A:$Q,""select count(A) where (C="" &amp; $A$4 &amp; "" AND D LIKE '%"" &amp; $A42 &amp; ""%' AND J='"" &amp; C$36 &amp; ""') label Count(A) ''""),0))"),7.0)</f>
        <v>7</v>
      </c>
      <c r="D42" s="101">
        <f>IFERROR(__xludf.DUMMYFUNCTION("IF(ISBLANK($A42),"""",IFNA(QUERY('1. Karten'!$A:$Q,""select count(A) where (C="" &amp; $A$4 &amp; "" AND D LIKE '%"" &amp; $A42 &amp; ""%' AND J='"" &amp; D$36 &amp; ""') label Count(A) ''""),0))"),1.0)</f>
        <v>1</v>
      </c>
      <c r="E42" s="144">
        <f t="shared" si="4"/>
        <v>19</v>
      </c>
      <c r="F42" s="145">
        <f t="shared" si="5"/>
        <v>0.1117647059</v>
      </c>
    </row>
    <row r="43">
      <c r="A43" s="160" t="str">
        <f>IFERROR(__xludf.DUMMYFUNCTION("""COMPUTED_VALUE"""),"Wizard")</f>
        <v>Wizard</v>
      </c>
      <c r="B43" s="101">
        <f>IFERROR(__xludf.DUMMYFUNCTION("IF(ISBLANK($A43),"""",IFNA(QUERY('1. Karten'!$A:$Q,""select count(A) where (C="" &amp; $A$4 &amp; "" AND D LIKE '%"" &amp; $A43 &amp; ""%' AND J='"" &amp; B$36 &amp; ""') label Count(A) ''""),0))"),5.0)</f>
        <v>5</v>
      </c>
      <c r="C43" s="101">
        <f>IFERROR(__xludf.DUMMYFUNCTION("IF(ISBLANK($A43),"""",IFNA(QUERY('1. Karten'!$A:$Q,""select count(A) where (C="" &amp; $A$4 &amp; "" AND D LIKE '%"" &amp; $A43 &amp; ""%' AND J='"" &amp; C$36 &amp; ""') label Count(A) ''""),0))"),10.0)</f>
        <v>10</v>
      </c>
      <c r="D43" s="101">
        <f>IFERROR(__xludf.DUMMYFUNCTION("IF(ISBLANK($A43),"""",IFNA(QUERY('1. Karten'!$A:$Q,""select count(A) where (C="" &amp; $A$4 &amp; "" AND D LIKE '%"" &amp; $A43 &amp; ""%' AND J='"" &amp; D$36 &amp; ""') label Count(A) ''""),0))"),4.0)</f>
        <v>4</v>
      </c>
      <c r="E43" s="144">
        <f t="shared" si="4"/>
        <v>19</v>
      </c>
      <c r="F43" s="145">
        <f t="shared" si="5"/>
        <v>0.1117647059</v>
      </c>
    </row>
    <row r="44">
      <c r="A44" s="160" t="str">
        <f>IFERROR(__xludf.DUMMYFUNCTION("""COMPUTED_VALUE"""),"Animal")</f>
        <v>Animal</v>
      </c>
      <c r="B44" s="101">
        <f>IFERROR(__xludf.DUMMYFUNCTION("IF(ISBLANK($A44),"""",IFNA(QUERY('1. Karten'!$A:$Q,""select count(A) where (C="" &amp; $A$4 &amp; "" AND D LIKE '%"" &amp; $A44 &amp; ""%' AND J='"" &amp; B$36 &amp; ""') label Count(A) ''""),0))"),18.0)</f>
        <v>18</v>
      </c>
      <c r="C44" s="101">
        <f>IFERROR(__xludf.DUMMYFUNCTION("IF(ISBLANK($A44),"""",IFNA(QUERY('1. Karten'!$A:$Q,""select count(A) where (C="" &amp; $A$4 &amp; "" AND D LIKE '%"" &amp; $A44 &amp; ""%' AND J='"" &amp; C$36 &amp; ""') label Count(A) ''""),0))"),9.0)</f>
        <v>9</v>
      </c>
      <c r="D44" s="101">
        <f>IFERROR(__xludf.DUMMYFUNCTION("IF(ISBLANK($A44),"""",IFNA(QUERY('1. Karten'!$A:$Q,""select count(A) where (C="" &amp; $A$4 &amp; "" AND D LIKE '%"" &amp; $A44 &amp; ""%' AND J='"" &amp; D$36 &amp; ""') label Count(A) ''""),0))"),6.0)</f>
        <v>6</v>
      </c>
      <c r="E44" s="144">
        <f t="shared" si="4"/>
        <v>33</v>
      </c>
      <c r="F44" s="145">
        <f t="shared" si="5"/>
        <v>0.1941176471</v>
      </c>
    </row>
    <row r="45">
      <c r="A45" s="160" t="str">
        <f>IFERROR(__xludf.DUMMYFUNCTION("""COMPUTED_VALUE"""),"Human")</f>
        <v>Human</v>
      </c>
      <c r="B45" s="101">
        <f>IFERROR(__xludf.DUMMYFUNCTION("IF(ISBLANK($A45),"""",IFNA(QUERY('1. Karten'!$A:$Q,""select count(A) where (C="" &amp; $A$4 &amp; "" AND D LIKE '%"" &amp; $A45 &amp; ""%' AND J='"" &amp; B$36 &amp; ""') label Count(A) ''""),0))"),12.0)</f>
        <v>12</v>
      </c>
      <c r="C45" s="101">
        <f>IFERROR(__xludf.DUMMYFUNCTION("IF(ISBLANK($A45),"""",IFNA(QUERY('1. Karten'!$A:$Q,""select count(A) where (C="" &amp; $A$4 &amp; "" AND D LIKE '%"" &amp; $A45 &amp; ""%' AND J='"" &amp; C$36 &amp; ""') label Count(A) ''""),0))"),10.0)</f>
        <v>10</v>
      </c>
      <c r="D45" s="101">
        <f>IFERROR(__xludf.DUMMYFUNCTION("IF(ISBLANK($A45),"""",IFNA(QUERY('1. Karten'!$A:$Q,""select count(A) where (C="" &amp; $A$4 &amp; "" AND D LIKE '%"" &amp; $A45 &amp; ""%' AND J='"" &amp; D$36 &amp; ""') label Count(A) ''""),0))"),4.0)</f>
        <v>4</v>
      </c>
      <c r="E45" s="144">
        <f t="shared" si="4"/>
        <v>26</v>
      </c>
      <c r="F45" s="145">
        <f t="shared" si="5"/>
        <v>0.1529411765</v>
      </c>
    </row>
    <row r="46">
      <c r="A46" s="160" t="str">
        <f>IFERROR(__xludf.DUMMYFUNCTION("""COMPUTED_VALUE"""),"Hunter")</f>
        <v>Hunter</v>
      </c>
      <c r="B46" s="101">
        <f>IFERROR(__xludf.DUMMYFUNCTION("IF(ISBLANK($A46),"""",IFNA(QUERY('1. Karten'!$A:$Q,""select count(A) where (C="" &amp; $A$4 &amp; "" AND D LIKE '%"" &amp; $A46 &amp; ""%' AND J='"" &amp; B$36 &amp; ""') label Count(A) ''""),0))"),9.0)</f>
        <v>9</v>
      </c>
      <c r="C46" s="101">
        <f>IFERROR(__xludf.DUMMYFUNCTION("IF(ISBLANK($A46),"""",IFNA(QUERY('1. Karten'!$A:$Q,""select count(A) where (C="" &amp; $A$4 &amp; "" AND D LIKE '%"" &amp; $A46 &amp; ""%' AND J='"" &amp; C$36 &amp; ""') label Count(A) ''""),0))"),9.0)</f>
        <v>9</v>
      </c>
      <c r="D46" s="101">
        <f>IFERROR(__xludf.DUMMYFUNCTION("IF(ISBLANK($A46),"""",IFNA(QUERY('1. Karten'!$A:$Q,""select count(A) where (C="" &amp; $A$4 &amp; "" AND D LIKE '%"" &amp; $A46 &amp; ""%' AND J='"" &amp; D$36 &amp; ""') label Count(A) ''""),0))"),2.0)</f>
        <v>2</v>
      </c>
      <c r="E46" s="144">
        <f t="shared" si="4"/>
        <v>20</v>
      </c>
      <c r="F46" s="145">
        <f t="shared" si="5"/>
        <v>0.1176470588</v>
      </c>
    </row>
    <row r="47">
      <c r="A47" s="160" t="str">
        <f>IFERROR(__xludf.DUMMYFUNCTION("""COMPUTED_VALUE"""),"Spirit")</f>
        <v>Spirit</v>
      </c>
      <c r="B47" s="101">
        <f>IFERROR(__xludf.DUMMYFUNCTION("IF(ISBLANK($A47),"""",IFNA(QUERY('1. Karten'!$A:$Q,""select count(A) where (C="" &amp; $A$4 &amp; "" AND D LIKE '%"" &amp; $A47 &amp; ""%' AND J='"" &amp; B$36 &amp; ""') label Count(A) ''""),0))"),12.0)</f>
        <v>12</v>
      </c>
      <c r="C47" s="101">
        <f>IFERROR(__xludf.DUMMYFUNCTION("IF(ISBLANK($A47),"""",IFNA(QUERY('1. Karten'!$A:$Q,""select count(A) where (C="" &amp; $A$4 &amp; "" AND D LIKE '%"" &amp; $A47 &amp; ""%' AND J='"" &amp; C$36 &amp; ""') label Count(A) ''""),0))"),7.0)</f>
        <v>7</v>
      </c>
      <c r="D47" s="101">
        <f>IFERROR(__xludf.DUMMYFUNCTION("IF(ISBLANK($A47),"""",IFNA(QUERY('1. Karten'!$A:$Q,""select count(A) where (C="" &amp; $A$4 &amp; "" AND D LIKE '%"" &amp; $A47 &amp; ""%' AND J='"" &amp; D$36 &amp; ""') label Count(A) ''""),0))"),3.0)</f>
        <v>3</v>
      </c>
      <c r="E47" s="144">
        <f t="shared" si="4"/>
        <v>22</v>
      </c>
      <c r="F47" s="145">
        <f t="shared" si="5"/>
        <v>0.1294117647</v>
      </c>
    </row>
    <row r="48">
      <c r="A48" s="160" t="str">
        <f>IFERROR(__xludf.DUMMYFUNCTION("""COMPUTED_VALUE"""),"Plant")</f>
        <v>Plant</v>
      </c>
      <c r="B48" s="101">
        <f>IFERROR(__xludf.DUMMYFUNCTION("IF(ISBLANK($A48),"""",IFNA(QUERY('1. Karten'!$A:$Q,""select count(A) where (C="" &amp; $A$4 &amp; "" AND D LIKE '%"" &amp; $A48 &amp; ""%' AND J='"" &amp; B$36 &amp; ""') label Count(A) ''""),0))"),11.0)</f>
        <v>11</v>
      </c>
      <c r="C48" s="101">
        <f>IFERROR(__xludf.DUMMYFUNCTION("IF(ISBLANK($A48),"""",IFNA(QUERY('1. Karten'!$A:$Q,""select count(A) where (C="" &amp; $A$4 &amp; "" AND D LIKE '%"" &amp; $A48 &amp; ""%' AND J='"" &amp; C$36 &amp; ""') label Count(A) ''""),0))"),2.0)</f>
        <v>2</v>
      </c>
      <c r="D48" s="101">
        <f>IFERROR(__xludf.DUMMYFUNCTION("IF(ISBLANK($A48),"""",IFNA(QUERY('1. Karten'!$A:$Q,""select count(A) where (C="" &amp; $A$4 &amp; "" AND D LIKE '%"" &amp; $A48 &amp; ""%' AND J='"" &amp; D$36 &amp; ""') label Count(A) ''""),0))"),2.0)</f>
        <v>2</v>
      </c>
      <c r="E48" s="144">
        <f t="shared" si="4"/>
        <v>15</v>
      </c>
      <c r="F48" s="145">
        <f t="shared" si="5"/>
        <v>0.08823529412</v>
      </c>
    </row>
    <row r="49">
      <c r="A49" s="160" t="str">
        <f>IFERROR(__xludf.DUMMYFUNCTION("""COMPUTED_VALUE"""),"Bannerbearer")</f>
        <v>Bannerbearer</v>
      </c>
      <c r="B49" s="101">
        <f>IFERROR(__xludf.DUMMYFUNCTION("IF(ISBLANK($A49),"""",IFNA(QUERY('1. Karten'!$A:$Q,""select count(A) where (C="" &amp; $A$4 &amp; "" AND D LIKE '%"" &amp; $A49 &amp; ""%' AND J='"" &amp; B$36 &amp; ""') label Count(A) ''""),0))"),10.0)</f>
        <v>10</v>
      </c>
      <c r="C49" s="101">
        <f>IFERROR(__xludf.DUMMYFUNCTION("IF(ISBLANK($A49),"""",IFNA(QUERY('1. Karten'!$A:$Q,""select count(A) where (C="" &amp; $A$4 &amp; "" AND D LIKE '%"" &amp; $A49 &amp; ""%' AND J='"" &amp; C$36 &amp; ""') label Count(A) ''""),0))"),0.0)</f>
        <v>0</v>
      </c>
      <c r="D49" s="101">
        <f>IFERROR(__xludf.DUMMYFUNCTION("IF(ISBLANK($A49),"""",IFNA(QUERY('1. Karten'!$A:$Q,""select count(A) where (C="" &amp; $A$4 &amp; "" AND D LIKE '%"" &amp; $A49 &amp; ""%' AND J='"" &amp; D$36 &amp; ""') label Count(A) ''""),0))"),0.0)</f>
        <v>0</v>
      </c>
      <c r="E49" s="144">
        <f t="shared" si="4"/>
        <v>10</v>
      </c>
      <c r="F49" s="145">
        <f t="shared" si="5"/>
        <v>0.05882352941</v>
      </c>
    </row>
    <row r="50">
      <c r="A50" s="160" t="str">
        <f>IFERROR(__xludf.DUMMYFUNCTION("""COMPUTED_VALUE"""),"Dinosaur")</f>
        <v>Dinosaur</v>
      </c>
      <c r="B50" s="101">
        <f>IFERROR(__xludf.DUMMYFUNCTION("IF(ISBLANK($A50),"""",IFNA(QUERY('1. Karten'!$A:$Q,""select count(A) where (C="" &amp; $A$4 &amp; "" AND D LIKE '%"" &amp; $A50 &amp; ""%' AND J='"" &amp; B$36 &amp; ""') label Count(A) ''""),0))"),7.0)</f>
        <v>7</v>
      </c>
      <c r="C50" s="101">
        <f>IFERROR(__xludf.DUMMYFUNCTION("IF(ISBLANK($A50),"""",IFNA(QUERY('1. Karten'!$A:$Q,""select count(A) where (C="" &amp; $A$4 &amp; "" AND D LIKE '%"" &amp; $A50 &amp; ""%' AND J='"" &amp; C$36 &amp; ""') label Count(A) ''""),0))"),6.0)</f>
        <v>6</v>
      </c>
      <c r="D50" s="101">
        <f>IFERROR(__xludf.DUMMYFUNCTION("IF(ISBLANK($A50),"""",IFNA(QUERY('1. Karten'!$A:$Q,""select count(A) where (C="" &amp; $A$4 &amp; "" AND D LIKE '%"" &amp; $A50 &amp; ""%' AND J='"" &amp; D$36 &amp; ""') label Count(A) ''""),0))"),5.0)</f>
        <v>5</v>
      </c>
      <c r="E50" s="144">
        <f t="shared" si="4"/>
        <v>18</v>
      </c>
      <c r="F50" s="145">
        <f t="shared" si="5"/>
        <v>0.1058823529</v>
      </c>
    </row>
    <row r="51">
      <c r="A51" s="162" t="str">
        <f>IFERROR(__xludf.DUMMYFUNCTION("""COMPUTED_VALUE"""),"Demon")</f>
        <v>Demon</v>
      </c>
      <c r="B51" s="101">
        <f>IFERROR(__xludf.DUMMYFUNCTION("IF(ISBLANK($A51),"""",IFNA(QUERY('1. Karten'!$A:$Q,""select count(A) where (C="" &amp; $A$4 &amp; "" AND D LIKE '%"" &amp; $A51 &amp; ""%' AND J='"" &amp; B$36 &amp; ""') label Count(A) ''""),0))"),9.0)</f>
        <v>9</v>
      </c>
      <c r="C51" s="101">
        <f>IFERROR(__xludf.DUMMYFUNCTION("IF(ISBLANK($A51),"""",IFNA(QUERY('1. Karten'!$A:$Q,""select count(A) where (C="" &amp; $A$4 &amp; "" AND D LIKE '%"" &amp; $A51 &amp; ""%' AND J='"" &amp; C$36 &amp; ""') label Count(A) ''""),0))"),4.0)</f>
        <v>4</v>
      </c>
      <c r="D51" s="101">
        <f>IFERROR(__xludf.DUMMYFUNCTION("IF(ISBLANK($A51),"""",IFNA(QUERY('1. Karten'!$A:$Q,""select count(A) where (C="" &amp; $A$4 &amp; "" AND D LIKE '%"" &amp; $A51 &amp; ""%' AND J='"" &amp; D$36 &amp; ""') label Count(A) ''""),0))"),7.0)</f>
        <v>7</v>
      </c>
      <c r="E51" s="144">
        <f t="shared" si="4"/>
        <v>20</v>
      </c>
      <c r="F51" s="145">
        <f t="shared" si="5"/>
        <v>0.1176470588</v>
      </c>
    </row>
    <row r="52">
      <c r="A52" s="162"/>
      <c r="B52" s="101" t="str">
        <f>IFERROR(__xludf.DUMMYFUNCTION("IF(ISBLANK($A52),"""",IFNA(QUERY('1. Karten'!$A:$Q,""select count(A) where (C="" &amp; $A$4 &amp; "" AND D LIKE '%"" &amp; $A52 &amp; ""%' AND J='"" &amp; B$36 &amp; ""') label Count(A) ''""),0))"),"")</f>
        <v/>
      </c>
      <c r="C52" s="101" t="str">
        <f>IFERROR(__xludf.DUMMYFUNCTION("IF(ISBLANK($A52),"""",IFNA(QUERY('1. Karten'!$A:$Q,""select count(A) where (C="" &amp; $A$4 &amp; "" AND D LIKE '%"" &amp; $A52 &amp; ""%' AND J='"" &amp; C$36 &amp; ""') label Count(A) ''""),0))"),"")</f>
        <v/>
      </c>
      <c r="D52" s="101" t="str">
        <f>IFERROR(__xludf.DUMMYFUNCTION("IF(ISBLANK($A52),"""",IFNA(QUERY('1. Karten'!$A:$Q,""select count(A) where (C="" &amp; $A$4 &amp; "" AND D LIKE '%"" &amp; $A52 &amp; ""%' AND J='"" &amp; D$36 &amp; ""') label Count(A) ''""),0))"),"")</f>
        <v/>
      </c>
      <c r="E52" s="144" t="str">
        <f t="shared" si="4"/>
        <v/>
      </c>
      <c r="F52" s="145" t="str">
        <f t="shared" si="5"/>
        <v/>
      </c>
    </row>
    <row r="53">
      <c r="B53" s="101" t="str">
        <f>IFERROR(__xludf.DUMMYFUNCTION("IF(ISBLANK($A53),"""",IFNA(QUERY('1. Karten'!$A:$Q,""select count(A) where (C="" &amp; $A$4 &amp; "" AND D LIKE '%"" &amp; $A53 &amp; ""%' AND J='"" &amp; B$36 &amp; ""') label Count(A) ''""),0))"),"")</f>
        <v/>
      </c>
      <c r="C53" s="101" t="str">
        <f>IFERROR(__xludf.DUMMYFUNCTION("IF(ISBLANK($A53),"""",IFNA(QUERY('1. Karten'!$A:$Q,""select count(A) where (C="" &amp; $A$4 &amp; "" AND D LIKE '%"" &amp; $A53 &amp; ""%' AND J='"" &amp; C$36 &amp; ""') label Count(A) ''""),0))"),"")</f>
        <v/>
      </c>
      <c r="D53" s="101" t="str">
        <f>IFERROR(__xludf.DUMMYFUNCTION("IF(ISBLANK($A53),"""",IFNA(QUERY('1. Karten'!$A:$Q,""select count(A) where (C="" &amp; $A$4 &amp; "" AND D LIKE '%"" &amp; $A53 &amp; ""%' AND J='"" &amp; D$36 &amp; ""') label Count(A) ''""),0))"),"")</f>
        <v/>
      </c>
      <c r="E53" s="144" t="str">
        <f t="shared" si="4"/>
        <v/>
      </c>
      <c r="F53" s="145" t="str">
        <f t="shared" si="5"/>
        <v/>
      </c>
    </row>
    <row r="54">
      <c r="B54" s="101" t="str">
        <f>IFERROR(__xludf.DUMMYFUNCTION("IF(ISBLANK($A54),"""",IFNA(QUERY('1. Karten'!$A:$Q,""select count(A) where (C="" &amp; $A$4 &amp; "" AND D LIKE '%"" &amp; $A54 &amp; ""%' AND J='"" &amp; B$36 &amp; ""') label Count(A) ''""),0))"),"")</f>
        <v/>
      </c>
      <c r="C54" s="101" t="str">
        <f>IFERROR(__xludf.DUMMYFUNCTION("IF(ISBLANK($A54),"""",IFNA(QUERY('1. Karten'!$A:$Q,""select count(A) where (C="" &amp; $A$4 &amp; "" AND D LIKE '%"" &amp; $A54 &amp; ""%' AND J='"" &amp; C$36 &amp; ""') label Count(A) ''""),0))"),"")</f>
        <v/>
      </c>
      <c r="D54" s="101" t="str">
        <f>IFERROR(__xludf.DUMMYFUNCTION("IF(ISBLANK($A54),"""",IFNA(QUERY('1. Karten'!$A:$Q,""select count(A) where (C="" &amp; $A$4 &amp; "" AND D LIKE '%"" &amp; $A54 &amp; ""%' AND J='"" &amp; D$36 &amp; ""') label Count(A) ''""),0))"),"")</f>
        <v/>
      </c>
      <c r="E54" s="144" t="str">
        <f t="shared" si="4"/>
        <v/>
      </c>
      <c r="F54" s="145" t="str">
        <f t="shared" si="5"/>
        <v/>
      </c>
    </row>
    <row r="55">
      <c r="B55" s="101" t="str">
        <f>IFERROR(__xludf.DUMMYFUNCTION("IF(ISBLANK($A55),"""",IFNA(QUERY('1. Karten'!$A:$Q,""select count(A) where (C="" &amp; $A$4 &amp; "" AND D LIKE '%"" &amp; $A55 &amp; ""%' AND J='"" &amp; B$36 &amp; ""') label Count(A) ''""),0))"),"")</f>
        <v/>
      </c>
      <c r="C55" s="101" t="str">
        <f>IFERROR(__xludf.DUMMYFUNCTION("IF(ISBLANK($A55),"""",IFNA(QUERY('1. Karten'!$A:$Q,""select count(A) where (C="" &amp; $A$4 &amp; "" AND D LIKE '%"" &amp; $A55 &amp; ""%' AND J='"" &amp; C$36 &amp; ""') label Count(A) ''""),0))"),"")</f>
        <v/>
      </c>
      <c r="D55" s="101" t="str">
        <f>IFERROR(__xludf.DUMMYFUNCTION("IF(ISBLANK($A55),"""",IFNA(QUERY('1. Karten'!$A:$Q,""select count(A) where (C="" &amp; $A$4 &amp; "" AND D LIKE '%"" &amp; $A55 &amp; ""%' AND J='"" &amp; D$36 &amp; ""') label Count(A) ''""),0))"),"")</f>
        <v/>
      </c>
      <c r="E55" s="144" t="str">
        <f t="shared" si="4"/>
        <v/>
      </c>
      <c r="F55" s="145" t="str">
        <f t="shared" si="5"/>
        <v/>
      </c>
    </row>
    <row r="56">
      <c r="B56" s="101" t="str">
        <f>IFERROR(__xludf.DUMMYFUNCTION("IF(ISBLANK($A56),"""",IFNA(QUERY('1. Karten'!$A:$Q,""select count(A) where (C="" &amp; $A$4 &amp; "" AND D LIKE '%"" &amp; $A56 &amp; ""%' AND J='"" &amp; B$36 &amp; ""') label Count(A) ''""),0))"),"")</f>
        <v/>
      </c>
      <c r="C56" s="101" t="str">
        <f>IFERROR(__xludf.DUMMYFUNCTION("IF(ISBLANK($A56),"""",IFNA(QUERY('1. Karten'!$A:$Q,""select count(A) where (C="" &amp; $A$4 &amp; "" AND D LIKE '%"" &amp; $A56 &amp; ""%' AND J='"" &amp; C$36 &amp; ""') label Count(A) ''""),0))"),"")</f>
        <v/>
      </c>
      <c r="D56" s="101" t="str">
        <f>IFERROR(__xludf.DUMMYFUNCTION("IF(ISBLANK($A56),"""",IFNA(QUERY('1. Karten'!$A:$Q,""select count(A) where (C="" &amp; $A$4 &amp; "" AND D LIKE '%"" &amp; $A56 &amp; ""%' AND J='"" &amp; D$36 &amp; ""') label Count(A) ''""),0))"),"")</f>
        <v/>
      </c>
      <c r="E56" s="144" t="str">
        <f t="shared" si="4"/>
        <v/>
      </c>
      <c r="F56" s="145" t="str">
        <f t="shared" si="5"/>
        <v/>
      </c>
    </row>
    <row r="57">
      <c r="B57" s="101" t="str">
        <f>IFERROR(__xludf.DUMMYFUNCTION("IF(ISBLANK($A57),"""",IFNA(QUERY('1. Karten'!$A:$Q,""select count(A) where (C="" &amp; $A$4 &amp; "" AND D LIKE '%"" &amp; $A57 &amp; ""%' AND J='"" &amp; B$36 &amp; ""') label Count(A) ''""),0))"),"")</f>
        <v/>
      </c>
      <c r="C57" s="101" t="str">
        <f>IFERROR(__xludf.DUMMYFUNCTION("IF(ISBLANK($A57),"""",IFNA(QUERY('1. Karten'!$A:$Q,""select count(A) where (C="" &amp; $A$4 &amp; "" AND D LIKE '%"" &amp; $A57 &amp; ""%' AND J='"" &amp; C$36 &amp; ""') label Count(A) ''""),0))"),"")</f>
        <v/>
      </c>
      <c r="D57" s="101" t="str">
        <f>IFERROR(__xludf.DUMMYFUNCTION("IF(ISBLANK($A57),"""",IFNA(QUERY('1. Karten'!$A:$Q,""select count(A) where (C="" &amp; $A$4 &amp; "" AND D LIKE '%"" &amp; $A57 &amp; ""%' AND J='"" &amp; D$36 &amp; ""') label Count(A) ''""),0))"),"")</f>
        <v/>
      </c>
      <c r="E57" s="144" t="str">
        <f t="shared" si="4"/>
        <v/>
      </c>
      <c r="F57" s="145" t="str">
        <f t="shared" si="5"/>
        <v/>
      </c>
    </row>
    <row r="58">
      <c r="B58" s="101" t="str">
        <f>IFERROR(__xludf.DUMMYFUNCTION("IF(ISBLANK($A58),"""",IFNA(QUERY('1. Karten'!$A:$Q,""select count(A) where (C="" &amp; $A$4 &amp; "" AND D LIKE '%"" &amp; $A58 &amp; ""%' AND J='"" &amp; B$36 &amp; ""') label Count(A) ''""),0))"),"")</f>
        <v/>
      </c>
      <c r="C58" s="101" t="str">
        <f>IFERROR(__xludf.DUMMYFUNCTION("IF(ISBLANK($A58),"""",IFNA(QUERY('1. Karten'!$A:$Q,""select count(A) where (C="" &amp; $A$4 &amp; "" AND D LIKE '%"" &amp; $A58 &amp; ""%' AND J='"" &amp; C$36 &amp; ""') label Count(A) ''""),0))"),"")</f>
        <v/>
      </c>
      <c r="D58" s="101" t="str">
        <f>IFERROR(__xludf.DUMMYFUNCTION("IF(ISBLANK($A58),"""",IFNA(QUERY('1. Karten'!$A:$Q,""select count(A) where (C="" &amp; $A$4 &amp; "" AND D LIKE '%"" &amp; $A58 &amp; ""%' AND J='"" &amp; D$36 &amp; ""') label Count(A) ''""),0))"),"")</f>
        <v/>
      </c>
      <c r="E58" s="144" t="str">
        <f t="shared" si="4"/>
        <v/>
      </c>
      <c r="F58" s="145" t="str">
        <f t="shared" si="5"/>
        <v/>
      </c>
    </row>
    <row r="59">
      <c r="B59" s="101" t="str">
        <f>IFERROR(__xludf.DUMMYFUNCTION("IF(ISBLANK($A59),"""",IFNA(QUERY('1. Karten'!$A:$Q,""select count(A) where (C="" &amp; $A$4 &amp; "" AND D LIKE '%"" &amp; $A59 &amp; ""%' AND J='"" &amp; B$36 &amp; ""') label Count(A) ''""),0))"),"")</f>
        <v/>
      </c>
      <c r="C59" s="101" t="str">
        <f>IFERROR(__xludf.DUMMYFUNCTION("IF(ISBLANK($A59),"""",IFNA(QUERY('1. Karten'!$A:$Q,""select count(A) where (C="" &amp; $A$4 &amp; "" AND D LIKE '%"" &amp; $A59 &amp; ""%' AND J='"" &amp; C$36 &amp; ""') label Count(A) ''""),0))"),"")</f>
        <v/>
      </c>
      <c r="D59" s="101" t="str">
        <f>IFERROR(__xludf.DUMMYFUNCTION("IF(ISBLANK($A59),"""",IFNA(QUERY('1. Karten'!$A:$Q,""select count(A) where (C="" &amp; $A$4 &amp; "" AND D LIKE '%"" &amp; $A59 &amp; ""%' AND J='"" &amp; D$36 &amp; ""') label Count(A) ''""),0))"),"")</f>
        <v/>
      </c>
      <c r="E59" s="144" t="str">
        <f t="shared" si="4"/>
        <v/>
      </c>
      <c r="F59" s="145" t="str">
        <f t="shared" si="5"/>
        <v/>
      </c>
    </row>
    <row r="60">
      <c r="B60" s="101" t="str">
        <f>IFERROR(__xludf.DUMMYFUNCTION("IF(ISBLANK($A60),"""",IFNA(QUERY('1. Karten'!$A:$Q,""select count(A) where (C="" &amp; $A$4 &amp; "" AND D LIKE '%"" &amp; $A60 &amp; ""%' AND J='"" &amp; B$36 &amp; ""') label Count(A) ''""),0))"),"")</f>
        <v/>
      </c>
      <c r="C60" s="101" t="str">
        <f>IFERROR(__xludf.DUMMYFUNCTION("IF(ISBLANK($A60),"""",IFNA(QUERY('1. Karten'!$A:$Q,""select count(A) where (C="" &amp; $A$4 &amp; "" AND D LIKE '%"" &amp; $A60 &amp; ""%' AND J='"" &amp; C$36 &amp; ""') label Count(A) ''""),0))"),"")</f>
        <v/>
      </c>
      <c r="D60" s="101" t="str">
        <f>IFERROR(__xludf.DUMMYFUNCTION("IF(ISBLANK($A60),"""",IFNA(QUERY('1. Karten'!$A:$Q,""select count(A) where (C="" &amp; $A$4 &amp; "" AND D LIKE '%"" &amp; $A60 &amp; ""%' AND J='"" &amp; D$36 &amp; ""') label Count(A) ''""),0))"),"")</f>
        <v/>
      </c>
      <c r="E60" s="144" t="str">
        <f t="shared" si="4"/>
        <v/>
      </c>
      <c r="F60" s="145" t="str">
        <f t="shared" si="5"/>
        <v/>
      </c>
    </row>
    <row r="61">
      <c r="B61" s="101" t="str">
        <f>IFERROR(__xludf.DUMMYFUNCTION("IF(ISBLANK($A61),"""",IFNA(QUERY('1. Karten'!$A:$Q,""select count(A) where (C="" &amp; $A$4 &amp; "" AND D LIKE '%"" &amp; $A61 &amp; ""%' AND J='"" &amp; B$36 &amp; ""') label Count(A) ''""),0))"),"")</f>
        <v/>
      </c>
      <c r="C61" s="101" t="str">
        <f>IFERROR(__xludf.DUMMYFUNCTION("IF(ISBLANK($A61),"""",IFNA(QUERY('1. Karten'!$A:$Q,""select count(A) where (C="" &amp; $A$4 &amp; "" AND D LIKE '%"" &amp; $A61 &amp; ""%' AND J='"" &amp; C$36 &amp; ""') label Count(A) ''""),0))"),"")</f>
        <v/>
      </c>
      <c r="D61" s="101" t="str">
        <f>IFERROR(__xludf.DUMMYFUNCTION("IF(ISBLANK($A61),"""",IFNA(QUERY('1. Karten'!$A:$Q,""select count(A) where (C="" &amp; $A$4 &amp; "" AND D LIKE '%"" &amp; $A61 &amp; ""%' AND J='"" &amp; D$36 &amp; ""') label Count(A) ''""),0))"),"")</f>
        <v/>
      </c>
      <c r="E61" s="144" t="str">
        <f t="shared" si="4"/>
        <v/>
      </c>
      <c r="F61" s="145" t="str">
        <f t="shared" si="5"/>
        <v/>
      </c>
    </row>
    <row r="62">
      <c r="B62" s="101" t="str">
        <f>IFERROR(__xludf.DUMMYFUNCTION("IF(ISBLANK($A62),"""",IFNA(QUERY('1. Karten'!$A:$Q,""select count(A) where (C="" &amp; $A$4 &amp; "" AND D LIKE '%"" &amp; $A62 &amp; ""%' AND J='"" &amp; B$36 &amp; ""') label Count(A) ''""),0))"),"")</f>
        <v/>
      </c>
      <c r="C62" s="101" t="str">
        <f>IFERROR(__xludf.DUMMYFUNCTION("IF(ISBLANK($A62),"""",IFNA(QUERY('1. Karten'!$A:$Q,""select count(A) where (C="" &amp; $A$4 &amp; "" AND D LIKE '%"" &amp; $A62 &amp; ""%' AND J='"" &amp; C$36 &amp; ""') label Count(A) ''""),0))"),"")</f>
        <v/>
      </c>
      <c r="D62" s="101" t="str">
        <f>IFERROR(__xludf.DUMMYFUNCTION("IF(ISBLANK($A62),"""",IFNA(QUERY('1. Karten'!$A:$Q,""select count(A) where (C="" &amp; $A$4 &amp; "" AND D LIKE '%"" &amp; $A62 &amp; ""%' AND J='"" &amp; D$36 &amp; ""') label Count(A) ''""),0))"),"")</f>
        <v/>
      </c>
      <c r="E62" s="144" t="str">
        <f t="shared" si="4"/>
        <v/>
      </c>
      <c r="F62" s="145" t="str">
        <f t="shared" si="5"/>
        <v/>
      </c>
    </row>
    <row r="63">
      <c r="B63" s="101" t="str">
        <f>IFERROR(__xludf.DUMMYFUNCTION("IF(ISBLANK($A63),"""",IFNA(QUERY('1. Karten'!$A:$Q,""select count(A) where (C="" &amp; $A$4 &amp; "" AND D LIKE '%"" &amp; $A63 &amp; ""%' AND J='"" &amp; B$36 &amp; ""') label Count(A) ''""),0))"),"")</f>
        <v/>
      </c>
      <c r="C63" s="101" t="str">
        <f>IFERROR(__xludf.DUMMYFUNCTION("IF(ISBLANK($A63),"""",IFNA(QUERY('1. Karten'!$A:$Q,""select count(A) where (C="" &amp; $A$4 &amp; "" AND D LIKE '%"" &amp; $A63 &amp; ""%' AND J='"" &amp; C$36 &amp; ""') label Count(A) ''""),0))"),"")</f>
        <v/>
      </c>
      <c r="D63" s="101" t="str">
        <f>IFERROR(__xludf.DUMMYFUNCTION("IF(ISBLANK($A63),"""",IFNA(QUERY('1. Karten'!$A:$Q,""select count(A) where (C="" &amp; $A$4 &amp; "" AND D LIKE '%"" &amp; $A63 &amp; ""%' AND J='"" &amp; D$36 &amp; ""') label Count(A) ''""),0))"),"")</f>
        <v/>
      </c>
      <c r="E63" s="144" t="str">
        <f t="shared" si="4"/>
        <v/>
      </c>
      <c r="F63" s="145"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1581</v>
      </c>
      <c r="G1" s="5" t="s">
        <v>1582</v>
      </c>
      <c r="H1" s="5" t="s">
        <v>1583</v>
      </c>
      <c r="I1" s="163" t="s">
        <v>6</v>
      </c>
      <c r="J1" s="164" t="s">
        <v>7</v>
      </c>
      <c r="K1" s="164" t="s">
        <v>8</v>
      </c>
      <c r="L1" s="165" t="s">
        <v>9</v>
      </c>
      <c r="M1" s="166" t="s">
        <v>10</v>
      </c>
      <c r="N1" s="20" t="s">
        <v>11</v>
      </c>
      <c r="O1" s="20" t="s">
        <v>12</v>
      </c>
      <c r="P1" s="20" t="s">
        <v>13</v>
      </c>
      <c r="Q1" s="20" t="s">
        <v>14</v>
      </c>
      <c r="R1" s="20" t="s">
        <v>15</v>
      </c>
      <c r="S1" s="20" t="s">
        <v>16</v>
      </c>
    </row>
    <row r="2">
      <c r="A2" s="14" t="s">
        <v>1584</v>
      </c>
      <c r="B2" s="14" t="s">
        <v>1585</v>
      </c>
      <c r="D2" s="14" t="s">
        <v>1586</v>
      </c>
      <c r="E2" s="14" t="s">
        <v>1587</v>
      </c>
      <c r="I2" s="14" t="s">
        <v>1588</v>
      </c>
      <c r="J2" s="14">
        <v>2.0</v>
      </c>
      <c r="K2" s="14" t="s">
        <v>912</v>
      </c>
      <c r="L2" s="14" t="s">
        <v>33</v>
      </c>
      <c r="P2" s="14" t="s">
        <v>1589</v>
      </c>
      <c r="Q2" s="14" t="s">
        <v>1586</v>
      </c>
      <c r="R2" s="14" t="s">
        <v>1589</v>
      </c>
      <c r="S2" s="14">
        <v>3.0</v>
      </c>
    </row>
    <row r="3">
      <c r="A3" s="25" t="s">
        <v>1590</v>
      </c>
      <c r="B3" s="87" t="s">
        <v>13</v>
      </c>
      <c r="C3" s="12"/>
      <c r="D3" s="12" t="s">
        <v>1353</v>
      </c>
      <c r="E3" s="10" t="s">
        <v>1591</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3" t="s">
        <v>1592</v>
      </c>
      <c r="J3" s="12">
        <v>0.0</v>
      </c>
      <c r="K3" s="12" t="s">
        <v>1593</v>
      </c>
      <c r="L3" s="12" t="s">
        <v>39</v>
      </c>
      <c r="N3" s="14" t="str">
        <f>IFERROR(__xludf.DUMMYFUNCTION("IF(REGEXMATCH($B3,'1. Karten'!L$1),$D3,"""")"),"")</f>
        <v/>
      </c>
      <c r="O3" s="14" t="str">
        <f>IFERROR(__xludf.DUMMYFUNCTION("IF(REGEXMATCH($B3,'1. Karten'!M$1),$D3,"""")"),"")</f>
        <v/>
      </c>
      <c r="P3" s="14" t="str">
        <f>IFERROR(__xludf.DUMMYFUNCTION("IF(REGEXMATCH($B3,'1. Karten'!N$1),$D3,"""")"),"Demon")</f>
        <v>Demon</v>
      </c>
      <c r="Q3" s="14" t="str">
        <f>IFERROR(__xludf.DUMMYFUNCTION("IF(REGEXMATCH($B3,'1. Karten'!O$1),$D3,"""")"),"")</f>
        <v/>
      </c>
      <c r="R3" s="14" t="str">
        <f>IFERROR(__xludf.DUMMYFUNCTION("IF(REGEXMATCH($B3,'1. Karten'!P$1),$D3,"""")"),"")</f>
        <v/>
      </c>
      <c r="S3" s="14">
        <f>IFERROR(__xludf.DUMMYFUNCTION("IF($A3="""","""",LEN(REGEXREPLACE($K3,"",\s?"","""")))"),7.0)</f>
        <v>7</v>
      </c>
    </row>
    <row r="4">
      <c r="A4" s="20" t="s">
        <v>1594</v>
      </c>
      <c r="B4" s="86" t="s">
        <v>12</v>
      </c>
      <c r="C4" s="19"/>
      <c r="D4" s="19" t="s">
        <v>411</v>
      </c>
      <c r="E4" s="20" t="s">
        <v>1595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1" t="s">
        <v>1596</v>
      </c>
      <c r="H4" s="19">
        <v>0.0</v>
      </c>
      <c r="I4" s="19" t="s">
        <v>1141</v>
      </c>
      <c r="J4" s="19" t="s">
        <v>69</v>
      </c>
      <c r="L4" s="14" t="str">
        <f>IFERROR(__xludf.DUMMYFUNCTION("IF(REGEXMATCH($B4,'1. Karten'!L$1),$D4,"""")"),"")</f>
        <v/>
      </c>
      <c r="M4" s="14" t="str">
        <f>IFERROR(__xludf.DUMMYFUNCTION("IF(REGEXMATCH($B4,'1. Karten'!M$1),$D4,"""")"),"Spirit")</f>
        <v>Spirit</v>
      </c>
      <c r="N4" s="14" t="str">
        <f>IFERROR(__xludf.DUMMYFUNCTION("IF(REGEXMATCH($B4,'1. Karten'!N$1),$D4,"""")"),"")</f>
        <v/>
      </c>
      <c r="O4" s="14" t="str">
        <f>IFERROR(__xludf.DUMMYFUNCTION("IF(REGEXMATCH($B4,'1. Karten'!O$1),$D4,"""")"),"")</f>
        <v/>
      </c>
      <c r="P4" s="14" t="str">
        <f>IFERROR(__xludf.DUMMYFUNCTION("IF(REGEXMATCH($B4,'1. Karten'!P$1),$D4,"""")"),"")</f>
        <v/>
      </c>
      <c r="Q4" s="14">
        <f>IFERROR(__xludf.DUMMYFUNCTION("IF($A4="""","""",LEN(REGEXREPLACE($I4,"",\s?"","""")))"),4.0)</f>
        <v>4</v>
      </c>
    </row>
    <row r="5">
      <c r="A5" s="10" t="s">
        <v>1597</v>
      </c>
      <c r="B5" s="11" t="s">
        <v>15</v>
      </c>
      <c r="C5" s="12">
        <v>1.0</v>
      </c>
      <c r="D5" s="12" t="s">
        <v>35</v>
      </c>
      <c r="E5" s="34" t="s">
        <v>90</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3" t="s">
        <v>31</v>
      </c>
      <c r="H5" s="12">
        <v>6.0</v>
      </c>
      <c r="I5" s="12" t="s">
        <v>63</v>
      </c>
      <c r="J5" s="12" t="s">
        <v>33</v>
      </c>
      <c r="L5" s="14" t="str">
        <f>IFERROR(__xludf.DUMMYFUNCTION("IF(REGEXMATCH($B5,'1. Karten'!L$1),$D5,"""")"),"")</f>
        <v/>
      </c>
      <c r="M5" s="14" t="str">
        <f>IFERROR(__xludf.DUMMYFUNCTION("IF(REGEXMATCH($B5,'1. Karten'!M$1),$D5,"""")"),"")</f>
        <v/>
      </c>
      <c r="N5" s="14" t="str">
        <f>IFERROR(__xludf.DUMMYFUNCTION("IF(REGEXMATCH($B5,'1. Karten'!N$1),$D5,"""")"),"")</f>
        <v/>
      </c>
      <c r="O5" s="14" t="str">
        <f>IFERROR(__xludf.DUMMYFUNCTION("IF(REGEXMATCH($B5,'1. Karten'!O$1),$D5,"""")"),"")</f>
        <v/>
      </c>
      <c r="P5" s="14" t="str">
        <f>IFERROR(__xludf.DUMMYFUNCTION("IF(REGEXMATCH($B5,'1. Karten'!P$1),$D5,"""")"),"Angel")</f>
        <v>Angel</v>
      </c>
      <c r="Q5" s="14">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7" t="s">
        <v>3</v>
      </c>
      <c r="E1" s="2" t="s">
        <v>4</v>
      </c>
      <c r="F1" s="5" t="s">
        <v>1581</v>
      </c>
      <c r="G1" s="5" t="s">
        <v>1582</v>
      </c>
      <c r="H1" s="5" t="s">
        <v>1583</v>
      </c>
      <c r="I1" s="6" t="s">
        <v>6</v>
      </c>
      <c r="J1" s="4" t="s">
        <v>7</v>
      </c>
      <c r="K1" s="4" t="s">
        <v>8</v>
      </c>
      <c r="L1" s="4" t="s">
        <v>9</v>
      </c>
      <c r="M1" s="8" t="s">
        <v>11</v>
      </c>
      <c r="N1" s="8" t="s">
        <v>12</v>
      </c>
      <c r="O1" s="8" t="s">
        <v>13</v>
      </c>
      <c r="P1" s="8" t="s">
        <v>14</v>
      </c>
      <c r="Q1" s="8" t="s">
        <v>15</v>
      </c>
      <c r="R1" s="8" t="s">
        <v>16</v>
      </c>
      <c r="S1" s="168"/>
      <c r="T1" s="168"/>
      <c r="U1" s="168"/>
      <c r="V1" s="168"/>
      <c r="W1" s="168"/>
      <c r="X1" s="168"/>
      <c r="Y1" s="168"/>
      <c r="Z1" s="168"/>
      <c r="AA1" s="168"/>
      <c r="AB1" s="168"/>
      <c r="AC1" s="168"/>
      <c r="AD1" s="168"/>
    </row>
    <row r="2">
      <c r="A2" s="20" t="s">
        <v>1598</v>
      </c>
      <c r="B2" s="20" t="s">
        <v>15</v>
      </c>
      <c r="C2" s="19">
        <v>3.0</v>
      </c>
      <c r="D2" s="20" t="s">
        <v>1599</v>
      </c>
      <c r="E2" s="20" t="s">
        <v>1600</v>
      </c>
      <c r="I2" s="60"/>
      <c r="J2" s="19">
        <v>4.0</v>
      </c>
      <c r="K2" s="19" t="s">
        <v>150</v>
      </c>
      <c r="L2" s="20" t="s">
        <v>69</v>
      </c>
    </row>
    <row r="3">
      <c r="A3" s="20" t="s">
        <v>1601</v>
      </c>
      <c r="B3" s="20" t="s">
        <v>13</v>
      </c>
      <c r="C3" s="19">
        <v>3.0</v>
      </c>
      <c r="D3" s="20" t="s">
        <v>1602</v>
      </c>
      <c r="E3" s="20" t="s">
        <v>1603</v>
      </c>
      <c r="I3" s="21" t="s">
        <v>1604</v>
      </c>
      <c r="J3" s="19">
        <v>3.0</v>
      </c>
      <c r="K3" s="19" t="s">
        <v>1605</v>
      </c>
      <c r="L3" s="20" t="s">
        <v>39</v>
      </c>
    </row>
    <row r="4">
      <c r="A4" s="20" t="s">
        <v>1606</v>
      </c>
      <c r="B4" s="20" t="s">
        <v>14</v>
      </c>
      <c r="C4" s="19">
        <v>3.0</v>
      </c>
      <c r="D4" s="20" t="s">
        <v>44</v>
      </c>
      <c r="E4" s="20" t="s">
        <v>1607</v>
      </c>
      <c r="I4" s="60"/>
      <c r="J4" s="19">
        <v>1.0</v>
      </c>
      <c r="K4" s="19" t="s">
        <v>916</v>
      </c>
      <c r="L4" s="20" t="s">
        <v>33</v>
      </c>
    </row>
    <row r="5">
      <c r="A5" s="20" t="s">
        <v>1608</v>
      </c>
      <c r="B5" s="20" t="s">
        <v>11</v>
      </c>
      <c r="C5" s="19">
        <v>3.0</v>
      </c>
      <c r="D5" s="20" t="s">
        <v>672</v>
      </c>
      <c r="E5" s="20" t="s">
        <v>1609</v>
      </c>
      <c r="I5" s="60"/>
      <c r="J5" s="19">
        <v>3.0</v>
      </c>
      <c r="K5" s="19" t="s">
        <v>435</v>
      </c>
      <c r="L5" s="20" t="s">
        <v>33</v>
      </c>
    </row>
    <row r="6">
      <c r="A6" s="20" t="s">
        <v>1610</v>
      </c>
      <c r="B6" s="20" t="s">
        <v>878</v>
      </c>
      <c r="C6" s="19">
        <v>3.0</v>
      </c>
      <c r="D6" s="20" t="s">
        <v>1611</v>
      </c>
      <c r="E6" s="20" t="s">
        <v>1612</v>
      </c>
      <c r="I6" s="21" t="s">
        <v>1613</v>
      </c>
      <c r="J6" s="19">
        <v>6.0</v>
      </c>
      <c r="K6" s="19" t="s">
        <v>1614</v>
      </c>
      <c r="L6" s="20" t="s">
        <v>69</v>
      </c>
    </row>
    <row r="7">
      <c r="A7" s="20" t="s">
        <v>1615</v>
      </c>
      <c r="B7" s="20" t="s">
        <v>376</v>
      </c>
      <c r="C7" s="19">
        <v>3.0</v>
      </c>
      <c r="D7" s="20" t="s">
        <v>1616</v>
      </c>
      <c r="E7" s="20" t="s">
        <v>1617</v>
      </c>
      <c r="I7" s="21" t="s">
        <v>1618</v>
      </c>
      <c r="J7" s="19">
        <v>5.0</v>
      </c>
      <c r="K7" s="19" t="s">
        <v>1619</v>
      </c>
      <c r="L7" s="20" t="s">
        <v>39</v>
      </c>
    </row>
    <row r="8">
      <c r="A8" s="20" t="s">
        <v>1620</v>
      </c>
      <c r="B8" s="20" t="s">
        <v>12</v>
      </c>
      <c r="C8" s="19">
        <v>3.0</v>
      </c>
      <c r="D8" s="20" t="s">
        <v>1621</v>
      </c>
      <c r="E8" s="20" t="s">
        <v>1622</v>
      </c>
      <c r="I8" s="21" t="s">
        <v>1623</v>
      </c>
      <c r="J8" s="19">
        <v>5.0</v>
      </c>
      <c r="K8" s="19" t="s">
        <v>1152</v>
      </c>
      <c r="L8" s="20" t="s">
        <v>69</v>
      </c>
    </row>
    <row r="9">
      <c r="A9" s="20" t="s">
        <v>1624</v>
      </c>
      <c r="B9" s="20" t="s">
        <v>15</v>
      </c>
      <c r="C9" s="19">
        <v>3.0</v>
      </c>
      <c r="D9" s="20" t="s">
        <v>110</v>
      </c>
      <c r="E9" s="20" t="s">
        <v>1625</v>
      </c>
      <c r="I9" s="21"/>
      <c r="J9" s="19">
        <v>2.0</v>
      </c>
      <c r="K9" s="19" t="s">
        <v>105</v>
      </c>
      <c r="L9" s="20" t="s">
        <v>33</v>
      </c>
    </row>
    <row r="10">
      <c r="A10" s="20" t="s">
        <v>1626</v>
      </c>
      <c r="B10" s="20" t="s">
        <v>11</v>
      </c>
      <c r="C10" s="19">
        <v>3.0</v>
      </c>
      <c r="D10" s="20" t="s">
        <v>1627</v>
      </c>
      <c r="E10" s="20" t="s">
        <v>1628</v>
      </c>
      <c r="I10" s="60"/>
      <c r="J10" s="19">
        <v>3.0</v>
      </c>
      <c r="K10" s="19" t="s">
        <v>430</v>
      </c>
      <c r="L10" s="20" t="s">
        <v>33</v>
      </c>
    </row>
    <row r="11">
      <c r="A11" s="20" t="s">
        <v>1629</v>
      </c>
      <c r="B11" s="20" t="s">
        <v>827</v>
      </c>
      <c r="C11" s="19">
        <v>3.0</v>
      </c>
      <c r="D11" s="20" t="s">
        <v>1586</v>
      </c>
      <c r="E11" s="20" t="s">
        <v>1630</v>
      </c>
      <c r="I11" s="60"/>
      <c r="J11" s="19">
        <v>3.0</v>
      </c>
      <c r="K11" s="19" t="s">
        <v>1631</v>
      </c>
      <c r="L11" s="20" t="s">
        <v>69</v>
      </c>
    </row>
    <row r="12">
      <c r="A12" s="20" t="s">
        <v>1632</v>
      </c>
      <c r="B12" s="20" t="s">
        <v>13</v>
      </c>
      <c r="C12" s="19">
        <v>3.0</v>
      </c>
      <c r="D12" s="20" t="s">
        <v>1633</v>
      </c>
      <c r="E12" s="20" t="s">
        <v>1634</v>
      </c>
      <c r="I12" s="21" t="s">
        <v>1635</v>
      </c>
      <c r="J12" s="93"/>
      <c r="K12" s="93"/>
    </row>
    <row r="13">
      <c r="A13" s="20" t="s">
        <v>1636</v>
      </c>
      <c r="B13" s="20" t="s">
        <v>12</v>
      </c>
      <c r="C13" s="19">
        <v>3.0</v>
      </c>
      <c r="D13" s="20" t="s">
        <v>1077</v>
      </c>
      <c r="E13" s="20" t="s">
        <v>1637</v>
      </c>
      <c r="I13" s="60"/>
      <c r="J13" s="19">
        <v>3.0</v>
      </c>
      <c r="K13" s="19" t="s">
        <v>1122</v>
      </c>
      <c r="L13" s="20" t="s">
        <v>33</v>
      </c>
    </row>
    <row r="14">
      <c r="A14" s="20" t="s">
        <v>1638</v>
      </c>
      <c r="B14" s="20" t="s">
        <v>13</v>
      </c>
      <c r="C14" s="19">
        <v>3.0</v>
      </c>
      <c r="D14" s="20" t="s">
        <v>1639</v>
      </c>
      <c r="E14" s="20" t="s">
        <v>1640</v>
      </c>
      <c r="I14" s="21" t="s">
        <v>1641</v>
      </c>
      <c r="J14" s="19">
        <v>4.0</v>
      </c>
      <c r="K14" s="19" t="s">
        <v>1342</v>
      </c>
      <c r="L14" s="20" t="s">
        <v>69</v>
      </c>
    </row>
    <row r="15">
      <c r="A15" s="20" t="s">
        <v>1642</v>
      </c>
      <c r="B15" s="20" t="s">
        <v>1643</v>
      </c>
      <c r="C15" s="19">
        <v>3.0</v>
      </c>
      <c r="D15" s="20" t="s">
        <v>35</v>
      </c>
      <c r="E15" s="20" t="s">
        <v>1644</v>
      </c>
      <c r="I15" s="21" t="s">
        <v>1645</v>
      </c>
      <c r="J15" s="19">
        <v>3.0</v>
      </c>
      <c r="K15" s="19" t="s">
        <v>1646</v>
      </c>
      <c r="L15" s="20" t="s">
        <v>33</v>
      </c>
    </row>
    <row r="16">
      <c r="A16" s="20" t="s">
        <v>1647</v>
      </c>
      <c r="B16" s="20" t="s">
        <v>11</v>
      </c>
      <c r="C16" s="19">
        <v>3.0</v>
      </c>
      <c r="D16" s="20" t="s">
        <v>1648</v>
      </c>
      <c r="E16" s="20" t="s">
        <v>1649</v>
      </c>
      <c r="I16" s="60"/>
      <c r="J16" s="19">
        <v>5.0</v>
      </c>
      <c r="K16" s="19" t="s">
        <v>480</v>
      </c>
      <c r="L16" s="20" t="s">
        <v>33</v>
      </c>
    </row>
    <row r="17">
      <c r="A17" s="20" t="s">
        <v>1650</v>
      </c>
      <c r="B17" s="18" t="s">
        <v>15</v>
      </c>
      <c r="C17" s="19"/>
      <c r="D17" s="19" t="s">
        <v>77</v>
      </c>
      <c r="E17" s="20" t="s">
        <v>1651</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1" t="s">
        <v>1364</v>
      </c>
      <c r="J17" s="19">
        <v>0.0</v>
      </c>
      <c r="K17" s="19" t="s">
        <v>183</v>
      </c>
      <c r="L17" s="19" t="s">
        <v>69</v>
      </c>
      <c r="N17" s="14" t="str">
        <f>IFERROR(__xludf.DUMMYFUNCTION("IF(REGEXMATCH($B17,'1. Karten'!L$1),$D17,"""")"),"")</f>
        <v/>
      </c>
      <c r="O17" s="14" t="str">
        <f>IFERROR(__xludf.DUMMYFUNCTION("IF(REGEXMATCH($B17,'1. Karten'!M$1),$D17,"""")"),"")</f>
        <v/>
      </c>
      <c r="P17" s="14" t="str">
        <f>IFERROR(__xludf.DUMMYFUNCTION("IF(REGEXMATCH($B17,'1. Karten'!N$1),$D17,"""")"),"")</f>
        <v/>
      </c>
      <c r="Q17" s="14" t="str">
        <f>IFERROR(__xludf.DUMMYFUNCTION("IF(REGEXMATCH($B17,'1. Karten'!O$1),$D17,"""")"),"")</f>
        <v/>
      </c>
      <c r="R17" s="14" t="str">
        <f>IFERROR(__xludf.DUMMYFUNCTION("IF(REGEXMATCH($B17,'1. Karten'!P$1),$D17,"""")"),"Construct")</f>
        <v>Construct</v>
      </c>
      <c r="S17" s="14">
        <f>IFERROR(__xludf.DUMMYFUNCTION("IF($A17="""","""",LEN(REGEXREPLACE($K17,"",\s?"","""")))"),7.0)</f>
        <v>7</v>
      </c>
    </row>
    <row r="18">
      <c r="A18" s="20" t="s">
        <v>1652</v>
      </c>
      <c r="B18" s="20" t="s">
        <v>11</v>
      </c>
      <c r="C18" s="19">
        <v>3.0</v>
      </c>
      <c r="D18" s="20" t="s">
        <v>1653</v>
      </c>
      <c r="E18" s="20" t="s">
        <v>1654</v>
      </c>
      <c r="I18" s="60"/>
      <c r="J18" s="19">
        <v>2.0</v>
      </c>
      <c r="K18" s="19" t="s">
        <v>435</v>
      </c>
      <c r="L18" s="20" t="s">
        <v>69</v>
      </c>
    </row>
    <row r="19">
      <c r="A19" s="25" t="s">
        <v>1655</v>
      </c>
      <c r="B19" s="85" t="s">
        <v>12</v>
      </c>
      <c r="C19" s="12"/>
      <c r="D19" s="12" t="s">
        <v>77</v>
      </c>
      <c r="E19" s="10" t="s">
        <v>1656</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3" t="s">
        <v>1657</v>
      </c>
      <c r="J19" s="12">
        <v>3.0</v>
      </c>
      <c r="K19" s="12" t="s">
        <v>1126</v>
      </c>
      <c r="L19" s="12" t="s">
        <v>39</v>
      </c>
      <c r="N19" s="14" t="str">
        <f>IFERROR(__xludf.DUMMYFUNCTION("IF(REGEXMATCH($B19,'1. Karten'!L$1),$D19,"""")"),"")</f>
        <v/>
      </c>
      <c r="O19" s="14" t="str">
        <f>IFERROR(__xludf.DUMMYFUNCTION("IF(REGEXMATCH($B19,'1. Karten'!M$1),$D19,"""")"),"Construct")</f>
        <v>Construct</v>
      </c>
      <c r="P19" s="14" t="str">
        <f>IFERROR(__xludf.DUMMYFUNCTION("IF(REGEXMATCH($B19,'1. Karten'!N$1),$D19,"""")"),"")</f>
        <v/>
      </c>
      <c r="Q19" s="14" t="str">
        <f>IFERROR(__xludf.DUMMYFUNCTION("IF(REGEXMATCH($B19,'1. Karten'!O$1),$D19,"""")"),"")</f>
        <v/>
      </c>
      <c r="R19" s="14" t="str">
        <f>IFERROR(__xludf.DUMMYFUNCTION("IF(REGEXMATCH($B19,'1. Karten'!P$1),$D19,"""")"),"")</f>
        <v/>
      </c>
      <c r="S19" s="14">
        <f>IFERROR(__xludf.DUMMYFUNCTION("IF($A19="""","""",LEN(REGEXREPLACE($K19,"",\s?"","""")))"),5.0)</f>
        <v>5</v>
      </c>
    </row>
    <row r="20">
      <c r="A20" s="10" t="s">
        <v>1338</v>
      </c>
      <c r="B20" s="87" t="s">
        <v>13</v>
      </c>
      <c r="C20" s="12">
        <v>3.0</v>
      </c>
      <c r="D20" s="19" t="s">
        <v>1658</v>
      </c>
      <c r="E20" s="20" t="s">
        <v>1340</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1" t="s">
        <v>1341</v>
      </c>
      <c r="J20" s="19">
        <v>2.0</v>
      </c>
      <c r="K20" s="19" t="s">
        <v>1342</v>
      </c>
      <c r="L20" s="12" t="s">
        <v>39</v>
      </c>
    </row>
    <row r="21">
      <c r="A21" s="10" t="s">
        <v>1659</v>
      </c>
      <c r="B21" s="11" t="s">
        <v>15</v>
      </c>
      <c r="C21" s="12">
        <v>3.0</v>
      </c>
      <c r="D21" s="12" t="s">
        <v>411</v>
      </c>
      <c r="E21" s="10" t="s">
        <v>1660</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3" t="s">
        <v>1661</v>
      </c>
      <c r="J21" s="12">
        <v>3.0</v>
      </c>
      <c r="K21" s="12" t="s">
        <v>150</v>
      </c>
      <c r="L21" s="12" t="s">
        <v>33</v>
      </c>
    </row>
    <row r="22">
      <c r="A22" s="32" t="s">
        <v>1662</v>
      </c>
      <c r="B22" s="169" t="s">
        <v>15</v>
      </c>
      <c r="C22" s="62">
        <v>3.0</v>
      </c>
      <c r="D22" s="64" t="s">
        <v>1663</v>
      </c>
      <c r="E22" s="34" t="s">
        <v>1664</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3" t="s">
        <v>31</v>
      </c>
      <c r="J22" s="64">
        <v>5.0</v>
      </c>
      <c r="K22" s="62" t="s">
        <v>63</v>
      </c>
      <c r="L22" s="64" t="s">
        <v>33</v>
      </c>
    </row>
    <row r="23">
      <c r="A23" s="20" t="s">
        <v>1665</v>
      </c>
      <c r="B23" s="20" t="s">
        <v>376</v>
      </c>
      <c r="C23" s="19"/>
      <c r="D23" s="19" t="s">
        <v>1100</v>
      </c>
      <c r="E23" s="20" t="s">
        <v>1666</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1" t="s">
        <v>1667</v>
      </c>
      <c r="H23" s="19">
        <v>5.0</v>
      </c>
      <c r="I23" s="19" t="s">
        <v>1668</v>
      </c>
      <c r="J23" s="19" t="s">
        <v>69</v>
      </c>
      <c r="L23" s="14" t="str">
        <f>IFERROR(__xludf.DUMMYFUNCTION("IF(REGEXMATCH($B23,'1. Karten'!L$1),$D23,"""")"),"")</f>
        <v/>
      </c>
      <c r="M23" s="14" t="str">
        <f>IFERROR(__xludf.DUMMYFUNCTION("IF(REGEXMATCH($B23,'1. Karten'!M$1),$D23,"""")"),"")</f>
        <v/>
      </c>
      <c r="N23" s="14" t="str">
        <f>IFERROR(__xludf.DUMMYFUNCTION("IF(REGEXMATCH($B23,'1. Karten'!N$1),$D23,"""")"),"Demon Wizard")</f>
        <v>Demon Wizard</v>
      </c>
      <c r="O23" s="14" t="str">
        <f>IFERROR(__xludf.DUMMYFUNCTION("IF(REGEXMATCH($B23,'1. Karten'!O$1),$D23,"""")"),"")</f>
        <v/>
      </c>
      <c r="P23" s="14" t="str">
        <f>IFERROR(__xludf.DUMMYFUNCTION("IF(REGEXMATCH($B23,'1. Karten'!P$1),$D23,"""")"),"Demon Wizard")</f>
        <v>Demon Wizard</v>
      </c>
      <c r="Q23" s="14">
        <f>IFERROR(__xludf.DUMMYFUNCTION("IF($A23="""","""",LEN(REGEXREPLACE($I23,"",\s?"","""")))"),5.0)</f>
        <v>5</v>
      </c>
    </row>
    <row r="24">
      <c r="A24" s="10" t="s">
        <v>1669</v>
      </c>
      <c r="B24" s="50" t="s">
        <v>11</v>
      </c>
      <c r="C24" s="12">
        <v>3.0</v>
      </c>
      <c r="D24" s="12" t="s">
        <v>432</v>
      </c>
      <c r="E24" s="20" t="s">
        <v>1670</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3" t="s">
        <v>1671</v>
      </c>
      <c r="H24" s="12">
        <v>4.0</v>
      </c>
      <c r="I24" s="12" t="s">
        <v>480</v>
      </c>
      <c r="J24" s="12" t="s">
        <v>69</v>
      </c>
      <c r="L24" s="14" t="str">
        <f>IFERROR(__xludf.DUMMYFUNCTION("IF(REGEXMATCH($B24,'1. Karten'!L$1),$D24,"""")"),"Dragon")</f>
        <v>Dragon</v>
      </c>
      <c r="M24" s="14" t="str">
        <f>IFERROR(__xludf.DUMMYFUNCTION("IF(REGEXMATCH($B24,'1. Karten'!M$1),$D24,"""")"),"")</f>
        <v/>
      </c>
      <c r="N24" s="14" t="str">
        <f>IFERROR(__xludf.DUMMYFUNCTION("IF(REGEXMATCH($B24,'1. Karten'!N$1),$D24,"""")"),"")</f>
        <v/>
      </c>
      <c r="O24" s="14" t="str">
        <f>IFERROR(__xludf.DUMMYFUNCTION("IF(REGEXMATCH($B24,'1. Karten'!O$1),$D24,"""")"),"")</f>
        <v/>
      </c>
      <c r="P24" s="14" t="str">
        <f>IFERROR(__xludf.DUMMYFUNCTION("IF(REGEXMATCH($B24,'1. Karten'!P$1),$D24,"""")"),"")</f>
        <v/>
      </c>
      <c r="Q24" s="14">
        <f>IFERROR(__xludf.DUMMYFUNCTION("IF($A24="""","""",LEN(REGEXREPLACE($I24,"",\s?"","""")))"),5.0)</f>
        <v>5</v>
      </c>
    </row>
    <row r="25">
      <c r="A25" s="10" t="s">
        <v>1672</v>
      </c>
      <c r="B25" s="10" t="s">
        <v>296</v>
      </c>
      <c r="C25" s="12">
        <v>3.0</v>
      </c>
      <c r="D25" s="12" t="s">
        <v>147</v>
      </c>
      <c r="E25" s="10" t="s">
        <v>1673</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3" t="s">
        <v>1674</v>
      </c>
      <c r="H25" s="12">
        <v>3.0</v>
      </c>
      <c r="I25" s="12" t="s">
        <v>315</v>
      </c>
      <c r="J25" s="12" t="s">
        <v>69</v>
      </c>
      <c r="L25" s="14" t="str">
        <f>IFERROR(__xludf.DUMMYFUNCTION("IF(REGEXMATCH($B25,'1. Karten'!L$1),$D25,"""")"),"")</f>
        <v/>
      </c>
      <c r="M25" s="14" t="str">
        <f>IFERROR(__xludf.DUMMYFUNCTION("IF(REGEXMATCH($B25,'1. Karten'!M$1),$D25,"""")"),"")</f>
        <v/>
      </c>
      <c r="N25" s="14" t="str">
        <f>IFERROR(__xludf.DUMMYFUNCTION("IF(REGEXMATCH($B25,'1. Karten'!N$1),$D25,"""")"),"")</f>
        <v/>
      </c>
      <c r="O25" s="14" t="str">
        <f>IFERROR(__xludf.DUMMYFUNCTION("IF(REGEXMATCH($B25,'1. Karten'!O$1),$D25,"""")"),"Angel Spirit")</f>
        <v>Angel Spirit</v>
      </c>
      <c r="P25" s="14" t="str">
        <f>IFERROR(__xludf.DUMMYFUNCTION("IF(REGEXMATCH($B25,'1. Karten'!P$1),$D25,"""")"),"Angel Spirit")</f>
        <v>Angel Spirit</v>
      </c>
      <c r="Q25" s="14">
        <f>IFERROR(__xludf.DUMMYFUNCTION("IF($A25="""","""",LEN(REGEXREPLACE($I25,"",\s?"","""")))"),4.0)</f>
        <v>4</v>
      </c>
    </row>
    <row r="26">
      <c r="C26" s="93"/>
      <c r="E26" s="20" t="s">
        <v>1675</v>
      </c>
      <c r="I26" s="60"/>
      <c r="J26" s="93"/>
      <c r="K26" s="93"/>
    </row>
    <row r="27">
      <c r="C27" s="93"/>
      <c r="D27" s="20" t="s">
        <v>1205</v>
      </c>
      <c r="I27" s="60"/>
      <c r="J27" s="93"/>
      <c r="K27" s="93"/>
    </row>
    <row r="28">
      <c r="C28" s="93"/>
      <c r="E28" s="20" t="s">
        <v>1676</v>
      </c>
      <c r="I28" s="60"/>
      <c r="J28" s="93"/>
      <c r="K28" s="93"/>
    </row>
    <row r="29">
      <c r="A29" s="20" t="s">
        <v>1677</v>
      </c>
      <c r="B29" s="20" t="s">
        <v>12</v>
      </c>
      <c r="C29" s="19">
        <v>3.0</v>
      </c>
      <c r="D29" s="20" t="s">
        <v>44</v>
      </c>
      <c r="E29" s="20" t="s">
        <v>1678</v>
      </c>
      <c r="I29" s="60"/>
      <c r="J29" s="19">
        <v>1.0</v>
      </c>
      <c r="K29" s="19" t="s">
        <v>1207</v>
      </c>
      <c r="L29" s="20" t="s">
        <v>33</v>
      </c>
    </row>
    <row r="30">
      <c r="C30" s="93"/>
      <c r="E30" s="20" t="s">
        <v>1679</v>
      </c>
      <c r="I30" s="60"/>
      <c r="J30" s="93"/>
      <c r="K30" s="93"/>
    </row>
    <row r="31">
      <c r="A31" s="20" t="s">
        <v>1680</v>
      </c>
      <c r="B31" s="20" t="s">
        <v>14</v>
      </c>
      <c r="C31" s="93"/>
      <c r="D31" s="20" t="s">
        <v>718</v>
      </c>
      <c r="E31" s="20" t="s">
        <v>1681</v>
      </c>
      <c r="I31" s="60"/>
      <c r="J31" s="93"/>
      <c r="K31" s="93"/>
    </row>
    <row r="32">
      <c r="A32" s="10" t="s">
        <v>1682</v>
      </c>
      <c r="B32" s="10" t="s">
        <v>14</v>
      </c>
      <c r="C32" s="12">
        <v>3.0</v>
      </c>
      <c r="D32" s="19" t="s">
        <v>312</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1" t="s">
        <v>911</v>
      </c>
      <c r="H32" s="19">
        <v>3.0</v>
      </c>
      <c r="I32" s="19" t="s">
        <v>912</v>
      </c>
      <c r="J32" s="12" t="s">
        <v>33</v>
      </c>
      <c r="L32" s="14" t="str">
        <f>IFERROR(__xludf.DUMMYFUNCTION("IF(REGEXMATCH($B32,L$1),$D32,"""")"),"")</f>
        <v/>
      </c>
      <c r="M32" s="14" t="str">
        <f>IFERROR(__xludf.DUMMYFUNCTION("IF(REGEXMATCH($B32,M$1),$D32,"""")"),"")</f>
        <v/>
      </c>
      <c r="N32" s="14" t="str">
        <f>IFERROR(__xludf.DUMMYFUNCTION("IF(REGEXMATCH($B32,N$1),$D32,"""")"),"")</f>
        <v/>
      </c>
      <c r="O32" s="14" t="str">
        <f>IFERROR(__xludf.DUMMYFUNCTION("IF(REGEXMATCH($B32,O$1),$D32,"""")"),"")</f>
        <v/>
      </c>
      <c r="P32" s="14" t="str">
        <f>IFERROR(__xludf.DUMMYFUNCTION("IF(REGEXMATCH($B32,P$1),$D32,"""")"),"Human Wizard")</f>
        <v>Human Wizard</v>
      </c>
      <c r="Q32" s="14">
        <f>IFERROR(__xludf.DUMMYFUNCTION("IF($A32="""","""",LEN(REGEXREPLACE($I32,"",\s?"","""")))"),3.0)</f>
        <v>3</v>
      </c>
    </row>
    <row r="33">
      <c r="A33" s="20" t="s">
        <v>1683</v>
      </c>
      <c r="E33" s="20" t="s">
        <v>1684</v>
      </c>
      <c r="I33" s="60"/>
      <c r="J33" s="93"/>
      <c r="K33" s="93"/>
    </row>
    <row r="34">
      <c r="C34" s="93"/>
      <c r="E34" s="20" t="s">
        <v>1685</v>
      </c>
      <c r="I34" s="60"/>
      <c r="J34" s="93"/>
      <c r="K34" s="93"/>
    </row>
    <row r="35">
      <c r="C35" s="93"/>
      <c r="E35" s="20" t="s">
        <v>1686</v>
      </c>
      <c r="I35" s="60"/>
      <c r="J35" s="93"/>
      <c r="K35" s="93"/>
    </row>
    <row r="36">
      <c r="C36" s="93"/>
      <c r="E36" s="20" t="s">
        <v>1687</v>
      </c>
      <c r="I36" s="60"/>
      <c r="J36" s="93"/>
      <c r="K36" s="93"/>
    </row>
    <row r="37">
      <c r="A37" s="20" t="s">
        <v>1688</v>
      </c>
      <c r="C37" s="93"/>
      <c r="E37" s="20" t="s">
        <v>1689</v>
      </c>
      <c r="I37" s="60"/>
      <c r="J37" s="93"/>
      <c r="K37" s="93"/>
    </row>
    <row r="38">
      <c r="C38" s="93"/>
      <c r="E38" s="170" t="s">
        <v>1690</v>
      </c>
      <c r="I38" s="60"/>
      <c r="J38" s="93"/>
      <c r="K38" s="93"/>
    </row>
    <row r="39">
      <c r="C39" s="93"/>
      <c r="I39" s="60"/>
      <c r="J39" s="93"/>
      <c r="K39" s="93"/>
    </row>
    <row r="40">
      <c r="C40" s="93"/>
      <c r="I40" s="60"/>
      <c r="J40" s="93"/>
      <c r="K40" s="93"/>
    </row>
    <row r="41">
      <c r="C41" s="93"/>
      <c r="I41" s="60"/>
      <c r="J41" s="93"/>
      <c r="K41" s="93"/>
    </row>
    <row r="42">
      <c r="C42" s="93"/>
      <c r="I42" s="60"/>
      <c r="J42" s="93"/>
      <c r="K42" s="93"/>
    </row>
    <row r="43">
      <c r="C43" s="93"/>
      <c r="I43" s="60"/>
      <c r="J43" s="93"/>
      <c r="K43" s="93"/>
    </row>
    <row r="44">
      <c r="C44" s="93"/>
      <c r="I44" s="60"/>
      <c r="J44" s="93"/>
      <c r="K44" s="93"/>
    </row>
    <row r="45">
      <c r="C45" s="93"/>
      <c r="I45" s="60"/>
      <c r="J45" s="93"/>
      <c r="K45" s="93"/>
    </row>
    <row r="46">
      <c r="C46" s="93"/>
      <c r="I46" s="60"/>
      <c r="J46" s="93"/>
      <c r="K46" s="93"/>
    </row>
    <row r="47">
      <c r="C47" s="93"/>
      <c r="I47" s="60"/>
      <c r="J47" s="93"/>
      <c r="K47" s="93"/>
    </row>
    <row r="48">
      <c r="C48" s="93"/>
      <c r="I48" s="60"/>
      <c r="J48" s="93"/>
      <c r="K48" s="93"/>
    </row>
    <row r="49">
      <c r="C49" s="93"/>
      <c r="I49" s="60"/>
      <c r="J49" s="93"/>
      <c r="K49" s="93"/>
    </row>
    <row r="50">
      <c r="C50" s="93"/>
      <c r="I50" s="60"/>
      <c r="J50" s="93"/>
      <c r="K50" s="93"/>
    </row>
    <row r="51">
      <c r="C51" s="93"/>
      <c r="I51" s="60"/>
      <c r="J51" s="93"/>
      <c r="K51" s="93"/>
    </row>
    <row r="52">
      <c r="C52" s="93"/>
      <c r="I52" s="60"/>
      <c r="J52" s="93"/>
      <c r="K52" s="93"/>
    </row>
    <row r="53">
      <c r="C53" s="93"/>
      <c r="I53" s="60"/>
      <c r="J53" s="93"/>
      <c r="K53" s="93"/>
    </row>
    <row r="54">
      <c r="C54" s="93"/>
      <c r="I54" s="60"/>
      <c r="J54" s="93"/>
      <c r="K54" s="93"/>
    </row>
    <row r="55">
      <c r="C55" s="93"/>
      <c r="I55" s="60"/>
      <c r="J55" s="93"/>
      <c r="K55" s="93"/>
    </row>
    <row r="56">
      <c r="C56" s="93"/>
      <c r="I56" s="60"/>
      <c r="J56" s="93"/>
      <c r="K56" s="93"/>
    </row>
    <row r="57">
      <c r="C57" s="93"/>
      <c r="I57" s="60"/>
      <c r="J57" s="93"/>
      <c r="K57" s="93"/>
    </row>
    <row r="58">
      <c r="C58" s="93"/>
      <c r="I58" s="60"/>
      <c r="J58" s="93"/>
      <c r="K58" s="93"/>
    </row>
    <row r="59">
      <c r="C59" s="93"/>
      <c r="I59" s="60"/>
      <c r="J59" s="93"/>
      <c r="K59" s="93"/>
    </row>
    <row r="60">
      <c r="C60" s="93"/>
      <c r="I60" s="60"/>
      <c r="J60" s="93"/>
      <c r="K60" s="93"/>
    </row>
    <row r="61">
      <c r="C61" s="93"/>
      <c r="I61" s="60"/>
      <c r="J61" s="93"/>
      <c r="K61" s="93"/>
    </row>
    <row r="62">
      <c r="C62" s="93"/>
      <c r="I62" s="60"/>
      <c r="J62" s="93"/>
      <c r="K62" s="93"/>
    </row>
    <row r="63">
      <c r="C63" s="93"/>
      <c r="I63" s="60"/>
      <c r="J63" s="93"/>
      <c r="K63" s="93"/>
    </row>
    <row r="64">
      <c r="C64" s="93"/>
      <c r="I64" s="60"/>
      <c r="J64" s="93"/>
      <c r="K64" s="93"/>
    </row>
    <row r="65">
      <c r="C65" s="93"/>
      <c r="I65" s="60"/>
      <c r="J65" s="93"/>
      <c r="K65" s="93"/>
    </row>
    <row r="66">
      <c r="C66" s="93"/>
      <c r="I66" s="60"/>
      <c r="J66" s="93"/>
      <c r="K66" s="93"/>
    </row>
    <row r="67">
      <c r="C67" s="93"/>
      <c r="I67" s="60"/>
      <c r="J67" s="93"/>
      <c r="K67" s="93"/>
    </row>
    <row r="68">
      <c r="C68" s="93"/>
      <c r="I68" s="60"/>
      <c r="J68" s="93"/>
      <c r="K68" s="93"/>
    </row>
    <row r="69">
      <c r="C69" s="93"/>
      <c r="I69" s="60"/>
      <c r="J69" s="93"/>
      <c r="K69" s="93"/>
    </row>
    <row r="70">
      <c r="C70" s="93"/>
      <c r="I70" s="60"/>
      <c r="J70" s="93"/>
      <c r="K70" s="93"/>
    </row>
    <row r="71">
      <c r="C71" s="93"/>
      <c r="I71" s="60"/>
      <c r="J71" s="93"/>
      <c r="K71" s="93"/>
    </row>
    <row r="72">
      <c r="C72" s="93"/>
      <c r="I72" s="60"/>
      <c r="J72" s="93"/>
      <c r="K72" s="93"/>
    </row>
    <row r="73">
      <c r="C73" s="93"/>
      <c r="I73" s="60"/>
      <c r="J73" s="93"/>
      <c r="K73" s="93"/>
    </row>
    <row r="74">
      <c r="C74" s="93"/>
      <c r="I74" s="60"/>
      <c r="J74" s="93"/>
      <c r="K74" s="93"/>
    </row>
    <row r="75">
      <c r="C75" s="93"/>
      <c r="I75" s="60"/>
      <c r="J75" s="93"/>
      <c r="K75" s="93"/>
    </row>
    <row r="76">
      <c r="C76" s="93"/>
      <c r="I76" s="60"/>
      <c r="J76" s="93"/>
      <c r="K76" s="93"/>
    </row>
    <row r="77">
      <c r="C77" s="93"/>
      <c r="I77" s="60"/>
      <c r="J77" s="93"/>
      <c r="K77" s="93"/>
    </row>
    <row r="78">
      <c r="C78" s="93"/>
      <c r="I78" s="60"/>
      <c r="J78" s="93"/>
      <c r="K78" s="93"/>
    </row>
    <row r="79">
      <c r="C79" s="93"/>
      <c r="I79" s="60"/>
      <c r="J79" s="93"/>
      <c r="K79" s="93"/>
    </row>
    <row r="80">
      <c r="C80" s="93"/>
      <c r="I80" s="60"/>
      <c r="J80" s="93"/>
      <c r="K80" s="93"/>
    </row>
    <row r="81">
      <c r="C81" s="93"/>
      <c r="I81" s="60"/>
      <c r="J81" s="93"/>
      <c r="K81" s="93"/>
    </row>
    <row r="82">
      <c r="C82" s="93"/>
      <c r="I82" s="60"/>
      <c r="J82" s="93"/>
      <c r="K82" s="93"/>
    </row>
    <row r="83">
      <c r="C83" s="93"/>
      <c r="I83" s="60"/>
      <c r="J83" s="93"/>
      <c r="K83" s="93"/>
    </row>
    <row r="84">
      <c r="C84" s="93"/>
      <c r="I84" s="60"/>
      <c r="J84" s="93"/>
      <c r="K84" s="93"/>
    </row>
    <row r="85">
      <c r="C85" s="93"/>
      <c r="I85" s="60"/>
      <c r="J85" s="93"/>
      <c r="K85" s="93"/>
    </row>
    <row r="86">
      <c r="C86" s="93"/>
      <c r="I86" s="60"/>
      <c r="J86" s="93"/>
      <c r="K86" s="93"/>
    </row>
    <row r="87">
      <c r="C87" s="93"/>
      <c r="I87" s="60"/>
      <c r="J87" s="93"/>
      <c r="K87" s="93"/>
    </row>
    <row r="88">
      <c r="C88" s="93"/>
      <c r="I88" s="60"/>
      <c r="J88" s="93"/>
      <c r="K88" s="93"/>
    </row>
    <row r="89">
      <c r="C89" s="93"/>
      <c r="I89" s="60"/>
      <c r="J89" s="93"/>
      <c r="K89" s="93"/>
    </row>
    <row r="90">
      <c r="C90" s="93"/>
      <c r="I90" s="60"/>
      <c r="J90" s="93"/>
      <c r="K90" s="93"/>
    </row>
    <row r="91">
      <c r="C91" s="93"/>
      <c r="I91" s="60"/>
      <c r="J91" s="93"/>
      <c r="K91" s="93"/>
    </row>
    <row r="92">
      <c r="C92" s="93"/>
      <c r="I92" s="60"/>
      <c r="J92" s="93"/>
      <c r="K92" s="93"/>
    </row>
    <row r="93">
      <c r="C93" s="93"/>
      <c r="I93" s="60"/>
      <c r="J93" s="93"/>
      <c r="K93" s="93"/>
    </row>
    <row r="94">
      <c r="C94" s="93"/>
      <c r="I94" s="60"/>
      <c r="J94" s="93"/>
      <c r="K94" s="93"/>
    </row>
    <row r="95">
      <c r="C95" s="93"/>
      <c r="I95" s="60"/>
      <c r="J95" s="93"/>
      <c r="K95" s="93"/>
    </row>
    <row r="96">
      <c r="C96" s="93"/>
      <c r="I96" s="60"/>
      <c r="J96" s="93"/>
      <c r="K96" s="93"/>
    </row>
    <row r="97">
      <c r="C97" s="93"/>
      <c r="I97" s="60"/>
      <c r="J97" s="93"/>
      <c r="K97" s="93"/>
    </row>
    <row r="98">
      <c r="C98" s="93"/>
      <c r="I98" s="60"/>
      <c r="J98" s="93"/>
      <c r="K98" s="93"/>
    </row>
    <row r="99">
      <c r="C99" s="93"/>
      <c r="I99" s="60"/>
      <c r="J99" s="93"/>
      <c r="K99" s="93"/>
    </row>
    <row r="100">
      <c r="C100" s="93"/>
      <c r="I100" s="60"/>
      <c r="J100" s="93"/>
      <c r="K100" s="93"/>
    </row>
    <row r="101">
      <c r="C101" s="93"/>
      <c r="I101" s="60"/>
      <c r="J101" s="93"/>
      <c r="K101" s="93"/>
    </row>
    <row r="102">
      <c r="C102" s="93"/>
      <c r="I102" s="60"/>
      <c r="J102" s="93"/>
      <c r="K102" s="93"/>
    </row>
    <row r="103">
      <c r="C103" s="93"/>
      <c r="I103" s="60"/>
      <c r="J103" s="93"/>
      <c r="K103" s="93"/>
    </row>
    <row r="104">
      <c r="C104" s="93"/>
      <c r="I104" s="60"/>
      <c r="J104" s="93"/>
      <c r="K104" s="93"/>
    </row>
    <row r="105">
      <c r="C105" s="93"/>
      <c r="I105" s="60"/>
      <c r="J105" s="93"/>
      <c r="K105" s="93"/>
    </row>
    <row r="106">
      <c r="C106" s="93"/>
      <c r="I106" s="60"/>
      <c r="J106" s="93"/>
      <c r="K106" s="93"/>
    </row>
    <row r="107">
      <c r="C107" s="93"/>
      <c r="I107" s="60"/>
      <c r="J107" s="93"/>
      <c r="K107" s="93"/>
    </row>
    <row r="108">
      <c r="C108" s="93"/>
      <c r="I108" s="60"/>
      <c r="J108" s="93"/>
      <c r="K108" s="93"/>
    </row>
    <row r="109">
      <c r="C109" s="93"/>
      <c r="I109" s="60"/>
      <c r="J109" s="93"/>
      <c r="K109" s="93"/>
    </row>
    <row r="110">
      <c r="C110" s="93"/>
      <c r="I110" s="60"/>
      <c r="J110" s="93"/>
      <c r="K110" s="93"/>
    </row>
    <row r="111">
      <c r="C111" s="93"/>
      <c r="I111" s="60"/>
      <c r="J111" s="93"/>
      <c r="K111" s="93"/>
    </row>
    <row r="112">
      <c r="C112" s="93"/>
      <c r="I112" s="60"/>
      <c r="J112" s="93"/>
      <c r="K112" s="93"/>
    </row>
    <row r="113">
      <c r="C113" s="93"/>
      <c r="I113" s="60"/>
      <c r="J113" s="93"/>
      <c r="K113" s="93"/>
    </row>
    <row r="114">
      <c r="C114" s="93"/>
      <c r="I114" s="60"/>
      <c r="J114" s="93"/>
      <c r="K114" s="93"/>
    </row>
    <row r="115">
      <c r="C115" s="93"/>
      <c r="I115" s="60"/>
      <c r="J115" s="93"/>
      <c r="K115" s="93"/>
    </row>
    <row r="116">
      <c r="C116" s="93"/>
      <c r="I116" s="60"/>
      <c r="J116" s="93"/>
      <c r="K116" s="93"/>
    </row>
    <row r="117">
      <c r="C117" s="93"/>
      <c r="I117" s="60"/>
      <c r="J117" s="93"/>
      <c r="K117" s="93"/>
    </row>
    <row r="118">
      <c r="C118" s="93"/>
      <c r="I118" s="60"/>
      <c r="J118" s="93"/>
      <c r="K118" s="93"/>
    </row>
    <row r="119">
      <c r="C119" s="93"/>
      <c r="I119" s="60"/>
      <c r="J119" s="93"/>
      <c r="K119" s="93"/>
    </row>
    <row r="120">
      <c r="C120" s="93"/>
      <c r="I120" s="60"/>
      <c r="J120" s="93"/>
      <c r="K120" s="93"/>
    </row>
    <row r="121">
      <c r="C121" s="93"/>
      <c r="I121" s="60"/>
      <c r="J121" s="93"/>
      <c r="K121" s="93"/>
    </row>
    <row r="122">
      <c r="C122" s="93"/>
      <c r="I122" s="60"/>
      <c r="J122" s="93"/>
      <c r="K122" s="93"/>
    </row>
    <row r="123">
      <c r="C123" s="93"/>
      <c r="I123" s="60"/>
      <c r="J123" s="93"/>
      <c r="K123" s="93"/>
    </row>
    <row r="124">
      <c r="C124" s="93"/>
      <c r="I124" s="60"/>
      <c r="J124" s="93"/>
      <c r="K124" s="93"/>
    </row>
    <row r="125">
      <c r="C125" s="93"/>
      <c r="I125" s="60"/>
      <c r="J125" s="93"/>
      <c r="K125" s="93"/>
    </row>
    <row r="126">
      <c r="C126" s="93"/>
      <c r="I126" s="60"/>
      <c r="J126" s="93"/>
      <c r="K126" s="93"/>
    </row>
    <row r="127">
      <c r="C127" s="93"/>
      <c r="I127" s="60"/>
      <c r="J127" s="93"/>
      <c r="K127" s="93"/>
    </row>
    <row r="128">
      <c r="C128" s="93"/>
      <c r="I128" s="60"/>
      <c r="J128" s="93"/>
      <c r="K128" s="93"/>
    </row>
    <row r="129">
      <c r="C129" s="93"/>
      <c r="I129" s="60"/>
      <c r="J129" s="93"/>
      <c r="K129" s="93"/>
    </row>
    <row r="130">
      <c r="C130" s="93"/>
      <c r="I130" s="60"/>
      <c r="J130" s="93"/>
      <c r="K130" s="93"/>
    </row>
    <row r="131">
      <c r="C131" s="93"/>
      <c r="I131" s="60"/>
      <c r="J131" s="93"/>
      <c r="K131" s="93"/>
    </row>
    <row r="132">
      <c r="C132" s="93"/>
      <c r="I132" s="60"/>
      <c r="J132" s="93"/>
      <c r="K132" s="93"/>
    </row>
    <row r="133">
      <c r="C133" s="93"/>
      <c r="I133" s="60"/>
      <c r="J133" s="93"/>
      <c r="K133" s="93"/>
    </row>
    <row r="134">
      <c r="C134" s="93"/>
      <c r="I134" s="60"/>
      <c r="J134" s="93"/>
      <c r="K134" s="93"/>
    </row>
    <row r="135">
      <c r="C135" s="93"/>
      <c r="I135" s="60"/>
      <c r="J135" s="93"/>
      <c r="K135" s="93"/>
    </row>
    <row r="136">
      <c r="C136" s="93"/>
      <c r="I136" s="60"/>
      <c r="J136" s="93"/>
      <c r="K136" s="93"/>
    </row>
    <row r="137">
      <c r="C137" s="93"/>
      <c r="I137" s="60"/>
      <c r="J137" s="93"/>
      <c r="K137" s="93"/>
    </row>
    <row r="138">
      <c r="C138" s="93"/>
      <c r="I138" s="60"/>
      <c r="J138" s="93"/>
      <c r="K138" s="93"/>
    </row>
    <row r="139">
      <c r="C139" s="93"/>
      <c r="I139" s="60"/>
      <c r="J139" s="93"/>
      <c r="K139" s="93"/>
    </row>
    <row r="140">
      <c r="C140" s="93"/>
      <c r="I140" s="60"/>
      <c r="J140" s="93"/>
      <c r="K140" s="93"/>
    </row>
    <row r="141">
      <c r="C141" s="93"/>
      <c r="I141" s="60"/>
      <c r="J141" s="93"/>
      <c r="K141" s="93"/>
    </row>
    <row r="142">
      <c r="C142" s="93"/>
      <c r="I142" s="60"/>
      <c r="J142" s="93"/>
      <c r="K142" s="93"/>
    </row>
    <row r="143">
      <c r="C143" s="93"/>
      <c r="I143" s="60"/>
      <c r="J143" s="93"/>
      <c r="K143" s="93"/>
    </row>
    <row r="144">
      <c r="C144" s="93"/>
      <c r="I144" s="60"/>
      <c r="J144" s="93"/>
      <c r="K144" s="93"/>
    </row>
    <row r="145">
      <c r="C145" s="93"/>
      <c r="I145" s="60"/>
      <c r="J145" s="93"/>
      <c r="K145" s="93"/>
    </row>
    <row r="146">
      <c r="C146" s="93"/>
      <c r="I146" s="60"/>
      <c r="J146" s="93"/>
      <c r="K146" s="93"/>
    </row>
    <row r="147">
      <c r="C147" s="93"/>
      <c r="I147" s="60"/>
      <c r="J147" s="93"/>
      <c r="K147" s="93"/>
    </row>
    <row r="148">
      <c r="C148" s="93"/>
      <c r="I148" s="60"/>
      <c r="J148" s="93"/>
      <c r="K148" s="93"/>
    </row>
    <row r="149">
      <c r="C149" s="93"/>
      <c r="I149" s="60"/>
      <c r="J149" s="93"/>
      <c r="K149" s="93"/>
    </row>
    <row r="150">
      <c r="C150" s="93"/>
      <c r="I150" s="60"/>
      <c r="J150" s="93"/>
      <c r="K150" s="93"/>
    </row>
    <row r="151">
      <c r="C151" s="93"/>
      <c r="I151" s="60"/>
      <c r="J151" s="93"/>
      <c r="K151" s="93"/>
    </row>
    <row r="152">
      <c r="C152" s="93"/>
      <c r="I152" s="60"/>
      <c r="J152" s="93"/>
      <c r="K152" s="93"/>
    </row>
    <row r="153">
      <c r="C153" s="93"/>
      <c r="I153" s="60"/>
      <c r="J153" s="93"/>
      <c r="K153" s="93"/>
    </row>
    <row r="154">
      <c r="C154" s="93"/>
      <c r="I154" s="60"/>
      <c r="J154" s="93"/>
      <c r="K154" s="93"/>
    </row>
    <row r="155">
      <c r="C155" s="93"/>
      <c r="I155" s="60"/>
      <c r="J155" s="93"/>
      <c r="K155" s="93"/>
    </row>
    <row r="156">
      <c r="C156" s="93"/>
      <c r="I156" s="60"/>
      <c r="J156" s="93"/>
      <c r="K156" s="93"/>
    </row>
    <row r="157">
      <c r="C157" s="93"/>
      <c r="I157" s="60"/>
      <c r="J157" s="93"/>
      <c r="K157" s="93"/>
    </row>
    <row r="158">
      <c r="C158" s="93"/>
      <c r="I158" s="60"/>
      <c r="J158" s="93"/>
      <c r="K158" s="93"/>
    </row>
    <row r="159">
      <c r="C159" s="93"/>
      <c r="I159" s="60"/>
      <c r="J159" s="93"/>
      <c r="K159" s="93"/>
    </row>
    <row r="160">
      <c r="C160" s="93"/>
      <c r="I160" s="60"/>
      <c r="J160" s="93"/>
      <c r="K160" s="93"/>
    </row>
    <row r="161">
      <c r="C161" s="93"/>
      <c r="I161" s="60"/>
      <c r="J161" s="93"/>
      <c r="K161" s="93"/>
    </row>
    <row r="162">
      <c r="C162" s="93"/>
      <c r="I162" s="60"/>
      <c r="J162" s="93"/>
      <c r="K162" s="93"/>
    </row>
    <row r="163">
      <c r="C163" s="93"/>
      <c r="I163" s="60"/>
      <c r="J163" s="93"/>
      <c r="K163" s="93"/>
    </row>
    <row r="164">
      <c r="C164" s="93"/>
      <c r="I164" s="60"/>
      <c r="J164" s="93"/>
      <c r="K164" s="93"/>
    </row>
    <row r="165">
      <c r="C165" s="93"/>
      <c r="I165" s="60"/>
      <c r="J165" s="93"/>
      <c r="K165" s="93"/>
    </row>
    <row r="166">
      <c r="C166" s="93"/>
      <c r="I166" s="60"/>
      <c r="J166" s="93"/>
      <c r="K166" s="93"/>
    </row>
    <row r="167">
      <c r="C167" s="93"/>
      <c r="I167" s="60"/>
      <c r="J167" s="93"/>
      <c r="K167" s="93"/>
    </row>
    <row r="168">
      <c r="C168" s="93"/>
      <c r="I168" s="60"/>
      <c r="J168" s="93"/>
      <c r="K168" s="93"/>
    </row>
    <row r="169">
      <c r="C169" s="93"/>
      <c r="I169" s="60"/>
      <c r="J169" s="93"/>
      <c r="K169" s="93"/>
    </row>
    <row r="170">
      <c r="C170" s="93"/>
      <c r="I170" s="60"/>
      <c r="J170" s="93"/>
      <c r="K170" s="93"/>
    </row>
    <row r="171">
      <c r="C171" s="93"/>
      <c r="I171" s="60"/>
      <c r="J171" s="93"/>
      <c r="K171" s="93"/>
    </row>
    <row r="172">
      <c r="C172" s="93"/>
      <c r="I172" s="60"/>
      <c r="J172" s="93"/>
      <c r="K172" s="93"/>
    </row>
    <row r="173">
      <c r="C173" s="93"/>
      <c r="I173" s="60"/>
      <c r="J173" s="93"/>
      <c r="K173" s="93"/>
    </row>
    <row r="174">
      <c r="C174" s="93"/>
      <c r="I174" s="60"/>
      <c r="J174" s="93"/>
      <c r="K174" s="93"/>
    </row>
    <row r="175">
      <c r="C175" s="93"/>
      <c r="I175" s="60"/>
      <c r="J175" s="93"/>
      <c r="K175" s="93"/>
    </row>
    <row r="176">
      <c r="C176" s="93"/>
      <c r="I176" s="60"/>
      <c r="J176" s="93"/>
      <c r="K176" s="93"/>
    </row>
    <row r="177">
      <c r="C177" s="93"/>
      <c r="I177" s="60"/>
      <c r="J177" s="93"/>
      <c r="K177" s="93"/>
    </row>
    <row r="178">
      <c r="C178" s="93"/>
      <c r="I178" s="60"/>
      <c r="J178" s="93"/>
      <c r="K178" s="93"/>
    </row>
    <row r="179">
      <c r="C179" s="93"/>
      <c r="I179" s="60"/>
      <c r="J179" s="93"/>
      <c r="K179" s="93"/>
    </row>
    <row r="180">
      <c r="C180" s="93"/>
      <c r="I180" s="60"/>
      <c r="J180" s="93"/>
      <c r="K180" s="93"/>
    </row>
    <row r="181">
      <c r="C181" s="93"/>
      <c r="I181" s="60"/>
      <c r="J181" s="93"/>
      <c r="K181" s="93"/>
    </row>
    <row r="182">
      <c r="C182" s="93"/>
      <c r="I182" s="60"/>
      <c r="J182" s="93"/>
      <c r="K182" s="93"/>
    </row>
    <row r="183">
      <c r="C183" s="93"/>
      <c r="I183" s="60"/>
      <c r="J183" s="93"/>
      <c r="K183" s="93"/>
    </row>
    <row r="184">
      <c r="C184" s="93"/>
      <c r="I184" s="60"/>
      <c r="J184" s="93"/>
      <c r="K184" s="93"/>
    </row>
    <row r="185">
      <c r="C185" s="93"/>
      <c r="I185" s="60"/>
      <c r="J185" s="93"/>
      <c r="K185" s="93"/>
    </row>
    <row r="186">
      <c r="C186" s="93"/>
      <c r="I186" s="60"/>
      <c r="J186" s="93"/>
      <c r="K186" s="93"/>
    </row>
    <row r="187">
      <c r="C187" s="93"/>
      <c r="I187" s="60"/>
      <c r="J187" s="93"/>
      <c r="K187" s="93"/>
    </row>
    <row r="188">
      <c r="C188" s="93"/>
      <c r="I188" s="60"/>
      <c r="J188" s="93"/>
      <c r="K188" s="93"/>
    </row>
    <row r="189">
      <c r="C189" s="93"/>
      <c r="I189" s="60"/>
      <c r="J189" s="93"/>
      <c r="K189" s="93"/>
    </row>
    <row r="190">
      <c r="C190" s="93"/>
      <c r="I190" s="60"/>
      <c r="J190" s="93"/>
      <c r="K190" s="93"/>
    </row>
    <row r="191">
      <c r="C191" s="93"/>
      <c r="I191" s="60"/>
      <c r="J191" s="93"/>
      <c r="K191" s="93"/>
    </row>
    <row r="192">
      <c r="C192" s="93"/>
      <c r="I192" s="60"/>
      <c r="J192" s="93"/>
      <c r="K192" s="93"/>
    </row>
    <row r="193">
      <c r="C193" s="93"/>
      <c r="I193" s="60"/>
      <c r="J193" s="93"/>
      <c r="K193" s="93"/>
    </row>
    <row r="194">
      <c r="C194" s="93"/>
      <c r="I194" s="60"/>
      <c r="J194" s="93"/>
      <c r="K194" s="93"/>
    </row>
    <row r="195">
      <c r="C195" s="93"/>
      <c r="I195" s="60"/>
      <c r="J195" s="93"/>
      <c r="K195" s="93"/>
    </row>
    <row r="196">
      <c r="C196" s="93"/>
      <c r="I196" s="60"/>
      <c r="J196" s="93"/>
      <c r="K196" s="93"/>
    </row>
    <row r="197">
      <c r="C197" s="93"/>
      <c r="I197" s="60"/>
      <c r="J197" s="93"/>
      <c r="K197" s="93"/>
    </row>
    <row r="198">
      <c r="C198" s="93"/>
      <c r="I198" s="60"/>
      <c r="J198" s="93"/>
      <c r="K198" s="93"/>
    </row>
    <row r="199">
      <c r="C199" s="93"/>
      <c r="I199" s="60"/>
      <c r="J199" s="93"/>
      <c r="K199" s="93"/>
    </row>
    <row r="200">
      <c r="C200" s="93"/>
      <c r="I200" s="60"/>
      <c r="J200" s="93"/>
      <c r="K200" s="93"/>
    </row>
    <row r="201">
      <c r="C201" s="93"/>
      <c r="I201" s="60"/>
      <c r="J201" s="93"/>
      <c r="K201" s="93"/>
    </row>
    <row r="202">
      <c r="C202" s="93"/>
      <c r="I202" s="60"/>
      <c r="J202" s="93"/>
      <c r="K202" s="93"/>
    </row>
    <row r="203">
      <c r="C203" s="93"/>
      <c r="I203" s="60"/>
      <c r="J203" s="93"/>
      <c r="K203" s="93"/>
    </row>
    <row r="204">
      <c r="C204" s="93"/>
      <c r="I204" s="60"/>
      <c r="J204" s="93"/>
      <c r="K204" s="93"/>
    </row>
    <row r="205">
      <c r="C205" s="93"/>
      <c r="I205" s="60"/>
      <c r="J205" s="93"/>
      <c r="K205" s="93"/>
    </row>
    <row r="206">
      <c r="C206" s="93"/>
      <c r="I206" s="60"/>
      <c r="J206" s="93"/>
      <c r="K206" s="93"/>
    </row>
    <row r="207">
      <c r="C207" s="93"/>
      <c r="I207" s="60"/>
      <c r="J207" s="93"/>
      <c r="K207" s="93"/>
    </row>
    <row r="208">
      <c r="C208" s="93"/>
      <c r="I208" s="60"/>
      <c r="J208" s="93"/>
      <c r="K208" s="93"/>
    </row>
    <row r="209">
      <c r="C209" s="93"/>
      <c r="I209" s="60"/>
      <c r="J209" s="93"/>
      <c r="K209" s="93"/>
    </row>
    <row r="210">
      <c r="C210" s="93"/>
      <c r="I210" s="60"/>
      <c r="J210" s="93"/>
      <c r="K210" s="93"/>
    </row>
    <row r="211">
      <c r="C211" s="93"/>
      <c r="I211" s="60"/>
      <c r="J211" s="93"/>
      <c r="K211" s="93"/>
    </row>
    <row r="212">
      <c r="C212" s="93"/>
      <c r="I212" s="60"/>
      <c r="J212" s="93"/>
      <c r="K212" s="93"/>
    </row>
    <row r="213">
      <c r="C213" s="93"/>
      <c r="I213" s="60"/>
      <c r="J213" s="93"/>
      <c r="K213" s="93"/>
    </row>
    <row r="214">
      <c r="C214" s="93"/>
      <c r="I214" s="60"/>
      <c r="J214" s="93"/>
      <c r="K214" s="93"/>
    </row>
    <row r="215">
      <c r="C215" s="93"/>
      <c r="I215" s="60"/>
      <c r="J215" s="93"/>
      <c r="K215" s="93"/>
    </row>
    <row r="216">
      <c r="C216" s="93"/>
      <c r="I216" s="60"/>
      <c r="J216" s="93"/>
      <c r="K216" s="93"/>
    </row>
    <row r="217">
      <c r="C217" s="93"/>
      <c r="I217" s="60"/>
      <c r="J217" s="93"/>
      <c r="K217" s="93"/>
    </row>
    <row r="218">
      <c r="C218" s="93"/>
      <c r="I218" s="60"/>
      <c r="J218" s="93"/>
      <c r="K218" s="93"/>
    </row>
    <row r="219">
      <c r="C219" s="93"/>
      <c r="I219" s="60"/>
      <c r="J219" s="93"/>
      <c r="K219" s="93"/>
    </row>
    <row r="220">
      <c r="C220" s="93"/>
      <c r="I220" s="60"/>
      <c r="J220" s="93"/>
      <c r="K220" s="93"/>
    </row>
    <row r="221">
      <c r="C221" s="93"/>
      <c r="I221" s="60"/>
      <c r="J221" s="93"/>
      <c r="K221" s="93"/>
    </row>
    <row r="222">
      <c r="C222" s="93"/>
      <c r="I222" s="60"/>
      <c r="J222" s="93"/>
      <c r="K222" s="93"/>
    </row>
    <row r="223">
      <c r="C223" s="93"/>
      <c r="I223" s="60"/>
      <c r="J223" s="93"/>
      <c r="K223" s="93"/>
    </row>
    <row r="224">
      <c r="C224" s="93"/>
      <c r="I224" s="60"/>
      <c r="J224" s="93"/>
      <c r="K224" s="93"/>
    </row>
    <row r="225">
      <c r="C225" s="93"/>
      <c r="I225" s="60"/>
      <c r="J225" s="93"/>
      <c r="K225" s="93"/>
    </row>
    <row r="226">
      <c r="C226" s="93"/>
      <c r="I226" s="60"/>
      <c r="J226" s="93"/>
      <c r="K226" s="93"/>
    </row>
    <row r="227">
      <c r="C227" s="93"/>
      <c r="I227" s="60"/>
      <c r="J227" s="93"/>
      <c r="K227" s="93"/>
    </row>
    <row r="228">
      <c r="C228" s="93"/>
      <c r="I228" s="60"/>
      <c r="J228" s="93"/>
      <c r="K228" s="93"/>
    </row>
    <row r="229">
      <c r="C229" s="93"/>
      <c r="I229" s="60"/>
      <c r="J229" s="93"/>
      <c r="K229" s="93"/>
    </row>
    <row r="230">
      <c r="C230" s="93"/>
      <c r="I230" s="60"/>
      <c r="J230" s="93"/>
      <c r="K230" s="93"/>
    </row>
    <row r="231">
      <c r="C231" s="93"/>
      <c r="I231" s="60"/>
      <c r="J231" s="93"/>
      <c r="K231" s="93"/>
    </row>
    <row r="232">
      <c r="C232" s="93"/>
      <c r="I232" s="60"/>
      <c r="J232" s="93"/>
      <c r="K232" s="93"/>
    </row>
    <row r="233">
      <c r="C233" s="93"/>
      <c r="I233" s="60"/>
      <c r="J233" s="93"/>
      <c r="K233" s="93"/>
    </row>
    <row r="234">
      <c r="C234" s="93"/>
      <c r="I234" s="60"/>
      <c r="J234" s="93"/>
      <c r="K234" s="93"/>
    </row>
    <row r="235">
      <c r="C235" s="93"/>
      <c r="I235" s="60"/>
      <c r="J235" s="93"/>
      <c r="K235" s="93"/>
    </row>
    <row r="236">
      <c r="C236" s="93"/>
      <c r="I236" s="60"/>
      <c r="J236" s="93"/>
      <c r="K236" s="93"/>
    </row>
    <row r="237">
      <c r="C237" s="93"/>
      <c r="I237" s="60"/>
      <c r="J237" s="93"/>
      <c r="K237" s="93"/>
    </row>
    <row r="238">
      <c r="C238" s="93"/>
      <c r="I238" s="60"/>
      <c r="J238" s="93"/>
      <c r="K238" s="93"/>
    </row>
    <row r="239">
      <c r="C239" s="93"/>
      <c r="I239" s="60"/>
      <c r="J239" s="93"/>
      <c r="K239" s="93"/>
    </row>
    <row r="240">
      <c r="C240" s="93"/>
      <c r="I240" s="60"/>
      <c r="J240" s="93"/>
      <c r="K240" s="93"/>
    </row>
    <row r="241">
      <c r="C241" s="93"/>
      <c r="I241" s="60"/>
      <c r="J241" s="93"/>
      <c r="K241" s="93"/>
    </row>
    <row r="242">
      <c r="C242" s="93"/>
      <c r="I242" s="60"/>
      <c r="J242" s="93"/>
      <c r="K242" s="93"/>
    </row>
    <row r="243">
      <c r="C243" s="93"/>
      <c r="I243" s="60"/>
      <c r="J243" s="93"/>
      <c r="K243" s="93"/>
    </row>
    <row r="244">
      <c r="C244" s="93"/>
      <c r="I244" s="60"/>
      <c r="J244" s="93"/>
      <c r="K244" s="93"/>
    </row>
    <row r="245">
      <c r="C245" s="93"/>
      <c r="I245" s="60"/>
      <c r="J245" s="93"/>
      <c r="K245" s="93"/>
    </row>
    <row r="246">
      <c r="C246" s="93"/>
      <c r="I246" s="60"/>
      <c r="J246" s="93"/>
      <c r="K246" s="93"/>
    </row>
    <row r="247">
      <c r="C247" s="93"/>
      <c r="I247" s="60"/>
      <c r="J247" s="93"/>
      <c r="K247" s="93"/>
    </row>
    <row r="248">
      <c r="C248" s="93"/>
      <c r="I248" s="60"/>
      <c r="J248" s="93"/>
      <c r="K248" s="93"/>
    </row>
    <row r="249">
      <c r="C249" s="93"/>
      <c r="I249" s="60"/>
      <c r="J249" s="93"/>
      <c r="K249" s="93"/>
    </row>
    <row r="250">
      <c r="C250" s="93"/>
      <c r="I250" s="60"/>
      <c r="J250" s="93"/>
      <c r="K250" s="93"/>
    </row>
    <row r="251">
      <c r="C251" s="93"/>
      <c r="I251" s="60"/>
      <c r="J251" s="93"/>
      <c r="K251" s="93"/>
    </row>
    <row r="252">
      <c r="C252" s="93"/>
      <c r="I252" s="60"/>
      <c r="J252" s="93"/>
      <c r="K252" s="93"/>
    </row>
    <row r="253">
      <c r="C253" s="93"/>
      <c r="I253" s="60"/>
      <c r="J253" s="93"/>
      <c r="K253" s="93"/>
    </row>
    <row r="254">
      <c r="C254" s="93"/>
      <c r="I254" s="60"/>
      <c r="J254" s="93"/>
      <c r="K254" s="93"/>
    </row>
    <row r="255">
      <c r="C255" s="93"/>
      <c r="I255" s="60"/>
      <c r="J255" s="93"/>
      <c r="K255" s="93"/>
    </row>
    <row r="256">
      <c r="C256" s="93"/>
      <c r="I256" s="60"/>
      <c r="J256" s="93"/>
      <c r="K256" s="93"/>
    </row>
    <row r="257">
      <c r="C257" s="93"/>
      <c r="I257" s="60"/>
      <c r="J257" s="93"/>
      <c r="K257" s="93"/>
    </row>
    <row r="258">
      <c r="C258" s="93"/>
      <c r="I258" s="60"/>
      <c r="J258" s="93"/>
      <c r="K258" s="93"/>
    </row>
    <row r="259">
      <c r="C259" s="93"/>
      <c r="I259" s="60"/>
      <c r="J259" s="93"/>
      <c r="K259" s="93"/>
    </row>
    <row r="260">
      <c r="C260" s="93"/>
      <c r="I260" s="60"/>
      <c r="J260" s="93"/>
      <c r="K260" s="93"/>
    </row>
    <row r="261">
      <c r="C261" s="93"/>
      <c r="I261" s="60"/>
      <c r="J261" s="93"/>
      <c r="K261" s="93"/>
    </row>
    <row r="262">
      <c r="C262" s="93"/>
      <c r="I262" s="60"/>
      <c r="J262" s="93"/>
      <c r="K262" s="93"/>
    </row>
    <row r="263">
      <c r="C263" s="93"/>
      <c r="I263" s="60"/>
      <c r="J263" s="93"/>
      <c r="K263" s="93"/>
    </row>
    <row r="264">
      <c r="C264" s="93"/>
      <c r="I264" s="60"/>
      <c r="J264" s="93"/>
      <c r="K264" s="93"/>
    </row>
    <row r="265">
      <c r="C265" s="93"/>
      <c r="I265" s="60"/>
      <c r="J265" s="93"/>
      <c r="K265" s="93"/>
    </row>
    <row r="266">
      <c r="C266" s="93"/>
      <c r="I266" s="60"/>
      <c r="J266" s="93"/>
      <c r="K266" s="93"/>
    </row>
    <row r="267">
      <c r="C267" s="93"/>
      <c r="I267" s="60"/>
      <c r="J267" s="93"/>
      <c r="K267" s="93"/>
    </row>
    <row r="268">
      <c r="C268" s="93"/>
      <c r="I268" s="60"/>
      <c r="J268" s="93"/>
      <c r="K268" s="93"/>
    </row>
    <row r="269">
      <c r="C269" s="93"/>
      <c r="I269" s="60"/>
      <c r="J269" s="93"/>
      <c r="K269" s="93"/>
    </row>
    <row r="270">
      <c r="C270" s="93"/>
      <c r="I270" s="60"/>
      <c r="J270" s="93"/>
      <c r="K270" s="93"/>
    </row>
    <row r="271">
      <c r="C271" s="93"/>
      <c r="I271" s="60"/>
      <c r="J271" s="93"/>
      <c r="K271" s="93"/>
    </row>
    <row r="272">
      <c r="C272" s="93"/>
      <c r="I272" s="60"/>
      <c r="J272" s="93"/>
      <c r="K272" s="93"/>
    </row>
    <row r="273">
      <c r="C273" s="93"/>
      <c r="I273" s="60"/>
      <c r="J273" s="93"/>
      <c r="K273" s="93"/>
    </row>
    <row r="274">
      <c r="C274" s="93"/>
      <c r="I274" s="60"/>
      <c r="J274" s="93"/>
      <c r="K274" s="93"/>
    </row>
    <row r="275">
      <c r="C275" s="93"/>
      <c r="I275" s="60"/>
      <c r="J275" s="93"/>
      <c r="K275" s="93"/>
    </row>
    <row r="276">
      <c r="C276" s="93"/>
      <c r="I276" s="60"/>
      <c r="J276" s="93"/>
      <c r="K276" s="93"/>
    </row>
    <row r="277">
      <c r="C277" s="93"/>
      <c r="I277" s="60"/>
      <c r="J277" s="93"/>
      <c r="K277" s="93"/>
    </row>
    <row r="278">
      <c r="C278" s="93"/>
      <c r="I278" s="60"/>
      <c r="J278" s="93"/>
      <c r="K278" s="93"/>
    </row>
    <row r="279">
      <c r="C279" s="93"/>
      <c r="I279" s="60"/>
      <c r="J279" s="93"/>
      <c r="K279" s="93"/>
    </row>
    <row r="280">
      <c r="C280" s="93"/>
      <c r="I280" s="60"/>
      <c r="J280" s="93"/>
      <c r="K280" s="93"/>
    </row>
    <row r="281">
      <c r="C281" s="93"/>
      <c r="I281" s="60"/>
      <c r="J281" s="93"/>
      <c r="K281" s="93"/>
    </row>
    <row r="282">
      <c r="C282" s="93"/>
      <c r="I282" s="60"/>
      <c r="J282" s="93"/>
      <c r="K282" s="93"/>
    </row>
    <row r="283">
      <c r="C283" s="93"/>
      <c r="I283" s="60"/>
      <c r="J283" s="93"/>
      <c r="K283" s="93"/>
    </row>
    <row r="284">
      <c r="C284" s="93"/>
      <c r="I284" s="60"/>
      <c r="J284" s="93"/>
      <c r="K284" s="93"/>
    </row>
    <row r="285">
      <c r="C285" s="93"/>
      <c r="I285" s="60"/>
      <c r="J285" s="93"/>
      <c r="K285" s="93"/>
    </row>
    <row r="286">
      <c r="C286" s="93"/>
      <c r="I286" s="60"/>
      <c r="J286" s="93"/>
      <c r="K286" s="93"/>
    </row>
    <row r="287">
      <c r="C287" s="93"/>
      <c r="I287" s="60"/>
      <c r="J287" s="93"/>
      <c r="K287" s="93"/>
    </row>
    <row r="288">
      <c r="C288" s="93"/>
      <c r="I288" s="60"/>
      <c r="J288" s="93"/>
      <c r="K288" s="93"/>
    </row>
    <row r="289">
      <c r="C289" s="93"/>
      <c r="I289" s="60"/>
      <c r="J289" s="93"/>
      <c r="K289" s="93"/>
    </row>
    <row r="290">
      <c r="C290" s="93"/>
      <c r="I290" s="60"/>
      <c r="J290" s="93"/>
      <c r="K290" s="93"/>
    </row>
    <row r="291">
      <c r="C291" s="93"/>
      <c r="I291" s="60"/>
      <c r="J291" s="93"/>
      <c r="K291" s="93"/>
    </row>
    <row r="292">
      <c r="C292" s="93"/>
      <c r="I292" s="60"/>
      <c r="J292" s="93"/>
      <c r="K292" s="93"/>
    </row>
    <row r="293">
      <c r="C293" s="93"/>
      <c r="I293" s="60"/>
      <c r="J293" s="93"/>
      <c r="K293" s="93"/>
    </row>
    <row r="294">
      <c r="C294" s="93"/>
      <c r="I294" s="60"/>
      <c r="J294" s="93"/>
      <c r="K294" s="93"/>
    </row>
    <row r="295">
      <c r="C295" s="93"/>
      <c r="I295" s="60"/>
      <c r="J295" s="93"/>
      <c r="K295" s="93"/>
    </row>
    <row r="296">
      <c r="C296" s="93"/>
      <c r="I296" s="60"/>
      <c r="J296" s="93"/>
      <c r="K296" s="93"/>
    </row>
    <row r="297">
      <c r="C297" s="93"/>
      <c r="I297" s="60"/>
      <c r="J297" s="93"/>
      <c r="K297" s="93"/>
    </row>
    <row r="298">
      <c r="C298" s="93"/>
      <c r="I298" s="60"/>
      <c r="J298" s="93"/>
      <c r="K298" s="93"/>
    </row>
    <row r="299">
      <c r="C299" s="93"/>
      <c r="I299" s="60"/>
      <c r="J299" s="93"/>
      <c r="K299" s="93"/>
    </row>
    <row r="300">
      <c r="C300" s="93"/>
      <c r="I300" s="60"/>
      <c r="J300" s="93"/>
      <c r="K300" s="93"/>
    </row>
    <row r="301">
      <c r="C301" s="93"/>
      <c r="I301" s="60"/>
      <c r="J301" s="93"/>
      <c r="K301" s="93"/>
    </row>
    <row r="302">
      <c r="C302" s="93"/>
      <c r="I302" s="60"/>
      <c r="J302" s="93"/>
      <c r="K302" s="93"/>
    </row>
    <row r="303">
      <c r="C303" s="93"/>
      <c r="I303" s="60"/>
      <c r="J303" s="93"/>
      <c r="K303" s="93"/>
    </row>
    <row r="304">
      <c r="C304" s="93"/>
      <c r="I304" s="60"/>
      <c r="J304" s="93"/>
      <c r="K304" s="93"/>
    </row>
    <row r="305">
      <c r="C305" s="93"/>
      <c r="I305" s="60"/>
      <c r="J305" s="93"/>
      <c r="K305" s="93"/>
    </row>
    <row r="306">
      <c r="C306" s="93"/>
      <c r="I306" s="60"/>
      <c r="J306" s="93"/>
      <c r="K306" s="93"/>
    </row>
    <row r="307">
      <c r="C307" s="93"/>
      <c r="I307" s="60"/>
      <c r="J307" s="93"/>
      <c r="K307" s="93"/>
    </row>
    <row r="308">
      <c r="C308" s="93"/>
      <c r="I308" s="60"/>
      <c r="J308" s="93"/>
      <c r="K308" s="93"/>
    </row>
    <row r="309">
      <c r="C309" s="93"/>
      <c r="I309" s="60"/>
      <c r="J309" s="93"/>
      <c r="K309" s="93"/>
    </row>
    <row r="310">
      <c r="C310" s="93"/>
      <c r="I310" s="60"/>
      <c r="J310" s="93"/>
      <c r="K310" s="93"/>
    </row>
    <row r="311">
      <c r="C311" s="93"/>
      <c r="I311" s="60"/>
      <c r="J311" s="93"/>
      <c r="K311" s="93"/>
    </row>
    <row r="312">
      <c r="C312" s="93"/>
      <c r="I312" s="60"/>
      <c r="J312" s="93"/>
      <c r="K312" s="93"/>
    </row>
    <row r="313">
      <c r="C313" s="93"/>
      <c r="I313" s="60"/>
      <c r="J313" s="93"/>
      <c r="K313" s="93"/>
    </row>
    <row r="314">
      <c r="C314" s="93"/>
      <c r="I314" s="60"/>
      <c r="J314" s="93"/>
      <c r="K314" s="93"/>
    </row>
    <row r="315">
      <c r="C315" s="93"/>
      <c r="I315" s="60"/>
      <c r="J315" s="93"/>
      <c r="K315" s="93"/>
    </row>
    <row r="316">
      <c r="C316" s="93"/>
      <c r="I316" s="60"/>
      <c r="J316" s="93"/>
      <c r="K316" s="93"/>
    </row>
    <row r="317">
      <c r="C317" s="93"/>
      <c r="I317" s="60"/>
      <c r="J317" s="93"/>
      <c r="K317" s="93"/>
    </row>
    <row r="318">
      <c r="C318" s="93"/>
      <c r="I318" s="60"/>
      <c r="J318" s="93"/>
      <c r="K318" s="93"/>
    </row>
    <row r="319">
      <c r="C319" s="93"/>
      <c r="I319" s="60"/>
      <c r="J319" s="93"/>
      <c r="K319" s="93"/>
    </row>
    <row r="320">
      <c r="C320" s="93"/>
      <c r="I320" s="60"/>
      <c r="J320" s="93"/>
      <c r="K320" s="93"/>
    </row>
    <row r="321">
      <c r="C321" s="93"/>
      <c r="I321" s="60"/>
      <c r="J321" s="93"/>
      <c r="K321" s="93"/>
    </row>
    <row r="322">
      <c r="C322" s="93"/>
      <c r="I322" s="60"/>
      <c r="J322" s="93"/>
      <c r="K322" s="93"/>
    </row>
    <row r="323">
      <c r="C323" s="93"/>
      <c r="I323" s="60"/>
      <c r="J323" s="93"/>
      <c r="K323" s="93"/>
    </row>
    <row r="324">
      <c r="C324" s="93"/>
      <c r="I324" s="60"/>
      <c r="J324" s="93"/>
      <c r="K324" s="93"/>
    </row>
    <row r="325">
      <c r="C325" s="93"/>
      <c r="I325" s="60"/>
      <c r="J325" s="93"/>
      <c r="K325" s="93"/>
    </row>
    <row r="326">
      <c r="C326" s="93"/>
      <c r="I326" s="60"/>
      <c r="J326" s="93"/>
      <c r="K326" s="93"/>
    </row>
    <row r="327">
      <c r="C327" s="93"/>
      <c r="I327" s="60"/>
      <c r="J327" s="93"/>
      <c r="K327" s="93"/>
    </row>
    <row r="328">
      <c r="C328" s="93"/>
      <c r="I328" s="60"/>
      <c r="J328" s="93"/>
      <c r="K328" s="93"/>
    </row>
    <row r="329">
      <c r="C329" s="93"/>
      <c r="I329" s="60"/>
      <c r="J329" s="93"/>
      <c r="K329" s="93"/>
    </row>
    <row r="330">
      <c r="C330" s="93"/>
      <c r="I330" s="60"/>
      <c r="J330" s="93"/>
      <c r="K330" s="93"/>
    </row>
    <row r="331">
      <c r="C331" s="93"/>
      <c r="I331" s="60"/>
      <c r="J331" s="93"/>
      <c r="K331" s="93"/>
    </row>
    <row r="332">
      <c r="C332" s="93"/>
      <c r="I332" s="60"/>
      <c r="J332" s="93"/>
      <c r="K332" s="93"/>
    </row>
    <row r="333">
      <c r="C333" s="93"/>
      <c r="I333" s="60"/>
      <c r="J333" s="93"/>
      <c r="K333" s="93"/>
    </row>
    <row r="334">
      <c r="C334" s="93"/>
      <c r="I334" s="60"/>
      <c r="J334" s="93"/>
      <c r="K334" s="93"/>
    </row>
    <row r="335">
      <c r="C335" s="93"/>
      <c r="I335" s="60"/>
      <c r="J335" s="93"/>
      <c r="K335" s="93"/>
    </row>
    <row r="336">
      <c r="C336" s="93"/>
      <c r="I336" s="60"/>
      <c r="J336" s="93"/>
      <c r="K336" s="93"/>
    </row>
    <row r="337">
      <c r="C337" s="93"/>
      <c r="I337" s="60"/>
      <c r="J337" s="93"/>
      <c r="K337" s="93"/>
    </row>
    <row r="338">
      <c r="C338" s="93"/>
      <c r="I338" s="60"/>
      <c r="J338" s="93"/>
      <c r="K338" s="93"/>
    </row>
    <row r="339">
      <c r="C339" s="93"/>
      <c r="I339" s="60"/>
      <c r="J339" s="93"/>
      <c r="K339" s="93"/>
    </row>
    <row r="340">
      <c r="C340" s="93"/>
      <c r="I340" s="60"/>
      <c r="J340" s="93"/>
      <c r="K340" s="93"/>
    </row>
    <row r="341">
      <c r="C341" s="93"/>
      <c r="I341" s="60"/>
      <c r="J341" s="93"/>
      <c r="K341" s="93"/>
    </row>
    <row r="342">
      <c r="C342" s="93"/>
      <c r="I342" s="60"/>
      <c r="J342" s="93"/>
      <c r="K342" s="93"/>
    </row>
    <row r="343">
      <c r="C343" s="93"/>
      <c r="I343" s="60"/>
      <c r="J343" s="93"/>
      <c r="K343" s="93"/>
    </row>
    <row r="344">
      <c r="C344" s="93"/>
      <c r="I344" s="60"/>
      <c r="J344" s="93"/>
      <c r="K344" s="93"/>
    </row>
    <row r="345">
      <c r="C345" s="93"/>
      <c r="I345" s="60"/>
      <c r="J345" s="93"/>
      <c r="K345" s="93"/>
    </row>
    <row r="346">
      <c r="C346" s="93"/>
      <c r="I346" s="60"/>
      <c r="J346" s="93"/>
      <c r="K346" s="93"/>
    </row>
    <row r="347">
      <c r="C347" s="93"/>
      <c r="I347" s="60"/>
      <c r="J347" s="93"/>
      <c r="K347" s="93"/>
    </row>
    <row r="348">
      <c r="C348" s="93"/>
      <c r="I348" s="60"/>
      <c r="J348" s="93"/>
      <c r="K348" s="93"/>
    </row>
    <row r="349">
      <c r="C349" s="93"/>
      <c r="I349" s="60"/>
      <c r="J349" s="93"/>
      <c r="K349" s="93"/>
    </row>
    <row r="350">
      <c r="C350" s="93"/>
      <c r="I350" s="60"/>
      <c r="J350" s="93"/>
      <c r="K350" s="93"/>
    </row>
    <row r="351">
      <c r="C351" s="93"/>
      <c r="I351" s="60"/>
      <c r="J351" s="93"/>
      <c r="K351" s="93"/>
    </row>
    <row r="352">
      <c r="C352" s="93"/>
      <c r="I352" s="60"/>
      <c r="J352" s="93"/>
      <c r="K352" s="93"/>
    </row>
    <row r="353">
      <c r="C353" s="93"/>
      <c r="I353" s="60"/>
      <c r="J353" s="93"/>
      <c r="K353" s="93"/>
    </row>
    <row r="354">
      <c r="C354" s="93"/>
      <c r="I354" s="60"/>
      <c r="J354" s="93"/>
      <c r="K354" s="93"/>
    </row>
    <row r="355">
      <c r="C355" s="93"/>
      <c r="I355" s="60"/>
      <c r="J355" s="93"/>
      <c r="K355" s="93"/>
    </row>
    <row r="356">
      <c r="C356" s="93"/>
      <c r="I356" s="60"/>
      <c r="J356" s="93"/>
      <c r="K356" s="93"/>
    </row>
    <row r="357">
      <c r="C357" s="93"/>
      <c r="I357" s="60"/>
      <c r="J357" s="93"/>
      <c r="K357" s="93"/>
    </row>
    <row r="358">
      <c r="C358" s="93"/>
      <c r="I358" s="60"/>
      <c r="J358" s="93"/>
      <c r="K358" s="93"/>
    </row>
    <row r="359">
      <c r="C359" s="93"/>
      <c r="I359" s="60"/>
      <c r="J359" s="93"/>
      <c r="K359" s="93"/>
    </row>
    <row r="360">
      <c r="C360" s="93"/>
      <c r="I360" s="60"/>
      <c r="J360" s="93"/>
      <c r="K360" s="93"/>
    </row>
    <row r="361">
      <c r="C361" s="93"/>
      <c r="I361" s="60"/>
      <c r="J361" s="93"/>
      <c r="K361" s="93"/>
    </row>
    <row r="362">
      <c r="C362" s="93"/>
      <c r="I362" s="60"/>
      <c r="J362" s="93"/>
      <c r="K362" s="93"/>
    </row>
    <row r="363">
      <c r="C363" s="93"/>
      <c r="I363" s="60"/>
      <c r="J363" s="93"/>
      <c r="K363" s="93"/>
    </row>
    <row r="364">
      <c r="C364" s="93"/>
      <c r="I364" s="60"/>
      <c r="J364" s="93"/>
      <c r="K364" s="93"/>
    </row>
    <row r="365">
      <c r="C365" s="93"/>
      <c r="I365" s="60"/>
      <c r="J365" s="93"/>
      <c r="K365" s="93"/>
    </row>
    <row r="366">
      <c r="C366" s="93"/>
      <c r="I366" s="60"/>
      <c r="J366" s="93"/>
      <c r="K366" s="93"/>
    </row>
    <row r="367">
      <c r="C367" s="93"/>
      <c r="I367" s="60"/>
      <c r="J367" s="93"/>
      <c r="K367" s="93"/>
    </row>
    <row r="368">
      <c r="C368" s="93"/>
      <c r="I368" s="60"/>
      <c r="J368" s="93"/>
      <c r="K368" s="93"/>
    </row>
    <row r="369">
      <c r="C369" s="93"/>
      <c r="I369" s="60"/>
      <c r="J369" s="93"/>
      <c r="K369" s="93"/>
    </row>
    <row r="370">
      <c r="C370" s="93"/>
      <c r="I370" s="60"/>
      <c r="J370" s="93"/>
      <c r="K370" s="93"/>
    </row>
    <row r="371">
      <c r="C371" s="93"/>
      <c r="I371" s="60"/>
      <c r="J371" s="93"/>
      <c r="K371" s="93"/>
    </row>
    <row r="372">
      <c r="C372" s="93"/>
      <c r="I372" s="60"/>
      <c r="J372" s="93"/>
      <c r="K372" s="93"/>
    </row>
    <row r="373">
      <c r="C373" s="93"/>
      <c r="I373" s="60"/>
      <c r="J373" s="93"/>
      <c r="K373" s="93"/>
    </row>
    <row r="374">
      <c r="C374" s="93"/>
      <c r="I374" s="60"/>
      <c r="J374" s="93"/>
      <c r="K374" s="93"/>
    </row>
    <row r="375">
      <c r="C375" s="93"/>
      <c r="I375" s="60"/>
      <c r="J375" s="93"/>
      <c r="K375" s="93"/>
    </row>
    <row r="376">
      <c r="C376" s="93"/>
      <c r="I376" s="60"/>
      <c r="J376" s="93"/>
      <c r="K376" s="93"/>
    </row>
    <row r="377">
      <c r="C377" s="93"/>
      <c r="I377" s="60"/>
      <c r="J377" s="93"/>
      <c r="K377" s="93"/>
    </row>
    <row r="378">
      <c r="C378" s="93"/>
      <c r="I378" s="60"/>
      <c r="J378" s="93"/>
      <c r="K378" s="93"/>
    </row>
    <row r="379">
      <c r="C379" s="93"/>
      <c r="I379" s="60"/>
      <c r="J379" s="93"/>
      <c r="K379" s="93"/>
    </row>
    <row r="380">
      <c r="C380" s="93"/>
      <c r="I380" s="60"/>
      <c r="J380" s="93"/>
      <c r="K380" s="93"/>
    </row>
    <row r="381">
      <c r="C381" s="93"/>
      <c r="I381" s="60"/>
      <c r="J381" s="93"/>
      <c r="K381" s="93"/>
    </row>
    <row r="382">
      <c r="C382" s="93"/>
      <c r="I382" s="60"/>
      <c r="J382" s="93"/>
      <c r="K382" s="93"/>
    </row>
    <row r="383">
      <c r="C383" s="93"/>
      <c r="I383" s="60"/>
      <c r="J383" s="93"/>
      <c r="K383" s="93"/>
    </row>
    <row r="384">
      <c r="C384" s="93"/>
      <c r="I384" s="60"/>
      <c r="J384" s="93"/>
      <c r="K384" s="93"/>
    </row>
    <row r="385">
      <c r="C385" s="93"/>
      <c r="I385" s="60"/>
      <c r="J385" s="93"/>
      <c r="K385" s="93"/>
    </row>
    <row r="386">
      <c r="C386" s="93"/>
      <c r="I386" s="60"/>
      <c r="J386" s="93"/>
      <c r="K386" s="93"/>
    </row>
    <row r="387">
      <c r="C387" s="93"/>
      <c r="I387" s="60"/>
      <c r="J387" s="93"/>
      <c r="K387" s="93"/>
    </row>
    <row r="388">
      <c r="C388" s="93"/>
      <c r="I388" s="60"/>
      <c r="J388" s="93"/>
      <c r="K388" s="93"/>
    </row>
    <row r="389">
      <c r="C389" s="93"/>
      <c r="I389" s="60"/>
      <c r="J389" s="93"/>
      <c r="K389" s="93"/>
    </row>
    <row r="390">
      <c r="C390" s="93"/>
      <c r="I390" s="60"/>
      <c r="J390" s="93"/>
      <c r="K390" s="93"/>
    </row>
    <row r="391">
      <c r="C391" s="93"/>
      <c r="I391" s="60"/>
      <c r="J391" s="93"/>
      <c r="K391" s="93"/>
    </row>
    <row r="392">
      <c r="C392" s="93"/>
      <c r="I392" s="60"/>
      <c r="J392" s="93"/>
      <c r="K392" s="93"/>
    </row>
    <row r="393">
      <c r="C393" s="93"/>
      <c r="I393" s="60"/>
      <c r="J393" s="93"/>
      <c r="K393" s="93"/>
    </row>
    <row r="394">
      <c r="C394" s="93"/>
      <c r="I394" s="60"/>
      <c r="J394" s="93"/>
      <c r="K394" s="93"/>
    </row>
    <row r="395">
      <c r="C395" s="93"/>
      <c r="I395" s="60"/>
      <c r="J395" s="93"/>
      <c r="K395" s="93"/>
    </row>
    <row r="396">
      <c r="C396" s="93"/>
      <c r="I396" s="60"/>
      <c r="J396" s="93"/>
      <c r="K396" s="93"/>
    </row>
    <row r="397">
      <c r="C397" s="93"/>
      <c r="I397" s="60"/>
      <c r="J397" s="93"/>
      <c r="K397" s="93"/>
    </row>
    <row r="398">
      <c r="C398" s="93"/>
      <c r="I398" s="60"/>
      <c r="J398" s="93"/>
      <c r="K398" s="93"/>
    </row>
    <row r="399">
      <c r="C399" s="93"/>
      <c r="I399" s="60"/>
      <c r="J399" s="93"/>
      <c r="K399" s="93"/>
    </row>
    <row r="400">
      <c r="C400" s="93"/>
      <c r="I400" s="60"/>
      <c r="J400" s="93"/>
      <c r="K400" s="93"/>
    </row>
    <row r="401">
      <c r="C401" s="93"/>
      <c r="I401" s="60"/>
      <c r="J401" s="93"/>
      <c r="K401" s="93"/>
    </row>
    <row r="402">
      <c r="C402" s="93"/>
      <c r="I402" s="60"/>
      <c r="J402" s="93"/>
      <c r="K402" s="93"/>
    </row>
    <row r="403">
      <c r="C403" s="93"/>
      <c r="I403" s="60"/>
      <c r="J403" s="93"/>
      <c r="K403" s="93"/>
    </row>
    <row r="404">
      <c r="C404" s="93"/>
      <c r="I404" s="60"/>
      <c r="J404" s="93"/>
      <c r="K404" s="93"/>
    </row>
    <row r="405">
      <c r="C405" s="93"/>
      <c r="I405" s="60"/>
      <c r="J405" s="93"/>
      <c r="K405" s="93"/>
    </row>
    <row r="406">
      <c r="C406" s="93"/>
      <c r="I406" s="60"/>
      <c r="J406" s="93"/>
      <c r="K406" s="93"/>
    </row>
    <row r="407">
      <c r="C407" s="93"/>
      <c r="I407" s="60"/>
      <c r="J407" s="93"/>
      <c r="K407" s="93"/>
    </row>
    <row r="408">
      <c r="C408" s="93"/>
      <c r="I408" s="60"/>
      <c r="J408" s="93"/>
      <c r="K408" s="93"/>
    </row>
    <row r="409">
      <c r="C409" s="93"/>
      <c r="I409" s="60"/>
      <c r="J409" s="93"/>
      <c r="K409" s="93"/>
    </row>
    <row r="410">
      <c r="C410" s="93"/>
      <c r="I410" s="60"/>
      <c r="J410" s="93"/>
      <c r="K410" s="93"/>
    </row>
    <row r="411">
      <c r="C411" s="93"/>
      <c r="I411" s="60"/>
      <c r="J411" s="93"/>
      <c r="K411" s="93"/>
    </row>
    <row r="412">
      <c r="C412" s="93"/>
      <c r="I412" s="60"/>
      <c r="J412" s="93"/>
      <c r="K412" s="93"/>
    </row>
    <row r="413">
      <c r="C413" s="93"/>
      <c r="I413" s="60"/>
      <c r="J413" s="93"/>
      <c r="K413" s="93"/>
    </row>
    <row r="414">
      <c r="C414" s="93"/>
      <c r="I414" s="60"/>
      <c r="J414" s="93"/>
      <c r="K414" s="93"/>
    </row>
    <row r="415">
      <c r="C415" s="93"/>
      <c r="I415" s="60"/>
      <c r="J415" s="93"/>
      <c r="K415" s="93"/>
    </row>
    <row r="416">
      <c r="C416" s="93"/>
      <c r="I416" s="60"/>
      <c r="J416" s="93"/>
      <c r="K416" s="93"/>
    </row>
    <row r="417">
      <c r="C417" s="93"/>
      <c r="I417" s="60"/>
      <c r="J417" s="93"/>
      <c r="K417" s="93"/>
    </row>
    <row r="418">
      <c r="C418" s="93"/>
      <c r="I418" s="60"/>
      <c r="J418" s="93"/>
      <c r="K418" s="93"/>
    </row>
    <row r="419">
      <c r="C419" s="93"/>
      <c r="I419" s="60"/>
      <c r="J419" s="93"/>
      <c r="K419" s="93"/>
    </row>
    <row r="420">
      <c r="C420" s="93"/>
      <c r="I420" s="60"/>
      <c r="J420" s="93"/>
      <c r="K420" s="93"/>
    </row>
    <row r="421">
      <c r="C421" s="93"/>
      <c r="I421" s="60"/>
      <c r="J421" s="93"/>
      <c r="K421" s="93"/>
    </row>
    <row r="422">
      <c r="C422" s="93"/>
      <c r="I422" s="60"/>
      <c r="J422" s="93"/>
      <c r="K422" s="93"/>
    </row>
    <row r="423">
      <c r="C423" s="93"/>
      <c r="I423" s="60"/>
      <c r="J423" s="93"/>
      <c r="K423" s="93"/>
    </row>
    <row r="424">
      <c r="C424" s="93"/>
      <c r="I424" s="60"/>
      <c r="J424" s="93"/>
      <c r="K424" s="93"/>
    </row>
    <row r="425">
      <c r="C425" s="93"/>
      <c r="I425" s="60"/>
      <c r="J425" s="93"/>
      <c r="K425" s="93"/>
    </row>
    <row r="426">
      <c r="C426" s="93"/>
      <c r="I426" s="60"/>
      <c r="J426" s="93"/>
      <c r="K426" s="93"/>
    </row>
    <row r="427">
      <c r="C427" s="93"/>
      <c r="I427" s="60"/>
      <c r="J427" s="93"/>
      <c r="K427" s="93"/>
    </row>
    <row r="428">
      <c r="C428" s="93"/>
      <c r="I428" s="60"/>
      <c r="J428" s="93"/>
      <c r="K428" s="93"/>
    </row>
    <row r="429">
      <c r="C429" s="93"/>
      <c r="I429" s="60"/>
      <c r="J429" s="93"/>
      <c r="K429" s="93"/>
    </row>
    <row r="430">
      <c r="C430" s="93"/>
      <c r="I430" s="60"/>
      <c r="J430" s="93"/>
      <c r="K430" s="93"/>
    </row>
    <row r="431">
      <c r="C431" s="93"/>
      <c r="I431" s="60"/>
      <c r="J431" s="93"/>
      <c r="K431" s="93"/>
    </row>
    <row r="432">
      <c r="C432" s="93"/>
      <c r="I432" s="60"/>
      <c r="J432" s="93"/>
      <c r="K432" s="93"/>
    </row>
    <row r="433">
      <c r="C433" s="93"/>
      <c r="I433" s="60"/>
      <c r="J433" s="93"/>
      <c r="K433" s="93"/>
    </row>
    <row r="434">
      <c r="C434" s="93"/>
      <c r="I434" s="60"/>
      <c r="J434" s="93"/>
      <c r="K434" s="93"/>
    </row>
    <row r="435">
      <c r="C435" s="93"/>
      <c r="I435" s="60"/>
      <c r="J435" s="93"/>
      <c r="K435" s="93"/>
    </row>
    <row r="436">
      <c r="C436" s="93"/>
      <c r="I436" s="60"/>
      <c r="J436" s="93"/>
      <c r="K436" s="93"/>
    </row>
    <row r="437">
      <c r="C437" s="93"/>
      <c r="I437" s="60"/>
      <c r="J437" s="93"/>
      <c r="K437" s="93"/>
    </row>
    <row r="438">
      <c r="C438" s="93"/>
      <c r="I438" s="60"/>
      <c r="J438" s="93"/>
      <c r="K438" s="93"/>
    </row>
    <row r="439">
      <c r="C439" s="93"/>
      <c r="I439" s="60"/>
      <c r="J439" s="93"/>
      <c r="K439" s="93"/>
    </row>
    <row r="440">
      <c r="C440" s="93"/>
      <c r="I440" s="60"/>
      <c r="J440" s="93"/>
      <c r="K440" s="93"/>
    </row>
    <row r="441">
      <c r="C441" s="93"/>
      <c r="I441" s="60"/>
      <c r="J441" s="93"/>
      <c r="K441" s="93"/>
    </row>
    <row r="442">
      <c r="C442" s="93"/>
      <c r="I442" s="60"/>
      <c r="J442" s="93"/>
      <c r="K442" s="93"/>
    </row>
    <row r="443">
      <c r="C443" s="93"/>
      <c r="I443" s="60"/>
      <c r="J443" s="93"/>
      <c r="K443" s="93"/>
    </row>
    <row r="444">
      <c r="C444" s="93"/>
      <c r="I444" s="60"/>
      <c r="J444" s="93"/>
      <c r="K444" s="93"/>
    </row>
    <row r="445">
      <c r="C445" s="93"/>
      <c r="I445" s="60"/>
      <c r="J445" s="93"/>
      <c r="K445" s="93"/>
    </row>
    <row r="446">
      <c r="C446" s="93"/>
      <c r="I446" s="60"/>
      <c r="J446" s="93"/>
      <c r="K446" s="93"/>
    </row>
    <row r="447">
      <c r="C447" s="93"/>
      <c r="I447" s="60"/>
      <c r="J447" s="93"/>
      <c r="K447" s="93"/>
    </row>
    <row r="448">
      <c r="C448" s="93"/>
      <c r="I448" s="60"/>
      <c r="J448" s="93"/>
      <c r="K448" s="93"/>
    </row>
    <row r="449">
      <c r="C449" s="93"/>
      <c r="I449" s="60"/>
      <c r="J449" s="93"/>
      <c r="K449" s="93"/>
    </row>
    <row r="450">
      <c r="C450" s="93"/>
      <c r="I450" s="60"/>
      <c r="J450" s="93"/>
      <c r="K450" s="93"/>
    </row>
    <row r="451">
      <c r="C451" s="93"/>
      <c r="I451" s="60"/>
      <c r="J451" s="93"/>
      <c r="K451" s="93"/>
    </row>
    <row r="452">
      <c r="C452" s="93"/>
      <c r="I452" s="60"/>
      <c r="J452" s="93"/>
      <c r="K452" s="93"/>
    </row>
    <row r="453">
      <c r="C453" s="93"/>
      <c r="I453" s="60"/>
      <c r="J453" s="93"/>
      <c r="K453" s="93"/>
    </row>
    <row r="454">
      <c r="C454" s="93"/>
      <c r="I454" s="60"/>
      <c r="J454" s="93"/>
      <c r="K454" s="93"/>
    </row>
    <row r="455">
      <c r="C455" s="93"/>
      <c r="I455" s="60"/>
      <c r="J455" s="93"/>
      <c r="K455" s="93"/>
    </row>
    <row r="456">
      <c r="C456" s="93"/>
      <c r="I456" s="60"/>
      <c r="J456" s="93"/>
      <c r="K456" s="93"/>
    </row>
    <row r="457">
      <c r="C457" s="93"/>
      <c r="I457" s="60"/>
      <c r="J457" s="93"/>
      <c r="K457" s="93"/>
    </row>
    <row r="458">
      <c r="C458" s="93"/>
      <c r="I458" s="60"/>
      <c r="J458" s="93"/>
      <c r="K458" s="93"/>
    </row>
    <row r="459">
      <c r="C459" s="93"/>
      <c r="I459" s="60"/>
      <c r="J459" s="93"/>
      <c r="K459" s="93"/>
    </row>
    <row r="460">
      <c r="C460" s="93"/>
      <c r="I460" s="60"/>
      <c r="J460" s="93"/>
      <c r="K460" s="93"/>
    </row>
    <row r="461">
      <c r="C461" s="93"/>
      <c r="I461" s="60"/>
      <c r="J461" s="93"/>
      <c r="K461" s="93"/>
    </row>
    <row r="462">
      <c r="C462" s="93"/>
      <c r="I462" s="60"/>
      <c r="J462" s="93"/>
      <c r="K462" s="93"/>
    </row>
    <row r="463">
      <c r="C463" s="93"/>
      <c r="I463" s="60"/>
      <c r="J463" s="93"/>
      <c r="K463" s="93"/>
    </row>
    <row r="464">
      <c r="C464" s="93"/>
      <c r="I464" s="60"/>
      <c r="J464" s="93"/>
      <c r="K464" s="93"/>
    </row>
    <row r="465">
      <c r="C465" s="93"/>
      <c r="I465" s="60"/>
      <c r="J465" s="93"/>
      <c r="K465" s="93"/>
    </row>
    <row r="466">
      <c r="C466" s="93"/>
      <c r="I466" s="60"/>
      <c r="J466" s="93"/>
      <c r="K466" s="93"/>
    </row>
    <row r="467">
      <c r="C467" s="93"/>
      <c r="I467" s="60"/>
      <c r="J467" s="93"/>
      <c r="K467" s="93"/>
    </row>
    <row r="468">
      <c r="C468" s="93"/>
      <c r="I468" s="60"/>
      <c r="J468" s="93"/>
      <c r="K468" s="93"/>
    </row>
    <row r="469">
      <c r="C469" s="93"/>
      <c r="I469" s="60"/>
      <c r="J469" s="93"/>
      <c r="K469" s="93"/>
    </row>
    <row r="470">
      <c r="C470" s="93"/>
      <c r="I470" s="60"/>
      <c r="J470" s="93"/>
      <c r="K470" s="93"/>
    </row>
    <row r="471">
      <c r="C471" s="93"/>
      <c r="I471" s="60"/>
      <c r="J471" s="93"/>
      <c r="K471" s="93"/>
    </row>
    <row r="472">
      <c r="C472" s="93"/>
      <c r="I472" s="60"/>
      <c r="J472" s="93"/>
      <c r="K472" s="93"/>
    </row>
    <row r="473">
      <c r="C473" s="93"/>
      <c r="I473" s="60"/>
      <c r="J473" s="93"/>
      <c r="K473" s="93"/>
    </row>
    <row r="474">
      <c r="C474" s="93"/>
      <c r="I474" s="60"/>
      <c r="J474" s="93"/>
      <c r="K474" s="93"/>
    </row>
    <row r="475">
      <c r="C475" s="93"/>
      <c r="I475" s="60"/>
      <c r="J475" s="93"/>
      <c r="K475" s="93"/>
    </row>
    <row r="476">
      <c r="C476" s="93"/>
      <c r="I476" s="60"/>
      <c r="J476" s="93"/>
      <c r="K476" s="93"/>
    </row>
    <row r="477">
      <c r="C477" s="93"/>
      <c r="I477" s="60"/>
      <c r="J477" s="93"/>
      <c r="K477" s="93"/>
    </row>
    <row r="478">
      <c r="C478" s="93"/>
      <c r="I478" s="60"/>
      <c r="J478" s="93"/>
      <c r="K478" s="93"/>
    </row>
    <row r="479">
      <c r="C479" s="93"/>
      <c r="I479" s="60"/>
      <c r="J479" s="93"/>
      <c r="K479" s="93"/>
    </row>
    <row r="480">
      <c r="C480" s="93"/>
      <c r="I480" s="60"/>
      <c r="J480" s="93"/>
      <c r="K480" s="93"/>
    </row>
    <row r="481">
      <c r="C481" s="93"/>
      <c r="I481" s="60"/>
      <c r="J481" s="93"/>
      <c r="K481" s="93"/>
    </row>
    <row r="482">
      <c r="C482" s="93"/>
      <c r="I482" s="60"/>
      <c r="J482" s="93"/>
      <c r="K482" s="93"/>
    </row>
    <row r="483">
      <c r="C483" s="93"/>
      <c r="I483" s="60"/>
      <c r="J483" s="93"/>
      <c r="K483" s="93"/>
    </row>
    <row r="484">
      <c r="C484" s="93"/>
      <c r="I484" s="60"/>
      <c r="J484" s="93"/>
      <c r="K484" s="93"/>
    </row>
    <row r="485">
      <c r="C485" s="93"/>
      <c r="I485" s="60"/>
      <c r="J485" s="93"/>
      <c r="K485" s="93"/>
    </row>
    <row r="486">
      <c r="C486" s="93"/>
      <c r="I486" s="60"/>
      <c r="J486" s="93"/>
      <c r="K486" s="93"/>
    </row>
    <row r="487">
      <c r="C487" s="93"/>
      <c r="I487" s="60"/>
      <c r="J487" s="93"/>
      <c r="K487" s="93"/>
    </row>
    <row r="488">
      <c r="C488" s="93"/>
      <c r="I488" s="60"/>
      <c r="J488" s="93"/>
      <c r="K488" s="93"/>
    </row>
    <row r="489">
      <c r="C489" s="93"/>
      <c r="I489" s="60"/>
      <c r="J489" s="93"/>
      <c r="K489" s="93"/>
    </row>
    <row r="490">
      <c r="C490" s="93"/>
      <c r="I490" s="60"/>
      <c r="J490" s="93"/>
      <c r="K490" s="93"/>
    </row>
    <row r="491">
      <c r="C491" s="93"/>
      <c r="I491" s="60"/>
      <c r="J491" s="93"/>
      <c r="K491" s="93"/>
    </row>
    <row r="492">
      <c r="C492" s="93"/>
      <c r="I492" s="60"/>
      <c r="J492" s="93"/>
      <c r="K492" s="93"/>
    </row>
    <row r="493">
      <c r="C493" s="93"/>
      <c r="I493" s="60"/>
      <c r="J493" s="93"/>
      <c r="K493" s="93"/>
    </row>
    <row r="494">
      <c r="C494" s="93"/>
      <c r="I494" s="60"/>
      <c r="J494" s="93"/>
      <c r="K494" s="93"/>
    </row>
    <row r="495">
      <c r="C495" s="93"/>
      <c r="I495" s="60"/>
      <c r="J495" s="93"/>
      <c r="K495" s="93"/>
    </row>
    <row r="496">
      <c r="C496" s="93"/>
      <c r="I496" s="60"/>
      <c r="J496" s="93"/>
      <c r="K496" s="93"/>
    </row>
    <row r="497">
      <c r="C497" s="93"/>
      <c r="I497" s="60"/>
      <c r="J497" s="93"/>
      <c r="K497" s="93"/>
    </row>
    <row r="498">
      <c r="C498" s="93"/>
      <c r="I498" s="60"/>
      <c r="J498" s="93"/>
      <c r="K498" s="93"/>
    </row>
    <row r="499">
      <c r="C499" s="93"/>
      <c r="I499" s="60"/>
      <c r="J499" s="93"/>
      <c r="K499" s="93"/>
    </row>
    <row r="500">
      <c r="C500" s="93"/>
      <c r="I500" s="60"/>
      <c r="J500" s="93"/>
      <c r="K500" s="93"/>
    </row>
    <row r="501">
      <c r="C501" s="93"/>
      <c r="I501" s="60"/>
      <c r="J501" s="93"/>
      <c r="K501" s="93"/>
    </row>
    <row r="502">
      <c r="C502" s="93"/>
      <c r="I502" s="60"/>
      <c r="J502" s="93"/>
      <c r="K502" s="93"/>
    </row>
    <row r="503">
      <c r="C503" s="93"/>
      <c r="I503" s="60"/>
      <c r="J503" s="93"/>
      <c r="K503" s="93"/>
    </row>
    <row r="504">
      <c r="C504" s="93"/>
      <c r="I504" s="60"/>
      <c r="J504" s="93"/>
      <c r="K504" s="93"/>
    </row>
    <row r="505">
      <c r="C505" s="93"/>
      <c r="I505" s="60"/>
      <c r="J505" s="93"/>
      <c r="K505" s="93"/>
    </row>
    <row r="506">
      <c r="C506" s="93"/>
      <c r="I506" s="60"/>
      <c r="J506" s="93"/>
      <c r="K506" s="93"/>
    </row>
    <row r="507">
      <c r="C507" s="93"/>
      <c r="I507" s="60"/>
      <c r="J507" s="93"/>
      <c r="K507" s="93"/>
    </row>
    <row r="508">
      <c r="C508" s="93"/>
      <c r="I508" s="60"/>
      <c r="J508" s="93"/>
      <c r="K508" s="93"/>
    </row>
    <row r="509">
      <c r="C509" s="93"/>
      <c r="I509" s="60"/>
      <c r="J509" s="93"/>
      <c r="K509" s="93"/>
    </row>
    <row r="510">
      <c r="C510" s="93"/>
      <c r="I510" s="60"/>
      <c r="J510" s="93"/>
      <c r="K510" s="93"/>
    </row>
    <row r="511">
      <c r="C511" s="93"/>
      <c r="I511" s="60"/>
      <c r="J511" s="93"/>
      <c r="K511" s="93"/>
    </row>
    <row r="512">
      <c r="C512" s="93"/>
      <c r="I512" s="60"/>
      <c r="J512" s="93"/>
      <c r="K512" s="93"/>
    </row>
    <row r="513">
      <c r="C513" s="93"/>
      <c r="I513" s="60"/>
      <c r="J513" s="93"/>
      <c r="K513" s="93"/>
    </row>
    <row r="514">
      <c r="C514" s="93"/>
      <c r="I514" s="60"/>
      <c r="J514" s="93"/>
      <c r="K514" s="93"/>
    </row>
    <row r="515">
      <c r="C515" s="93"/>
      <c r="I515" s="60"/>
      <c r="J515" s="93"/>
      <c r="K515" s="93"/>
    </row>
    <row r="516">
      <c r="C516" s="93"/>
      <c r="I516" s="60"/>
      <c r="J516" s="93"/>
      <c r="K516" s="93"/>
    </row>
    <row r="517">
      <c r="C517" s="93"/>
      <c r="I517" s="60"/>
      <c r="J517" s="93"/>
      <c r="K517" s="93"/>
    </row>
    <row r="518">
      <c r="C518" s="93"/>
      <c r="I518" s="60"/>
      <c r="J518" s="93"/>
      <c r="K518" s="93"/>
    </row>
    <row r="519">
      <c r="C519" s="93"/>
      <c r="I519" s="60"/>
      <c r="J519" s="93"/>
      <c r="K519" s="93"/>
    </row>
    <row r="520">
      <c r="C520" s="93"/>
      <c r="I520" s="60"/>
      <c r="J520" s="93"/>
      <c r="K520" s="93"/>
    </row>
    <row r="521">
      <c r="C521" s="93"/>
      <c r="I521" s="60"/>
      <c r="J521" s="93"/>
      <c r="K521" s="93"/>
    </row>
    <row r="522">
      <c r="C522" s="93"/>
      <c r="I522" s="60"/>
      <c r="J522" s="93"/>
      <c r="K522" s="93"/>
    </row>
    <row r="523">
      <c r="C523" s="93"/>
      <c r="I523" s="60"/>
      <c r="J523" s="93"/>
      <c r="K523" s="93"/>
    </row>
    <row r="524">
      <c r="C524" s="93"/>
      <c r="I524" s="60"/>
      <c r="J524" s="93"/>
      <c r="K524" s="93"/>
    </row>
    <row r="525">
      <c r="C525" s="93"/>
      <c r="I525" s="60"/>
      <c r="J525" s="93"/>
      <c r="K525" s="93"/>
    </row>
    <row r="526">
      <c r="C526" s="93"/>
      <c r="I526" s="60"/>
      <c r="J526" s="93"/>
      <c r="K526" s="93"/>
    </row>
    <row r="527">
      <c r="C527" s="93"/>
      <c r="I527" s="60"/>
      <c r="J527" s="93"/>
      <c r="K527" s="93"/>
    </row>
    <row r="528">
      <c r="C528" s="93"/>
      <c r="I528" s="60"/>
      <c r="J528" s="93"/>
      <c r="K528" s="93"/>
    </row>
    <row r="529">
      <c r="C529" s="93"/>
      <c r="I529" s="60"/>
      <c r="J529" s="93"/>
      <c r="K529" s="93"/>
    </row>
    <row r="530">
      <c r="C530" s="93"/>
      <c r="I530" s="60"/>
      <c r="J530" s="93"/>
      <c r="K530" s="93"/>
    </row>
    <row r="531">
      <c r="C531" s="93"/>
      <c r="I531" s="60"/>
      <c r="J531" s="93"/>
      <c r="K531" s="93"/>
    </row>
    <row r="532">
      <c r="C532" s="93"/>
      <c r="I532" s="60"/>
      <c r="J532" s="93"/>
      <c r="K532" s="93"/>
    </row>
    <row r="533">
      <c r="C533" s="93"/>
      <c r="I533" s="60"/>
      <c r="J533" s="93"/>
      <c r="K533" s="93"/>
    </row>
    <row r="534">
      <c r="C534" s="93"/>
      <c r="I534" s="60"/>
      <c r="J534" s="93"/>
      <c r="K534" s="93"/>
    </row>
    <row r="535">
      <c r="C535" s="93"/>
      <c r="I535" s="60"/>
      <c r="J535" s="93"/>
      <c r="K535" s="93"/>
    </row>
    <row r="536">
      <c r="C536" s="93"/>
      <c r="I536" s="60"/>
      <c r="J536" s="93"/>
      <c r="K536" s="93"/>
    </row>
    <row r="537">
      <c r="C537" s="93"/>
      <c r="I537" s="60"/>
      <c r="J537" s="93"/>
      <c r="K537" s="93"/>
    </row>
    <row r="538">
      <c r="C538" s="93"/>
      <c r="I538" s="60"/>
      <c r="J538" s="93"/>
      <c r="K538" s="93"/>
    </row>
    <row r="539">
      <c r="C539" s="93"/>
      <c r="I539" s="60"/>
      <c r="J539" s="93"/>
      <c r="K539" s="93"/>
    </row>
    <row r="540">
      <c r="C540" s="93"/>
      <c r="I540" s="60"/>
      <c r="J540" s="93"/>
      <c r="K540" s="93"/>
    </row>
    <row r="541">
      <c r="C541" s="93"/>
      <c r="I541" s="60"/>
      <c r="J541" s="93"/>
      <c r="K541" s="93"/>
    </row>
    <row r="542">
      <c r="C542" s="93"/>
      <c r="I542" s="60"/>
      <c r="J542" s="93"/>
      <c r="K542" s="93"/>
    </row>
    <row r="543">
      <c r="C543" s="93"/>
      <c r="I543" s="60"/>
      <c r="J543" s="93"/>
      <c r="K543" s="93"/>
    </row>
    <row r="544">
      <c r="C544" s="93"/>
      <c r="I544" s="60"/>
      <c r="J544" s="93"/>
      <c r="K544" s="93"/>
    </row>
    <row r="545">
      <c r="C545" s="93"/>
      <c r="I545" s="60"/>
      <c r="J545" s="93"/>
      <c r="K545" s="93"/>
    </row>
    <row r="546">
      <c r="C546" s="93"/>
      <c r="I546" s="60"/>
      <c r="J546" s="93"/>
      <c r="K546" s="93"/>
    </row>
    <row r="547">
      <c r="C547" s="93"/>
      <c r="I547" s="60"/>
      <c r="J547" s="93"/>
      <c r="K547" s="93"/>
    </row>
    <row r="548">
      <c r="C548" s="93"/>
      <c r="I548" s="60"/>
      <c r="J548" s="93"/>
      <c r="K548" s="93"/>
    </row>
    <row r="549">
      <c r="C549" s="93"/>
      <c r="I549" s="60"/>
      <c r="J549" s="93"/>
      <c r="K549" s="93"/>
    </row>
    <row r="550">
      <c r="C550" s="93"/>
      <c r="I550" s="60"/>
      <c r="J550" s="93"/>
      <c r="K550" s="93"/>
    </row>
    <row r="551">
      <c r="C551" s="93"/>
      <c r="I551" s="60"/>
      <c r="J551" s="93"/>
      <c r="K551" s="93"/>
    </row>
    <row r="552">
      <c r="C552" s="93"/>
      <c r="I552" s="60"/>
      <c r="J552" s="93"/>
      <c r="K552" s="93"/>
    </row>
    <row r="553">
      <c r="C553" s="93"/>
      <c r="I553" s="60"/>
      <c r="J553" s="93"/>
      <c r="K553" s="93"/>
    </row>
    <row r="554">
      <c r="C554" s="93"/>
      <c r="I554" s="60"/>
      <c r="J554" s="93"/>
      <c r="K554" s="93"/>
    </row>
    <row r="555">
      <c r="C555" s="93"/>
      <c r="I555" s="60"/>
      <c r="J555" s="93"/>
      <c r="K555" s="93"/>
    </row>
    <row r="556">
      <c r="C556" s="93"/>
      <c r="I556" s="60"/>
      <c r="J556" s="93"/>
      <c r="K556" s="93"/>
    </row>
    <row r="557">
      <c r="C557" s="93"/>
      <c r="I557" s="60"/>
      <c r="J557" s="93"/>
      <c r="K557" s="93"/>
    </row>
    <row r="558">
      <c r="C558" s="93"/>
      <c r="I558" s="60"/>
      <c r="J558" s="93"/>
      <c r="K558" s="93"/>
    </row>
    <row r="559">
      <c r="C559" s="93"/>
      <c r="I559" s="60"/>
      <c r="J559" s="93"/>
      <c r="K559" s="93"/>
    </row>
    <row r="560">
      <c r="C560" s="93"/>
      <c r="I560" s="60"/>
      <c r="J560" s="93"/>
      <c r="K560" s="93"/>
    </row>
    <row r="561">
      <c r="C561" s="93"/>
      <c r="I561" s="60"/>
      <c r="J561" s="93"/>
      <c r="K561" s="93"/>
    </row>
    <row r="562">
      <c r="C562" s="93"/>
      <c r="I562" s="60"/>
      <c r="J562" s="93"/>
      <c r="K562" s="93"/>
    </row>
    <row r="563">
      <c r="C563" s="93"/>
      <c r="I563" s="60"/>
      <c r="J563" s="93"/>
      <c r="K563" s="93"/>
    </row>
    <row r="564">
      <c r="C564" s="93"/>
      <c r="I564" s="60"/>
      <c r="J564" s="93"/>
      <c r="K564" s="93"/>
    </row>
    <row r="565">
      <c r="C565" s="93"/>
      <c r="I565" s="60"/>
      <c r="J565" s="93"/>
      <c r="K565" s="93"/>
    </row>
    <row r="566">
      <c r="C566" s="93"/>
      <c r="I566" s="60"/>
      <c r="J566" s="93"/>
      <c r="K566" s="93"/>
    </row>
    <row r="567">
      <c r="C567" s="93"/>
      <c r="I567" s="60"/>
      <c r="J567" s="93"/>
      <c r="K567" s="93"/>
    </row>
    <row r="568">
      <c r="C568" s="93"/>
      <c r="I568" s="60"/>
      <c r="J568" s="93"/>
      <c r="K568" s="93"/>
    </row>
    <row r="569">
      <c r="C569" s="93"/>
      <c r="I569" s="60"/>
      <c r="J569" s="93"/>
      <c r="K569" s="93"/>
    </row>
    <row r="570">
      <c r="C570" s="93"/>
      <c r="I570" s="60"/>
      <c r="J570" s="93"/>
      <c r="K570" s="93"/>
    </row>
    <row r="571">
      <c r="C571" s="93"/>
      <c r="I571" s="60"/>
      <c r="J571" s="93"/>
      <c r="K571" s="93"/>
    </row>
    <row r="572">
      <c r="C572" s="93"/>
      <c r="I572" s="60"/>
      <c r="J572" s="93"/>
      <c r="K572" s="93"/>
    </row>
    <row r="573">
      <c r="C573" s="93"/>
      <c r="I573" s="60"/>
      <c r="J573" s="93"/>
      <c r="K573" s="93"/>
    </row>
    <row r="574">
      <c r="C574" s="93"/>
      <c r="I574" s="60"/>
      <c r="J574" s="93"/>
      <c r="K574" s="93"/>
    </row>
    <row r="575">
      <c r="C575" s="93"/>
      <c r="I575" s="60"/>
      <c r="J575" s="93"/>
      <c r="K575" s="93"/>
    </row>
    <row r="576">
      <c r="C576" s="93"/>
      <c r="I576" s="60"/>
      <c r="J576" s="93"/>
      <c r="K576" s="93"/>
    </row>
    <row r="577">
      <c r="C577" s="93"/>
      <c r="I577" s="60"/>
      <c r="J577" s="93"/>
      <c r="K577" s="93"/>
    </row>
    <row r="578">
      <c r="C578" s="93"/>
      <c r="I578" s="60"/>
      <c r="J578" s="93"/>
      <c r="K578" s="93"/>
    </row>
    <row r="579">
      <c r="C579" s="93"/>
      <c r="I579" s="60"/>
      <c r="J579" s="93"/>
      <c r="K579" s="93"/>
    </row>
    <row r="580">
      <c r="C580" s="93"/>
      <c r="I580" s="60"/>
      <c r="J580" s="93"/>
      <c r="K580" s="93"/>
    </row>
    <row r="581">
      <c r="C581" s="93"/>
      <c r="I581" s="60"/>
      <c r="J581" s="93"/>
      <c r="K581" s="93"/>
    </row>
    <row r="582">
      <c r="C582" s="93"/>
      <c r="I582" s="60"/>
      <c r="J582" s="93"/>
      <c r="K582" s="93"/>
    </row>
    <row r="583">
      <c r="C583" s="93"/>
      <c r="I583" s="60"/>
      <c r="J583" s="93"/>
      <c r="K583" s="93"/>
    </row>
    <row r="584">
      <c r="C584" s="93"/>
      <c r="I584" s="60"/>
      <c r="J584" s="93"/>
      <c r="K584" s="93"/>
    </row>
    <row r="585">
      <c r="C585" s="93"/>
      <c r="I585" s="60"/>
      <c r="J585" s="93"/>
      <c r="K585" s="93"/>
    </row>
    <row r="586">
      <c r="C586" s="93"/>
      <c r="I586" s="60"/>
      <c r="J586" s="93"/>
      <c r="K586" s="93"/>
    </row>
    <row r="587">
      <c r="C587" s="93"/>
      <c r="I587" s="60"/>
      <c r="J587" s="93"/>
      <c r="K587" s="93"/>
    </row>
    <row r="588">
      <c r="C588" s="93"/>
      <c r="I588" s="60"/>
      <c r="J588" s="93"/>
      <c r="K588" s="93"/>
    </row>
    <row r="589">
      <c r="C589" s="93"/>
      <c r="I589" s="60"/>
      <c r="J589" s="93"/>
      <c r="K589" s="93"/>
    </row>
    <row r="590">
      <c r="C590" s="93"/>
      <c r="I590" s="60"/>
      <c r="J590" s="93"/>
      <c r="K590" s="93"/>
    </row>
    <row r="591">
      <c r="C591" s="93"/>
      <c r="I591" s="60"/>
      <c r="J591" s="93"/>
      <c r="K591" s="93"/>
    </row>
    <row r="592">
      <c r="C592" s="93"/>
      <c r="I592" s="60"/>
      <c r="J592" s="93"/>
      <c r="K592" s="93"/>
    </row>
    <row r="593">
      <c r="C593" s="93"/>
      <c r="I593" s="60"/>
      <c r="J593" s="93"/>
      <c r="K593" s="93"/>
    </row>
    <row r="594">
      <c r="C594" s="93"/>
      <c r="I594" s="60"/>
      <c r="J594" s="93"/>
      <c r="K594" s="93"/>
    </row>
    <row r="595">
      <c r="C595" s="93"/>
      <c r="I595" s="60"/>
      <c r="J595" s="93"/>
      <c r="K595" s="93"/>
    </row>
    <row r="596">
      <c r="C596" s="93"/>
      <c r="I596" s="60"/>
      <c r="J596" s="93"/>
      <c r="K596" s="93"/>
    </row>
    <row r="597">
      <c r="C597" s="93"/>
      <c r="I597" s="60"/>
      <c r="J597" s="93"/>
      <c r="K597" s="93"/>
    </row>
    <row r="598">
      <c r="C598" s="93"/>
      <c r="I598" s="60"/>
      <c r="J598" s="93"/>
      <c r="K598" s="93"/>
    </row>
    <row r="599">
      <c r="C599" s="93"/>
      <c r="I599" s="60"/>
      <c r="J599" s="93"/>
      <c r="K599" s="93"/>
    </row>
    <row r="600">
      <c r="C600" s="93"/>
      <c r="I600" s="60"/>
      <c r="J600" s="93"/>
      <c r="K600" s="93"/>
    </row>
    <row r="601">
      <c r="C601" s="93"/>
      <c r="I601" s="60"/>
      <c r="J601" s="93"/>
      <c r="K601" s="93"/>
    </row>
    <row r="602">
      <c r="C602" s="93"/>
      <c r="I602" s="60"/>
      <c r="J602" s="93"/>
      <c r="K602" s="93"/>
    </row>
    <row r="603">
      <c r="C603" s="93"/>
      <c r="I603" s="60"/>
      <c r="J603" s="93"/>
      <c r="K603" s="93"/>
    </row>
    <row r="604">
      <c r="C604" s="93"/>
      <c r="I604" s="60"/>
      <c r="J604" s="93"/>
      <c r="K604" s="93"/>
    </row>
    <row r="605">
      <c r="C605" s="93"/>
      <c r="I605" s="60"/>
      <c r="J605" s="93"/>
      <c r="K605" s="93"/>
    </row>
    <row r="606">
      <c r="C606" s="93"/>
      <c r="I606" s="60"/>
      <c r="J606" s="93"/>
      <c r="K606" s="93"/>
    </row>
    <row r="607">
      <c r="C607" s="93"/>
      <c r="I607" s="60"/>
      <c r="J607" s="93"/>
      <c r="K607" s="93"/>
    </row>
    <row r="608">
      <c r="C608" s="93"/>
      <c r="I608" s="60"/>
      <c r="J608" s="93"/>
      <c r="K608" s="93"/>
    </row>
    <row r="609">
      <c r="C609" s="93"/>
      <c r="I609" s="60"/>
      <c r="J609" s="93"/>
      <c r="K609" s="93"/>
    </row>
    <row r="610">
      <c r="C610" s="93"/>
      <c r="I610" s="60"/>
      <c r="J610" s="93"/>
      <c r="K610" s="93"/>
    </row>
    <row r="611">
      <c r="C611" s="93"/>
      <c r="I611" s="60"/>
      <c r="J611" s="93"/>
      <c r="K611" s="93"/>
    </row>
    <row r="612">
      <c r="C612" s="93"/>
      <c r="I612" s="60"/>
      <c r="J612" s="93"/>
      <c r="K612" s="93"/>
    </row>
    <row r="613">
      <c r="C613" s="93"/>
      <c r="I613" s="60"/>
      <c r="J613" s="93"/>
      <c r="K613" s="93"/>
    </row>
    <row r="614">
      <c r="C614" s="93"/>
      <c r="I614" s="60"/>
      <c r="J614" s="93"/>
      <c r="K614" s="93"/>
    </row>
    <row r="615">
      <c r="C615" s="93"/>
      <c r="I615" s="60"/>
      <c r="J615" s="93"/>
      <c r="K615" s="93"/>
    </row>
    <row r="616">
      <c r="C616" s="93"/>
      <c r="I616" s="60"/>
      <c r="J616" s="93"/>
      <c r="K616" s="93"/>
    </row>
    <row r="617">
      <c r="C617" s="93"/>
      <c r="I617" s="60"/>
      <c r="J617" s="93"/>
      <c r="K617" s="93"/>
    </row>
    <row r="618">
      <c r="C618" s="93"/>
      <c r="I618" s="60"/>
      <c r="J618" s="93"/>
      <c r="K618" s="93"/>
    </row>
    <row r="619">
      <c r="C619" s="93"/>
      <c r="I619" s="60"/>
      <c r="J619" s="93"/>
      <c r="K619" s="93"/>
    </row>
    <row r="620">
      <c r="C620" s="93"/>
      <c r="I620" s="60"/>
      <c r="J620" s="93"/>
      <c r="K620" s="93"/>
    </row>
    <row r="621">
      <c r="C621" s="93"/>
      <c r="I621" s="60"/>
      <c r="J621" s="93"/>
      <c r="K621" s="93"/>
    </row>
    <row r="622">
      <c r="C622" s="93"/>
      <c r="I622" s="60"/>
      <c r="J622" s="93"/>
      <c r="K622" s="93"/>
    </row>
    <row r="623">
      <c r="C623" s="93"/>
      <c r="I623" s="60"/>
      <c r="J623" s="93"/>
      <c r="K623" s="93"/>
    </row>
    <row r="624">
      <c r="C624" s="93"/>
      <c r="I624" s="60"/>
      <c r="J624" s="93"/>
      <c r="K624" s="93"/>
    </row>
    <row r="625">
      <c r="C625" s="93"/>
      <c r="I625" s="60"/>
      <c r="J625" s="93"/>
      <c r="K625" s="93"/>
    </row>
    <row r="626">
      <c r="C626" s="93"/>
      <c r="I626" s="60"/>
      <c r="J626" s="93"/>
      <c r="K626" s="93"/>
    </row>
    <row r="627">
      <c r="C627" s="93"/>
      <c r="I627" s="60"/>
      <c r="J627" s="93"/>
      <c r="K627" s="93"/>
    </row>
    <row r="628">
      <c r="C628" s="93"/>
      <c r="I628" s="60"/>
      <c r="J628" s="93"/>
      <c r="K628" s="93"/>
    </row>
    <row r="629">
      <c r="C629" s="93"/>
      <c r="I629" s="60"/>
      <c r="J629" s="93"/>
      <c r="K629" s="93"/>
    </row>
    <row r="630">
      <c r="C630" s="93"/>
      <c r="I630" s="60"/>
      <c r="J630" s="93"/>
      <c r="K630" s="93"/>
    </row>
    <row r="631">
      <c r="C631" s="93"/>
      <c r="I631" s="60"/>
      <c r="J631" s="93"/>
      <c r="K631" s="93"/>
    </row>
    <row r="632">
      <c r="C632" s="93"/>
      <c r="I632" s="60"/>
      <c r="J632" s="93"/>
      <c r="K632" s="93"/>
    </row>
    <row r="633">
      <c r="C633" s="93"/>
      <c r="I633" s="60"/>
      <c r="J633" s="93"/>
      <c r="K633" s="93"/>
    </row>
    <row r="634">
      <c r="C634" s="93"/>
      <c r="I634" s="60"/>
      <c r="J634" s="93"/>
      <c r="K634" s="93"/>
    </row>
    <row r="635">
      <c r="C635" s="93"/>
      <c r="I635" s="60"/>
      <c r="J635" s="93"/>
      <c r="K635" s="93"/>
    </row>
    <row r="636">
      <c r="C636" s="93"/>
      <c r="I636" s="60"/>
      <c r="J636" s="93"/>
      <c r="K636" s="93"/>
    </row>
    <row r="637">
      <c r="C637" s="93"/>
      <c r="I637" s="60"/>
      <c r="J637" s="93"/>
      <c r="K637" s="93"/>
    </row>
    <row r="638">
      <c r="C638" s="93"/>
      <c r="I638" s="60"/>
      <c r="J638" s="93"/>
      <c r="K638" s="93"/>
    </row>
    <row r="639">
      <c r="C639" s="93"/>
      <c r="I639" s="60"/>
      <c r="J639" s="93"/>
      <c r="K639" s="93"/>
    </row>
    <row r="640">
      <c r="C640" s="93"/>
      <c r="I640" s="60"/>
      <c r="J640" s="93"/>
      <c r="K640" s="93"/>
    </row>
    <row r="641">
      <c r="C641" s="93"/>
      <c r="I641" s="60"/>
      <c r="J641" s="93"/>
      <c r="K641" s="93"/>
    </row>
    <row r="642">
      <c r="C642" s="93"/>
      <c r="I642" s="60"/>
      <c r="J642" s="93"/>
      <c r="K642" s="93"/>
    </row>
    <row r="643">
      <c r="C643" s="93"/>
      <c r="I643" s="60"/>
      <c r="J643" s="93"/>
      <c r="K643" s="93"/>
    </row>
    <row r="644">
      <c r="C644" s="93"/>
      <c r="I644" s="60"/>
      <c r="J644" s="93"/>
      <c r="K644" s="93"/>
    </row>
    <row r="645">
      <c r="C645" s="93"/>
      <c r="I645" s="60"/>
      <c r="J645" s="93"/>
      <c r="K645" s="93"/>
    </row>
    <row r="646">
      <c r="C646" s="93"/>
      <c r="I646" s="60"/>
      <c r="J646" s="93"/>
      <c r="K646" s="93"/>
    </row>
    <row r="647">
      <c r="C647" s="93"/>
      <c r="I647" s="60"/>
      <c r="J647" s="93"/>
      <c r="K647" s="93"/>
    </row>
    <row r="648">
      <c r="C648" s="93"/>
      <c r="I648" s="60"/>
      <c r="J648" s="93"/>
      <c r="K648" s="93"/>
    </row>
    <row r="649">
      <c r="C649" s="93"/>
      <c r="I649" s="60"/>
      <c r="J649" s="93"/>
      <c r="K649" s="93"/>
    </row>
    <row r="650">
      <c r="C650" s="93"/>
      <c r="I650" s="60"/>
      <c r="J650" s="93"/>
      <c r="K650" s="93"/>
    </row>
    <row r="651">
      <c r="C651" s="93"/>
      <c r="I651" s="60"/>
      <c r="J651" s="93"/>
      <c r="K651" s="93"/>
    </row>
    <row r="652">
      <c r="C652" s="93"/>
      <c r="I652" s="60"/>
      <c r="J652" s="93"/>
      <c r="K652" s="93"/>
    </row>
    <row r="653">
      <c r="C653" s="93"/>
      <c r="I653" s="60"/>
      <c r="J653" s="93"/>
      <c r="K653" s="93"/>
    </row>
    <row r="654">
      <c r="C654" s="93"/>
      <c r="I654" s="60"/>
      <c r="J654" s="93"/>
      <c r="K654" s="93"/>
    </row>
    <row r="655">
      <c r="C655" s="93"/>
      <c r="I655" s="60"/>
      <c r="J655" s="93"/>
      <c r="K655" s="93"/>
    </row>
    <row r="656">
      <c r="C656" s="93"/>
      <c r="I656" s="60"/>
      <c r="J656" s="93"/>
      <c r="K656" s="93"/>
    </row>
    <row r="657">
      <c r="C657" s="93"/>
      <c r="I657" s="60"/>
      <c r="J657" s="93"/>
      <c r="K657" s="93"/>
    </row>
    <row r="658">
      <c r="C658" s="93"/>
      <c r="I658" s="60"/>
      <c r="J658" s="93"/>
      <c r="K658" s="93"/>
    </row>
    <row r="659">
      <c r="C659" s="93"/>
      <c r="I659" s="60"/>
      <c r="J659" s="93"/>
      <c r="K659" s="93"/>
    </row>
    <row r="660">
      <c r="C660" s="93"/>
      <c r="I660" s="60"/>
      <c r="J660" s="93"/>
      <c r="K660" s="93"/>
    </row>
    <row r="661">
      <c r="C661" s="93"/>
      <c r="I661" s="60"/>
      <c r="J661" s="93"/>
      <c r="K661" s="93"/>
    </row>
    <row r="662">
      <c r="C662" s="93"/>
      <c r="I662" s="60"/>
      <c r="J662" s="93"/>
      <c r="K662" s="93"/>
    </row>
    <row r="663">
      <c r="C663" s="93"/>
      <c r="I663" s="60"/>
      <c r="J663" s="93"/>
      <c r="K663" s="93"/>
    </row>
    <row r="664">
      <c r="C664" s="93"/>
      <c r="I664" s="60"/>
      <c r="J664" s="93"/>
      <c r="K664" s="93"/>
    </row>
    <row r="665">
      <c r="C665" s="93"/>
      <c r="I665" s="60"/>
      <c r="J665" s="93"/>
      <c r="K665" s="93"/>
    </row>
    <row r="666">
      <c r="C666" s="93"/>
      <c r="I666" s="60"/>
      <c r="J666" s="93"/>
      <c r="K666" s="93"/>
    </row>
    <row r="667">
      <c r="C667" s="93"/>
      <c r="I667" s="60"/>
      <c r="J667" s="93"/>
      <c r="K667" s="93"/>
    </row>
    <row r="668">
      <c r="C668" s="93"/>
      <c r="I668" s="60"/>
      <c r="J668" s="93"/>
      <c r="K668" s="93"/>
    </row>
    <row r="669">
      <c r="C669" s="93"/>
      <c r="I669" s="60"/>
      <c r="J669" s="93"/>
      <c r="K669" s="93"/>
    </row>
    <row r="670">
      <c r="C670" s="93"/>
      <c r="I670" s="60"/>
      <c r="J670" s="93"/>
      <c r="K670" s="93"/>
    </row>
    <row r="671">
      <c r="C671" s="93"/>
      <c r="I671" s="60"/>
      <c r="J671" s="93"/>
      <c r="K671" s="93"/>
    </row>
    <row r="672">
      <c r="C672" s="93"/>
      <c r="I672" s="60"/>
      <c r="J672" s="93"/>
      <c r="K672" s="93"/>
    </row>
    <row r="673">
      <c r="C673" s="93"/>
      <c r="I673" s="60"/>
      <c r="J673" s="93"/>
      <c r="K673" s="93"/>
    </row>
    <row r="674">
      <c r="C674" s="93"/>
      <c r="I674" s="60"/>
      <c r="J674" s="93"/>
      <c r="K674" s="93"/>
    </row>
    <row r="675">
      <c r="C675" s="93"/>
      <c r="I675" s="60"/>
      <c r="J675" s="93"/>
      <c r="K675" s="93"/>
    </row>
    <row r="676">
      <c r="C676" s="93"/>
      <c r="I676" s="60"/>
      <c r="J676" s="93"/>
      <c r="K676" s="93"/>
    </row>
    <row r="677">
      <c r="C677" s="93"/>
      <c r="I677" s="60"/>
      <c r="J677" s="93"/>
      <c r="K677" s="93"/>
    </row>
    <row r="678">
      <c r="C678" s="93"/>
      <c r="I678" s="60"/>
      <c r="J678" s="93"/>
      <c r="K678" s="93"/>
    </row>
    <row r="679">
      <c r="C679" s="93"/>
      <c r="I679" s="60"/>
      <c r="J679" s="93"/>
      <c r="K679" s="93"/>
    </row>
    <row r="680">
      <c r="C680" s="93"/>
      <c r="I680" s="60"/>
      <c r="J680" s="93"/>
      <c r="K680" s="93"/>
    </row>
    <row r="681">
      <c r="C681" s="93"/>
      <c r="I681" s="60"/>
      <c r="J681" s="93"/>
      <c r="K681" s="93"/>
    </row>
    <row r="682">
      <c r="C682" s="93"/>
      <c r="I682" s="60"/>
      <c r="J682" s="93"/>
      <c r="K682" s="93"/>
    </row>
    <row r="683">
      <c r="C683" s="93"/>
      <c r="I683" s="60"/>
      <c r="J683" s="93"/>
      <c r="K683" s="93"/>
    </row>
    <row r="684">
      <c r="C684" s="93"/>
      <c r="I684" s="60"/>
      <c r="J684" s="93"/>
      <c r="K684" s="93"/>
    </row>
    <row r="685">
      <c r="C685" s="93"/>
      <c r="I685" s="60"/>
      <c r="J685" s="93"/>
      <c r="K685" s="93"/>
    </row>
    <row r="686">
      <c r="C686" s="93"/>
      <c r="I686" s="60"/>
      <c r="J686" s="93"/>
      <c r="K686" s="93"/>
    </row>
    <row r="687">
      <c r="C687" s="93"/>
      <c r="I687" s="60"/>
      <c r="J687" s="93"/>
      <c r="K687" s="93"/>
    </row>
    <row r="688">
      <c r="C688" s="93"/>
      <c r="I688" s="60"/>
      <c r="J688" s="93"/>
      <c r="K688" s="93"/>
    </row>
    <row r="689">
      <c r="C689" s="93"/>
      <c r="I689" s="60"/>
      <c r="J689" s="93"/>
      <c r="K689" s="93"/>
    </row>
    <row r="690">
      <c r="C690" s="93"/>
      <c r="I690" s="60"/>
      <c r="J690" s="93"/>
      <c r="K690" s="93"/>
    </row>
    <row r="691">
      <c r="C691" s="93"/>
      <c r="I691" s="60"/>
      <c r="J691" s="93"/>
      <c r="K691" s="93"/>
    </row>
    <row r="692">
      <c r="C692" s="93"/>
      <c r="I692" s="60"/>
      <c r="J692" s="93"/>
      <c r="K692" s="93"/>
    </row>
    <row r="693">
      <c r="C693" s="93"/>
      <c r="I693" s="60"/>
      <c r="J693" s="93"/>
      <c r="K693" s="93"/>
    </row>
    <row r="694">
      <c r="C694" s="93"/>
      <c r="I694" s="60"/>
      <c r="J694" s="93"/>
      <c r="K694" s="93"/>
    </row>
    <row r="695">
      <c r="C695" s="93"/>
      <c r="I695" s="60"/>
      <c r="J695" s="93"/>
      <c r="K695" s="93"/>
    </row>
    <row r="696">
      <c r="C696" s="93"/>
      <c r="I696" s="60"/>
      <c r="J696" s="93"/>
      <c r="K696" s="93"/>
    </row>
    <row r="697">
      <c r="C697" s="93"/>
      <c r="I697" s="60"/>
      <c r="J697" s="93"/>
      <c r="K697" s="93"/>
    </row>
    <row r="698">
      <c r="C698" s="93"/>
      <c r="I698" s="60"/>
      <c r="J698" s="93"/>
      <c r="K698" s="93"/>
    </row>
    <row r="699">
      <c r="C699" s="93"/>
      <c r="I699" s="60"/>
      <c r="J699" s="93"/>
      <c r="K699" s="93"/>
    </row>
    <row r="700">
      <c r="C700" s="93"/>
      <c r="I700" s="60"/>
      <c r="J700" s="93"/>
      <c r="K700" s="93"/>
    </row>
    <row r="701">
      <c r="C701" s="93"/>
      <c r="I701" s="60"/>
      <c r="J701" s="93"/>
      <c r="K701" s="93"/>
    </row>
    <row r="702">
      <c r="C702" s="93"/>
      <c r="I702" s="60"/>
      <c r="J702" s="93"/>
      <c r="K702" s="93"/>
    </row>
    <row r="703">
      <c r="C703" s="93"/>
      <c r="I703" s="60"/>
      <c r="J703" s="93"/>
      <c r="K703" s="93"/>
    </row>
    <row r="704">
      <c r="C704" s="93"/>
      <c r="I704" s="60"/>
      <c r="J704" s="93"/>
      <c r="K704" s="93"/>
    </row>
    <row r="705">
      <c r="C705" s="93"/>
      <c r="I705" s="60"/>
      <c r="J705" s="93"/>
      <c r="K705" s="93"/>
    </row>
    <row r="706">
      <c r="C706" s="93"/>
      <c r="I706" s="60"/>
      <c r="J706" s="93"/>
      <c r="K706" s="93"/>
    </row>
    <row r="707">
      <c r="C707" s="93"/>
      <c r="I707" s="60"/>
      <c r="J707" s="93"/>
      <c r="K707" s="93"/>
    </row>
    <row r="708">
      <c r="C708" s="93"/>
      <c r="I708" s="60"/>
      <c r="J708" s="93"/>
      <c r="K708" s="93"/>
    </row>
    <row r="709">
      <c r="C709" s="93"/>
      <c r="I709" s="60"/>
      <c r="J709" s="93"/>
      <c r="K709" s="93"/>
    </row>
    <row r="710">
      <c r="C710" s="93"/>
      <c r="I710" s="60"/>
      <c r="J710" s="93"/>
      <c r="K710" s="93"/>
    </row>
    <row r="711">
      <c r="C711" s="93"/>
      <c r="I711" s="60"/>
      <c r="J711" s="93"/>
      <c r="K711" s="93"/>
    </row>
    <row r="712">
      <c r="C712" s="93"/>
      <c r="I712" s="60"/>
      <c r="J712" s="93"/>
      <c r="K712" s="93"/>
    </row>
    <row r="713">
      <c r="C713" s="93"/>
      <c r="I713" s="60"/>
      <c r="J713" s="93"/>
      <c r="K713" s="93"/>
    </row>
    <row r="714">
      <c r="C714" s="93"/>
      <c r="I714" s="60"/>
      <c r="J714" s="93"/>
      <c r="K714" s="93"/>
    </row>
    <row r="715">
      <c r="C715" s="93"/>
      <c r="I715" s="60"/>
      <c r="J715" s="93"/>
      <c r="K715" s="93"/>
    </row>
    <row r="716">
      <c r="C716" s="93"/>
      <c r="I716" s="60"/>
      <c r="J716" s="93"/>
      <c r="K716" s="93"/>
    </row>
    <row r="717">
      <c r="C717" s="93"/>
      <c r="I717" s="60"/>
      <c r="J717" s="93"/>
      <c r="K717" s="93"/>
    </row>
    <row r="718">
      <c r="C718" s="93"/>
      <c r="I718" s="60"/>
      <c r="J718" s="93"/>
      <c r="K718" s="93"/>
    </row>
    <row r="719">
      <c r="C719" s="93"/>
      <c r="I719" s="60"/>
      <c r="J719" s="93"/>
      <c r="K719" s="93"/>
    </row>
    <row r="720">
      <c r="C720" s="93"/>
      <c r="I720" s="60"/>
      <c r="J720" s="93"/>
      <c r="K720" s="93"/>
    </row>
    <row r="721">
      <c r="C721" s="93"/>
      <c r="I721" s="60"/>
      <c r="J721" s="93"/>
      <c r="K721" s="93"/>
    </row>
    <row r="722">
      <c r="C722" s="93"/>
      <c r="I722" s="60"/>
      <c r="J722" s="93"/>
      <c r="K722" s="93"/>
    </row>
    <row r="723">
      <c r="C723" s="93"/>
      <c r="I723" s="60"/>
      <c r="J723" s="93"/>
      <c r="K723" s="93"/>
    </row>
    <row r="724">
      <c r="C724" s="93"/>
      <c r="I724" s="60"/>
      <c r="J724" s="93"/>
      <c r="K724" s="93"/>
    </row>
    <row r="725">
      <c r="C725" s="93"/>
      <c r="I725" s="60"/>
      <c r="J725" s="93"/>
      <c r="K725" s="93"/>
    </row>
    <row r="726">
      <c r="C726" s="93"/>
      <c r="I726" s="60"/>
      <c r="J726" s="93"/>
      <c r="K726" s="93"/>
    </row>
    <row r="727">
      <c r="C727" s="93"/>
      <c r="I727" s="60"/>
      <c r="J727" s="93"/>
      <c r="K727" s="93"/>
    </row>
    <row r="728">
      <c r="C728" s="93"/>
      <c r="I728" s="60"/>
      <c r="J728" s="93"/>
      <c r="K728" s="93"/>
    </row>
    <row r="729">
      <c r="C729" s="93"/>
      <c r="I729" s="60"/>
      <c r="J729" s="93"/>
      <c r="K729" s="93"/>
    </row>
    <row r="730">
      <c r="C730" s="93"/>
      <c r="I730" s="60"/>
      <c r="J730" s="93"/>
      <c r="K730" s="93"/>
    </row>
    <row r="731">
      <c r="C731" s="93"/>
      <c r="I731" s="60"/>
      <c r="J731" s="93"/>
      <c r="K731" s="93"/>
    </row>
    <row r="732">
      <c r="C732" s="93"/>
      <c r="I732" s="60"/>
      <c r="J732" s="93"/>
      <c r="K732" s="93"/>
    </row>
    <row r="733">
      <c r="C733" s="93"/>
      <c r="I733" s="60"/>
      <c r="J733" s="93"/>
      <c r="K733" s="93"/>
    </row>
    <row r="734">
      <c r="C734" s="93"/>
      <c r="I734" s="60"/>
      <c r="J734" s="93"/>
      <c r="K734" s="93"/>
    </row>
    <row r="735">
      <c r="C735" s="93"/>
      <c r="I735" s="60"/>
      <c r="J735" s="93"/>
      <c r="K735" s="93"/>
    </row>
    <row r="736">
      <c r="C736" s="93"/>
      <c r="I736" s="60"/>
      <c r="J736" s="93"/>
      <c r="K736" s="93"/>
    </row>
    <row r="737">
      <c r="C737" s="93"/>
      <c r="I737" s="60"/>
      <c r="J737" s="93"/>
      <c r="K737" s="93"/>
    </row>
    <row r="738">
      <c r="C738" s="93"/>
      <c r="I738" s="60"/>
      <c r="J738" s="93"/>
      <c r="K738" s="93"/>
    </row>
    <row r="739">
      <c r="C739" s="93"/>
      <c r="I739" s="60"/>
      <c r="J739" s="93"/>
      <c r="K739" s="93"/>
    </row>
    <row r="740">
      <c r="C740" s="93"/>
      <c r="I740" s="60"/>
      <c r="J740" s="93"/>
      <c r="K740" s="93"/>
    </row>
    <row r="741">
      <c r="C741" s="93"/>
      <c r="I741" s="60"/>
      <c r="J741" s="93"/>
      <c r="K741" s="93"/>
    </row>
    <row r="742">
      <c r="C742" s="93"/>
      <c r="I742" s="60"/>
      <c r="J742" s="93"/>
      <c r="K742" s="93"/>
    </row>
    <row r="743">
      <c r="C743" s="93"/>
      <c r="I743" s="60"/>
      <c r="J743" s="93"/>
      <c r="K743" s="93"/>
    </row>
    <row r="744">
      <c r="C744" s="93"/>
      <c r="I744" s="60"/>
      <c r="J744" s="93"/>
      <c r="K744" s="93"/>
    </row>
    <row r="745">
      <c r="C745" s="93"/>
      <c r="I745" s="60"/>
      <c r="J745" s="93"/>
      <c r="K745" s="93"/>
    </row>
    <row r="746">
      <c r="C746" s="93"/>
      <c r="I746" s="60"/>
      <c r="J746" s="93"/>
      <c r="K746" s="93"/>
    </row>
    <row r="747">
      <c r="C747" s="93"/>
      <c r="I747" s="60"/>
      <c r="J747" s="93"/>
      <c r="K747" s="93"/>
    </row>
    <row r="748">
      <c r="C748" s="93"/>
      <c r="I748" s="60"/>
      <c r="J748" s="93"/>
      <c r="K748" s="93"/>
    </row>
    <row r="749">
      <c r="C749" s="93"/>
      <c r="I749" s="60"/>
      <c r="J749" s="93"/>
      <c r="K749" s="93"/>
    </row>
    <row r="750">
      <c r="C750" s="93"/>
      <c r="I750" s="60"/>
      <c r="J750" s="93"/>
      <c r="K750" s="93"/>
    </row>
    <row r="751">
      <c r="C751" s="93"/>
      <c r="I751" s="60"/>
      <c r="J751" s="93"/>
      <c r="K751" s="93"/>
    </row>
    <row r="752">
      <c r="C752" s="93"/>
      <c r="I752" s="60"/>
      <c r="J752" s="93"/>
      <c r="K752" s="93"/>
    </row>
    <row r="753">
      <c r="C753" s="93"/>
      <c r="I753" s="60"/>
      <c r="J753" s="93"/>
      <c r="K753" s="93"/>
    </row>
    <row r="754">
      <c r="C754" s="93"/>
      <c r="I754" s="60"/>
      <c r="J754" s="93"/>
      <c r="K754" s="93"/>
    </row>
    <row r="755">
      <c r="C755" s="93"/>
      <c r="I755" s="60"/>
      <c r="J755" s="93"/>
      <c r="K755" s="93"/>
    </row>
    <row r="756">
      <c r="C756" s="93"/>
      <c r="I756" s="60"/>
      <c r="J756" s="93"/>
      <c r="K756" s="93"/>
    </row>
    <row r="757">
      <c r="C757" s="93"/>
      <c r="I757" s="60"/>
      <c r="J757" s="93"/>
      <c r="K757" s="93"/>
    </row>
    <row r="758">
      <c r="C758" s="93"/>
      <c r="I758" s="60"/>
      <c r="J758" s="93"/>
      <c r="K758" s="93"/>
    </row>
    <row r="759">
      <c r="C759" s="93"/>
      <c r="I759" s="60"/>
      <c r="J759" s="93"/>
      <c r="K759" s="93"/>
    </row>
    <row r="760">
      <c r="C760" s="93"/>
      <c r="I760" s="60"/>
      <c r="J760" s="93"/>
      <c r="K760" s="93"/>
    </row>
    <row r="761">
      <c r="C761" s="93"/>
      <c r="I761" s="60"/>
      <c r="J761" s="93"/>
      <c r="K761" s="93"/>
    </row>
    <row r="762">
      <c r="C762" s="93"/>
      <c r="I762" s="60"/>
      <c r="J762" s="93"/>
      <c r="K762" s="93"/>
    </row>
    <row r="763">
      <c r="C763" s="93"/>
      <c r="I763" s="60"/>
      <c r="J763" s="93"/>
      <c r="K763" s="93"/>
    </row>
    <row r="764">
      <c r="C764" s="93"/>
      <c r="I764" s="60"/>
      <c r="J764" s="93"/>
      <c r="K764" s="93"/>
    </row>
    <row r="765">
      <c r="C765" s="93"/>
      <c r="I765" s="60"/>
      <c r="J765" s="93"/>
      <c r="K765" s="93"/>
    </row>
    <row r="766">
      <c r="C766" s="93"/>
      <c r="I766" s="60"/>
      <c r="J766" s="93"/>
      <c r="K766" s="93"/>
    </row>
    <row r="767">
      <c r="C767" s="93"/>
      <c r="I767" s="60"/>
      <c r="J767" s="93"/>
      <c r="K767" s="93"/>
    </row>
    <row r="768">
      <c r="C768" s="93"/>
      <c r="I768" s="60"/>
      <c r="J768" s="93"/>
      <c r="K768" s="93"/>
    </row>
    <row r="769">
      <c r="C769" s="93"/>
      <c r="I769" s="60"/>
      <c r="J769" s="93"/>
      <c r="K769" s="93"/>
    </row>
    <row r="770">
      <c r="C770" s="93"/>
      <c r="I770" s="60"/>
      <c r="J770" s="93"/>
      <c r="K770" s="93"/>
    </row>
    <row r="771">
      <c r="C771" s="93"/>
      <c r="I771" s="60"/>
      <c r="J771" s="93"/>
      <c r="K771" s="93"/>
    </row>
    <row r="772">
      <c r="C772" s="93"/>
      <c r="I772" s="60"/>
      <c r="J772" s="93"/>
      <c r="K772" s="93"/>
    </row>
    <row r="773">
      <c r="C773" s="93"/>
      <c r="I773" s="60"/>
      <c r="J773" s="93"/>
      <c r="K773" s="93"/>
    </row>
    <row r="774">
      <c r="C774" s="93"/>
      <c r="I774" s="60"/>
      <c r="J774" s="93"/>
      <c r="K774" s="93"/>
    </row>
    <row r="775">
      <c r="C775" s="93"/>
      <c r="I775" s="60"/>
      <c r="J775" s="93"/>
      <c r="K775" s="93"/>
    </row>
    <row r="776">
      <c r="C776" s="93"/>
      <c r="I776" s="60"/>
      <c r="J776" s="93"/>
      <c r="K776" s="93"/>
    </row>
    <row r="777">
      <c r="C777" s="93"/>
      <c r="I777" s="60"/>
      <c r="J777" s="93"/>
      <c r="K777" s="93"/>
    </row>
    <row r="778">
      <c r="C778" s="93"/>
      <c r="I778" s="60"/>
      <c r="J778" s="93"/>
      <c r="K778" s="93"/>
    </row>
    <row r="779">
      <c r="C779" s="93"/>
      <c r="I779" s="60"/>
      <c r="J779" s="93"/>
      <c r="K779" s="93"/>
    </row>
    <row r="780">
      <c r="C780" s="93"/>
      <c r="I780" s="60"/>
      <c r="J780" s="93"/>
      <c r="K780" s="93"/>
    </row>
    <row r="781">
      <c r="C781" s="93"/>
      <c r="I781" s="60"/>
      <c r="J781" s="93"/>
      <c r="K781" s="93"/>
    </row>
    <row r="782">
      <c r="C782" s="93"/>
      <c r="I782" s="60"/>
      <c r="J782" s="93"/>
      <c r="K782" s="93"/>
    </row>
    <row r="783">
      <c r="C783" s="93"/>
      <c r="I783" s="60"/>
      <c r="J783" s="93"/>
      <c r="K783" s="93"/>
    </row>
    <row r="784">
      <c r="C784" s="93"/>
      <c r="I784" s="60"/>
      <c r="J784" s="93"/>
      <c r="K784" s="93"/>
    </row>
    <row r="785">
      <c r="C785" s="93"/>
      <c r="I785" s="60"/>
      <c r="J785" s="93"/>
      <c r="K785" s="93"/>
    </row>
    <row r="786">
      <c r="C786" s="93"/>
      <c r="I786" s="60"/>
      <c r="J786" s="93"/>
      <c r="K786" s="93"/>
    </row>
    <row r="787">
      <c r="C787" s="93"/>
      <c r="I787" s="60"/>
      <c r="J787" s="93"/>
      <c r="K787" s="93"/>
    </row>
    <row r="788">
      <c r="C788" s="93"/>
      <c r="I788" s="60"/>
      <c r="J788" s="93"/>
      <c r="K788" s="93"/>
    </row>
    <row r="789">
      <c r="C789" s="93"/>
      <c r="I789" s="60"/>
      <c r="J789" s="93"/>
      <c r="K789" s="93"/>
    </row>
    <row r="790">
      <c r="C790" s="93"/>
      <c r="I790" s="60"/>
      <c r="J790" s="93"/>
      <c r="K790" s="93"/>
    </row>
    <row r="791">
      <c r="C791" s="93"/>
      <c r="I791" s="60"/>
      <c r="J791" s="93"/>
      <c r="K791" s="93"/>
    </row>
    <row r="792">
      <c r="C792" s="93"/>
      <c r="I792" s="60"/>
      <c r="J792" s="93"/>
      <c r="K792" s="93"/>
    </row>
    <row r="793">
      <c r="C793" s="93"/>
      <c r="I793" s="60"/>
      <c r="J793" s="93"/>
      <c r="K793" s="93"/>
    </row>
    <row r="794">
      <c r="C794" s="93"/>
      <c r="I794" s="60"/>
      <c r="J794" s="93"/>
      <c r="K794" s="93"/>
    </row>
    <row r="795">
      <c r="C795" s="93"/>
      <c r="I795" s="60"/>
      <c r="J795" s="93"/>
      <c r="K795" s="93"/>
    </row>
    <row r="796">
      <c r="C796" s="93"/>
      <c r="I796" s="60"/>
      <c r="J796" s="93"/>
      <c r="K796" s="93"/>
    </row>
    <row r="797">
      <c r="C797" s="93"/>
      <c r="I797" s="60"/>
      <c r="J797" s="93"/>
      <c r="K797" s="93"/>
    </row>
    <row r="798">
      <c r="C798" s="93"/>
      <c r="I798" s="60"/>
      <c r="J798" s="93"/>
      <c r="K798" s="93"/>
    </row>
    <row r="799">
      <c r="C799" s="93"/>
      <c r="I799" s="60"/>
      <c r="J799" s="93"/>
      <c r="K799" s="93"/>
    </row>
    <row r="800">
      <c r="C800" s="93"/>
      <c r="I800" s="60"/>
      <c r="J800" s="93"/>
      <c r="K800" s="93"/>
    </row>
    <row r="801">
      <c r="C801" s="93"/>
      <c r="I801" s="60"/>
      <c r="J801" s="93"/>
      <c r="K801" s="93"/>
    </row>
    <row r="802">
      <c r="C802" s="93"/>
      <c r="I802" s="60"/>
      <c r="J802" s="93"/>
      <c r="K802" s="93"/>
    </row>
    <row r="803">
      <c r="C803" s="93"/>
      <c r="I803" s="60"/>
      <c r="J803" s="93"/>
      <c r="K803" s="93"/>
    </row>
    <row r="804">
      <c r="C804" s="93"/>
      <c r="I804" s="60"/>
      <c r="J804" s="93"/>
      <c r="K804" s="93"/>
    </row>
    <row r="805">
      <c r="C805" s="93"/>
      <c r="I805" s="60"/>
      <c r="J805" s="93"/>
      <c r="K805" s="93"/>
    </row>
    <row r="806">
      <c r="C806" s="93"/>
      <c r="I806" s="60"/>
      <c r="J806" s="93"/>
      <c r="K806" s="93"/>
    </row>
    <row r="807">
      <c r="C807" s="93"/>
      <c r="I807" s="60"/>
      <c r="J807" s="93"/>
      <c r="K807" s="93"/>
    </row>
    <row r="808">
      <c r="C808" s="93"/>
      <c r="I808" s="60"/>
      <c r="J808" s="93"/>
      <c r="K808" s="93"/>
    </row>
    <row r="809">
      <c r="C809" s="93"/>
      <c r="I809" s="60"/>
      <c r="J809" s="93"/>
      <c r="K809" s="93"/>
    </row>
    <row r="810">
      <c r="C810" s="93"/>
      <c r="I810" s="60"/>
      <c r="J810" s="93"/>
      <c r="K810" s="93"/>
    </row>
    <row r="811">
      <c r="C811" s="93"/>
      <c r="I811" s="60"/>
      <c r="J811" s="93"/>
      <c r="K811" s="93"/>
    </row>
    <row r="812">
      <c r="C812" s="93"/>
      <c r="I812" s="60"/>
      <c r="J812" s="93"/>
      <c r="K812" s="93"/>
    </row>
    <row r="813">
      <c r="C813" s="93"/>
      <c r="I813" s="60"/>
      <c r="J813" s="93"/>
      <c r="K813" s="93"/>
    </row>
    <row r="814">
      <c r="C814" s="93"/>
      <c r="I814" s="60"/>
      <c r="J814" s="93"/>
      <c r="K814" s="93"/>
    </row>
    <row r="815">
      <c r="C815" s="93"/>
      <c r="I815" s="60"/>
      <c r="J815" s="93"/>
      <c r="K815" s="93"/>
    </row>
    <row r="816">
      <c r="C816" s="93"/>
      <c r="I816" s="60"/>
      <c r="J816" s="93"/>
      <c r="K816" s="93"/>
    </row>
    <row r="817">
      <c r="C817" s="93"/>
      <c r="I817" s="60"/>
      <c r="J817" s="93"/>
      <c r="K817" s="93"/>
    </row>
    <row r="818">
      <c r="C818" s="93"/>
      <c r="I818" s="60"/>
      <c r="J818" s="93"/>
      <c r="K818" s="93"/>
    </row>
    <row r="819">
      <c r="C819" s="93"/>
      <c r="I819" s="60"/>
      <c r="J819" s="93"/>
      <c r="K819" s="93"/>
    </row>
    <row r="820">
      <c r="C820" s="93"/>
      <c r="I820" s="60"/>
      <c r="J820" s="93"/>
      <c r="K820" s="93"/>
    </row>
    <row r="821">
      <c r="C821" s="93"/>
      <c r="I821" s="60"/>
      <c r="J821" s="93"/>
      <c r="K821" s="93"/>
    </row>
    <row r="822">
      <c r="C822" s="93"/>
      <c r="I822" s="60"/>
      <c r="J822" s="93"/>
      <c r="K822" s="93"/>
    </row>
    <row r="823">
      <c r="C823" s="93"/>
      <c r="I823" s="60"/>
      <c r="J823" s="93"/>
      <c r="K823" s="93"/>
    </row>
    <row r="824">
      <c r="C824" s="93"/>
      <c r="I824" s="60"/>
      <c r="J824" s="93"/>
      <c r="K824" s="93"/>
    </row>
    <row r="825">
      <c r="C825" s="93"/>
      <c r="I825" s="60"/>
      <c r="J825" s="93"/>
      <c r="K825" s="93"/>
    </row>
    <row r="826">
      <c r="C826" s="93"/>
      <c r="I826" s="60"/>
      <c r="J826" s="93"/>
      <c r="K826" s="93"/>
    </row>
    <row r="827">
      <c r="C827" s="93"/>
      <c r="I827" s="60"/>
      <c r="J827" s="93"/>
      <c r="K827" s="93"/>
    </row>
    <row r="828">
      <c r="C828" s="93"/>
      <c r="I828" s="60"/>
      <c r="J828" s="93"/>
      <c r="K828" s="93"/>
    </row>
    <row r="829">
      <c r="C829" s="93"/>
      <c r="I829" s="60"/>
      <c r="J829" s="93"/>
      <c r="K829" s="93"/>
    </row>
    <row r="830">
      <c r="C830" s="93"/>
      <c r="I830" s="60"/>
      <c r="J830" s="93"/>
      <c r="K830" s="93"/>
    </row>
    <row r="831">
      <c r="C831" s="93"/>
      <c r="I831" s="60"/>
      <c r="J831" s="93"/>
      <c r="K831" s="93"/>
    </row>
    <row r="832">
      <c r="C832" s="93"/>
      <c r="I832" s="60"/>
      <c r="J832" s="93"/>
      <c r="K832" s="93"/>
    </row>
    <row r="833">
      <c r="C833" s="93"/>
      <c r="I833" s="60"/>
      <c r="J833" s="93"/>
      <c r="K833" s="93"/>
    </row>
    <row r="834">
      <c r="C834" s="93"/>
      <c r="I834" s="60"/>
      <c r="J834" s="93"/>
      <c r="K834" s="93"/>
    </row>
    <row r="835">
      <c r="C835" s="93"/>
      <c r="I835" s="60"/>
      <c r="J835" s="93"/>
      <c r="K835" s="93"/>
    </row>
    <row r="836">
      <c r="C836" s="93"/>
      <c r="I836" s="60"/>
      <c r="J836" s="93"/>
      <c r="K836" s="93"/>
    </row>
    <row r="837">
      <c r="C837" s="93"/>
      <c r="I837" s="60"/>
      <c r="J837" s="93"/>
      <c r="K837" s="93"/>
    </row>
    <row r="838">
      <c r="C838" s="93"/>
      <c r="I838" s="60"/>
      <c r="J838" s="93"/>
      <c r="K838" s="93"/>
    </row>
    <row r="839">
      <c r="C839" s="93"/>
      <c r="I839" s="60"/>
      <c r="J839" s="93"/>
      <c r="K839" s="93"/>
    </row>
    <row r="840">
      <c r="C840" s="93"/>
      <c r="I840" s="60"/>
      <c r="J840" s="93"/>
      <c r="K840" s="93"/>
    </row>
    <row r="841">
      <c r="C841" s="93"/>
      <c r="I841" s="60"/>
      <c r="J841" s="93"/>
      <c r="K841" s="93"/>
    </row>
    <row r="842">
      <c r="C842" s="93"/>
      <c r="I842" s="60"/>
      <c r="J842" s="93"/>
      <c r="K842" s="93"/>
    </row>
    <row r="843">
      <c r="C843" s="93"/>
      <c r="I843" s="60"/>
      <c r="J843" s="93"/>
      <c r="K843" s="93"/>
    </row>
    <row r="844">
      <c r="C844" s="93"/>
      <c r="I844" s="60"/>
      <c r="J844" s="93"/>
      <c r="K844" s="93"/>
    </row>
    <row r="845">
      <c r="C845" s="93"/>
      <c r="I845" s="60"/>
      <c r="J845" s="93"/>
      <c r="K845" s="93"/>
    </row>
    <row r="846">
      <c r="C846" s="93"/>
      <c r="I846" s="60"/>
      <c r="J846" s="93"/>
      <c r="K846" s="93"/>
    </row>
    <row r="847">
      <c r="C847" s="93"/>
      <c r="I847" s="60"/>
      <c r="J847" s="93"/>
      <c r="K847" s="93"/>
    </row>
    <row r="848">
      <c r="C848" s="93"/>
      <c r="I848" s="60"/>
      <c r="J848" s="93"/>
      <c r="K848" s="93"/>
    </row>
    <row r="849">
      <c r="C849" s="93"/>
      <c r="I849" s="60"/>
      <c r="J849" s="93"/>
      <c r="K849" s="93"/>
    </row>
    <row r="850">
      <c r="C850" s="93"/>
      <c r="I850" s="60"/>
      <c r="J850" s="93"/>
      <c r="K850" s="93"/>
    </row>
    <row r="851">
      <c r="C851" s="93"/>
      <c r="I851" s="60"/>
      <c r="J851" s="93"/>
      <c r="K851" s="93"/>
    </row>
    <row r="852">
      <c r="C852" s="93"/>
      <c r="I852" s="60"/>
      <c r="J852" s="93"/>
      <c r="K852" s="93"/>
    </row>
    <row r="853">
      <c r="C853" s="93"/>
      <c r="I853" s="60"/>
      <c r="J853" s="93"/>
      <c r="K853" s="93"/>
    </row>
    <row r="854">
      <c r="C854" s="93"/>
      <c r="I854" s="60"/>
      <c r="J854" s="93"/>
      <c r="K854" s="93"/>
    </row>
    <row r="855">
      <c r="C855" s="93"/>
      <c r="I855" s="60"/>
      <c r="J855" s="93"/>
      <c r="K855" s="93"/>
    </row>
    <row r="856">
      <c r="C856" s="93"/>
      <c r="I856" s="60"/>
      <c r="J856" s="93"/>
      <c r="K856" s="93"/>
    </row>
    <row r="857">
      <c r="C857" s="93"/>
      <c r="I857" s="60"/>
      <c r="J857" s="93"/>
      <c r="K857" s="93"/>
    </row>
    <row r="858">
      <c r="C858" s="93"/>
      <c r="I858" s="60"/>
      <c r="J858" s="93"/>
      <c r="K858" s="93"/>
    </row>
    <row r="859">
      <c r="C859" s="93"/>
      <c r="I859" s="60"/>
      <c r="J859" s="93"/>
      <c r="K859" s="93"/>
    </row>
    <row r="860">
      <c r="C860" s="93"/>
      <c r="I860" s="60"/>
      <c r="J860" s="93"/>
      <c r="K860" s="93"/>
    </row>
    <row r="861">
      <c r="C861" s="93"/>
      <c r="I861" s="60"/>
      <c r="J861" s="93"/>
      <c r="K861" s="93"/>
    </row>
    <row r="862">
      <c r="C862" s="93"/>
      <c r="I862" s="60"/>
      <c r="J862" s="93"/>
      <c r="K862" s="93"/>
    </row>
    <row r="863">
      <c r="C863" s="93"/>
      <c r="I863" s="60"/>
      <c r="J863" s="93"/>
      <c r="K863" s="93"/>
    </row>
    <row r="864">
      <c r="C864" s="93"/>
      <c r="I864" s="60"/>
      <c r="J864" s="93"/>
      <c r="K864" s="93"/>
    </row>
    <row r="865">
      <c r="C865" s="93"/>
      <c r="I865" s="60"/>
      <c r="J865" s="93"/>
      <c r="K865" s="93"/>
    </row>
    <row r="866">
      <c r="C866" s="93"/>
      <c r="I866" s="60"/>
      <c r="J866" s="93"/>
      <c r="K866" s="93"/>
    </row>
    <row r="867">
      <c r="C867" s="93"/>
      <c r="I867" s="60"/>
      <c r="J867" s="93"/>
      <c r="K867" s="93"/>
    </row>
    <row r="868">
      <c r="C868" s="93"/>
      <c r="I868" s="60"/>
      <c r="J868" s="93"/>
      <c r="K868" s="93"/>
    </row>
    <row r="869">
      <c r="C869" s="93"/>
      <c r="I869" s="60"/>
      <c r="J869" s="93"/>
      <c r="K869" s="93"/>
    </row>
    <row r="870">
      <c r="C870" s="93"/>
      <c r="I870" s="60"/>
      <c r="J870" s="93"/>
      <c r="K870" s="93"/>
    </row>
    <row r="871">
      <c r="C871" s="93"/>
      <c r="I871" s="60"/>
      <c r="J871" s="93"/>
      <c r="K871" s="93"/>
    </row>
    <row r="872">
      <c r="C872" s="93"/>
      <c r="I872" s="60"/>
      <c r="J872" s="93"/>
      <c r="K872" s="93"/>
    </row>
    <row r="873">
      <c r="C873" s="93"/>
      <c r="I873" s="60"/>
      <c r="J873" s="93"/>
      <c r="K873" s="93"/>
    </row>
    <row r="874">
      <c r="C874" s="93"/>
      <c r="I874" s="60"/>
      <c r="J874" s="93"/>
      <c r="K874" s="93"/>
    </row>
    <row r="875">
      <c r="C875" s="93"/>
      <c r="I875" s="60"/>
      <c r="J875" s="93"/>
      <c r="K875" s="93"/>
    </row>
    <row r="876">
      <c r="C876" s="93"/>
      <c r="I876" s="60"/>
      <c r="J876" s="93"/>
      <c r="K876" s="93"/>
    </row>
    <row r="877">
      <c r="C877" s="93"/>
      <c r="I877" s="60"/>
      <c r="J877" s="93"/>
      <c r="K877" s="93"/>
    </row>
    <row r="878">
      <c r="C878" s="93"/>
      <c r="I878" s="60"/>
      <c r="J878" s="93"/>
      <c r="K878" s="93"/>
    </row>
    <row r="879">
      <c r="C879" s="93"/>
      <c r="I879" s="60"/>
      <c r="J879" s="93"/>
      <c r="K879" s="93"/>
    </row>
    <row r="880">
      <c r="C880" s="93"/>
      <c r="I880" s="60"/>
      <c r="J880" s="93"/>
      <c r="K880" s="93"/>
    </row>
    <row r="881">
      <c r="C881" s="93"/>
      <c r="I881" s="60"/>
      <c r="J881" s="93"/>
      <c r="K881" s="93"/>
    </row>
    <row r="882">
      <c r="C882" s="93"/>
      <c r="I882" s="60"/>
      <c r="J882" s="93"/>
      <c r="K882" s="93"/>
    </row>
    <row r="883">
      <c r="C883" s="93"/>
      <c r="I883" s="60"/>
      <c r="J883" s="93"/>
      <c r="K883" s="93"/>
    </row>
    <row r="884">
      <c r="C884" s="93"/>
      <c r="I884" s="60"/>
      <c r="J884" s="93"/>
      <c r="K884" s="93"/>
    </row>
    <row r="885">
      <c r="C885" s="93"/>
      <c r="I885" s="60"/>
      <c r="J885" s="93"/>
      <c r="K885" s="93"/>
    </row>
    <row r="886">
      <c r="C886" s="93"/>
      <c r="I886" s="60"/>
      <c r="J886" s="93"/>
      <c r="K886" s="93"/>
    </row>
    <row r="887">
      <c r="C887" s="93"/>
      <c r="I887" s="60"/>
      <c r="J887" s="93"/>
      <c r="K887" s="93"/>
    </row>
    <row r="888">
      <c r="C888" s="93"/>
      <c r="I888" s="60"/>
      <c r="J888" s="93"/>
      <c r="K888" s="93"/>
    </row>
    <row r="889">
      <c r="C889" s="93"/>
      <c r="I889" s="60"/>
      <c r="J889" s="93"/>
      <c r="K889" s="93"/>
    </row>
    <row r="890">
      <c r="C890" s="93"/>
      <c r="I890" s="60"/>
      <c r="J890" s="93"/>
      <c r="K890" s="93"/>
    </row>
    <row r="891">
      <c r="C891" s="93"/>
      <c r="I891" s="60"/>
      <c r="J891" s="93"/>
      <c r="K891" s="93"/>
    </row>
    <row r="892">
      <c r="C892" s="93"/>
      <c r="I892" s="60"/>
      <c r="J892" s="93"/>
      <c r="K892" s="93"/>
    </row>
    <row r="893">
      <c r="C893" s="93"/>
      <c r="I893" s="60"/>
      <c r="J893" s="93"/>
      <c r="K893" s="93"/>
    </row>
    <row r="894">
      <c r="C894" s="93"/>
      <c r="I894" s="60"/>
      <c r="J894" s="93"/>
      <c r="K894" s="93"/>
    </row>
    <row r="895">
      <c r="C895" s="93"/>
      <c r="I895" s="60"/>
      <c r="J895" s="93"/>
      <c r="K895" s="93"/>
    </row>
    <row r="896">
      <c r="C896" s="93"/>
      <c r="I896" s="60"/>
      <c r="J896" s="93"/>
      <c r="K896" s="93"/>
    </row>
    <row r="897">
      <c r="C897" s="93"/>
      <c r="I897" s="60"/>
      <c r="J897" s="93"/>
      <c r="K897" s="93"/>
    </row>
    <row r="898">
      <c r="C898" s="93"/>
      <c r="I898" s="60"/>
      <c r="J898" s="93"/>
      <c r="K898" s="93"/>
    </row>
    <row r="899">
      <c r="C899" s="93"/>
      <c r="I899" s="60"/>
      <c r="J899" s="93"/>
      <c r="K899" s="93"/>
    </row>
    <row r="900">
      <c r="C900" s="93"/>
      <c r="I900" s="60"/>
      <c r="J900" s="93"/>
      <c r="K900" s="93"/>
    </row>
    <row r="901">
      <c r="C901" s="93"/>
      <c r="I901" s="60"/>
      <c r="J901" s="93"/>
      <c r="K901" s="93"/>
    </row>
    <row r="902">
      <c r="C902" s="93"/>
      <c r="I902" s="60"/>
      <c r="J902" s="93"/>
      <c r="K902" s="93"/>
    </row>
    <row r="903">
      <c r="C903" s="93"/>
      <c r="I903" s="60"/>
      <c r="J903" s="93"/>
      <c r="K903" s="93"/>
    </row>
    <row r="904">
      <c r="C904" s="93"/>
      <c r="I904" s="60"/>
      <c r="J904" s="93"/>
      <c r="K904" s="93"/>
    </row>
    <row r="905">
      <c r="C905" s="93"/>
      <c r="I905" s="60"/>
      <c r="J905" s="93"/>
      <c r="K905" s="93"/>
    </row>
    <row r="906">
      <c r="C906" s="93"/>
      <c r="I906" s="60"/>
      <c r="J906" s="93"/>
      <c r="K906" s="93"/>
    </row>
    <row r="907">
      <c r="C907" s="93"/>
      <c r="I907" s="60"/>
      <c r="J907" s="93"/>
      <c r="K907" s="93"/>
    </row>
    <row r="908">
      <c r="C908" s="93"/>
      <c r="I908" s="60"/>
      <c r="J908" s="93"/>
      <c r="K908" s="93"/>
    </row>
    <row r="909">
      <c r="C909" s="93"/>
      <c r="I909" s="60"/>
      <c r="J909" s="93"/>
      <c r="K909" s="93"/>
    </row>
    <row r="910">
      <c r="C910" s="93"/>
      <c r="I910" s="60"/>
      <c r="J910" s="93"/>
      <c r="K910" s="93"/>
    </row>
    <row r="911">
      <c r="C911" s="93"/>
      <c r="I911" s="60"/>
      <c r="J911" s="93"/>
      <c r="K911" s="93"/>
    </row>
    <row r="912">
      <c r="C912" s="93"/>
      <c r="I912" s="60"/>
      <c r="J912" s="93"/>
      <c r="K912" s="93"/>
    </row>
    <row r="913">
      <c r="C913" s="93"/>
      <c r="I913" s="60"/>
      <c r="J913" s="93"/>
      <c r="K913" s="93"/>
    </row>
    <row r="914">
      <c r="C914" s="93"/>
      <c r="I914" s="60"/>
      <c r="J914" s="93"/>
      <c r="K914" s="93"/>
    </row>
    <row r="915">
      <c r="C915" s="93"/>
      <c r="I915" s="60"/>
      <c r="J915" s="93"/>
      <c r="K915" s="93"/>
    </row>
    <row r="916">
      <c r="C916" s="93"/>
      <c r="I916" s="60"/>
      <c r="J916" s="93"/>
      <c r="K916" s="93"/>
    </row>
    <row r="917">
      <c r="C917" s="93"/>
      <c r="I917" s="60"/>
      <c r="J917" s="93"/>
      <c r="K917" s="93"/>
    </row>
    <row r="918">
      <c r="C918" s="93"/>
      <c r="I918" s="60"/>
      <c r="J918" s="93"/>
      <c r="K918" s="93"/>
    </row>
    <row r="919">
      <c r="C919" s="93"/>
      <c r="I919" s="60"/>
      <c r="J919" s="93"/>
      <c r="K919" s="93"/>
    </row>
    <row r="920">
      <c r="C920" s="93"/>
      <c r="I920" s="60"/>
      <c r="J920" s="93"/>
      <c r="K920" s="93"/>
    </row>
    <row r="921">
      <c r="C921" s="93"/>
      <c r="I921" s="60"/>
      <c r="J921" s="93"/>
      <c r="K921" s="93"/>
    </row>
    <row r="922">
      <c r="C922" s="93"/>
      <c r="I922" s="60"/>
      <c r="J922" s="93"/>
      <c r="K922" s="93"/>
    </row>
    <row r="923">
      <c r="C923" s="93"/>
      <c r="I923" s="60"/>
      <c r="J923" s="93"/>
      <c r="K923" s="93"/>
    </row>
    <row r="924">
      <c r="C924" s="93"/>
      <c r="I924" s="60"/>
      <c r="J924" s="93"/>
      <c r="K924" s="93"/>
    </row>
    <row r="925">
      <c r="C925" s="93"/>
      <c r="I925" s="60"/>
      <c r="J925" s="93"/>
      <c r="K925" s="93"/>
    </row>
    <row r="926">
      <c r="C926" s="93"/>
      <c r="I926" s="60"/>
      <c r="J926" s="93"/>
      <c r="K926" s="93"/>
    </row>
    <row r="927">
      <c r="C927" s="93"/>
      <c r="I927" s="60"/>
      <c r="J927" s="93"/>
      <c r="K927" s="93"/>
    </row>
    <row r="928">
      <c r="C928" s="93"/>
      <c r="I928" s="60"/>
      <c r="J928" s="93"/>
      <c r="K928" s="93"/>
    </row>
    <row r="929">
      <c r="C929" s="93"/>
      <c r="I929" s="60"/>
      <c r="J929" s="93"/>
      <c r="K929" s="93"/>
    </row>
    <row r="930">
      <c r="C930" s="93"/>
      <c r="I930" s="60"/>
      <c r="J930" s="93"/>
      <c r="K930" s="93"/>
    </row>
    <row r="931">
      <c r="C931" s="93"/>
      <c r="I931" s="60"/>
      <c r="J931" s="93"/>
      <c r="K931" s="93"/>
    </row>
    <row r="932">
      <c r="C932" s="93"/>
      <c r="I932" s="60"/>
      <c r="J932" s="93"/>
      <c r="K932" s="93"/>
    </row>
    <row r="933">
      <c r="C933" s="93"/>
      <c r="I933" s="60"/>
      <c r="J933" s="93"/>
      <c r="K933" s="93"/>
    </row>
    <row r="934">
      <c r="C934" s="93"/>
      <c r="I934" s="60"/>
      <c r="J934" s="93"/>
      <c r="K934" s="93"/>
    </row>
    <row r="935">
      <c r="C935" s="93"/>
      <c r="I935" s="60"/>
      <c r="J935" s="93"/>
      <c r="K935" s="93"/>
    </row>
    <row r="936">
      <c r="C936" s="93"/>
      <c r="I936" s="60"/>
      <c r="J936" s="93"/>
      <c r="K936" s="93"/>
    </row>
    <row r="937">
      <c r="C937" s="93"/>
      <c r="I937" s="60"/>
      <c r="J937" s="93"/>
      <c r="K937" s="93"/>
    </row>
    <row r="938">
      <c r="C938" s="93"/>
      <c r="I938" s="60"/>
      <c r="J938" s="93"/>
      <c r="K938" s="93"/>
    </row>
    <row r="939">
      <c r="C939" s="93"/>
      <c r="I939" s="60"/>
      <c r="J939" s="93"/>
      <c r="K939" s="93"/>
    </row>
    <row r="940">
      <c r="C940" s="93"/>
      <c r="I940" s="60"/>
      <c r="J940" s="93"/>
      <c r="K940" s="93"/>
    </row>
    <row r="941">
      <c r="C941" s="93"/>
      <c r="I941" s="60"/>
      <c r="J941" s="93"/>
      <c r="K941" s="93"/>
    </row>
    <row r="942">
      <c r="C942" s="93"/>
      <c r="I942" s="60"/>
      <c r="J942" s="93"/>
      <c r="K942" s="93"/>
    </row>
    <row r="943">
      <c r="C943" s="93"/>
      <c r="I943" s="60"/>
      <c r="J943" s="93"/>
      <c r="K943" s="93"/>
    </row>
    <row r="944">
      <c r="C944" s="93"/>
      <c r="I944" s="60"/>
      <c r="J944" s="93"/>
      <c r="K944" s="93"/>
    </row>
    <row r="945">
      <c r="C945" s="93"/>
      <c r="I945" s="60"/>
      <c r="J945" s="93"/>
      <c r="K945" s="93"/>
    </row>
    <row r="946">
      <c r="C946" s="93"/>
      <c r="I946" s="60"/>
      <c r="J946" s="93"/>
      <c r="K946" s="93"/>
    </row>
    <row r="947">
      <c r="C947" s="93"/>
      <c r="I947" s="60"/>
      <c r="J947" s="93"/>
      <c r="K947" s="93"/>
    </row>
    <row r="948">
      <c r="C948" s="93"/>
      <c r="I948" s="60"/>
      <c r="J948" s="93"/>
      <c r="K948" s="93"/>
    </row>
    <row r="949">
      <c r="C949" s="93"/>
      <c r="I949" s="60"/>
      <c r="J949" s="93"/>
      <c r="K949" s="93"/>
    </row>
    <row r="950">
      <c r="C950" s="93"/>
      <c r="I950" s="60"/>
      <c r="J950" s="93"/>
      <c r="K950" s="93"/>
    </row>
    <row r="951">
      <c r="C951" s="93"/>
      <c r="I951" s="60"/>
      <c r="J951" s="93"/>
      <c r="K951" s="93"/>
    </row>
    <row r="952">
      <c r="C952" s="93"/>
      <c r="I952" s="60"/>
      <c r="J952" s="93"/>
      <c r="K952" s="93"/>
    </row>
    <row r="953">
      <c r="C953" s="93"/>
      <c r="I953" s="60"/>
      <c r="J953" s="93"/>
      <c r="K953" s="93"/>
    </row>
    <row r="954">
      <c r="C954" s="93"/>
      <c r="I954" s="60"/>
      <c r="J954" s="93"/>
      <c r="K954" s="93"/>
    </row>
    <row r="955">
      <c r="C955" s="93"/>
      <c r="I955" s="60"/>
      <c r="J955" s="93"/>
      <c r="K955" s="93"/>
    </row>
    <row r="956">
      <c r="C956" s="93"/>
      <c r="I956" s="60"/>
      <c r="J956" s="93"/>
      <c r="K956" s="93"/>
    </row>
    <row r="957">
      <c r="C957" s="93"/>
      <c r="I957" s="60"/>
      <c r="J957" s="93"/>
      <c r="K957" s="93"/>
    </row>
    <row r="958">
      <c r="C958" s="93"/>
      <c r="I958" s="60"/>
      <c r="J958" s="93"/>
      <c r="K958" s="93"/>
    </row>
    <row r="959">
      <c r="C959" s="93"/>
      <c r="I959" s="60"/>
      <c r="J959" s="93"/>
      <c r="K959" s="93"/>
    </row>
    <row r="960">
      <c r="C960" s="93"/>
      <c r="I960" s="60"/>
      <c r="J960" s="93"/>
      <c r="K960" s="93"/>
    </row>
    <row r="961">
      <c r="C961" s="93"/>
      <c r="I961" s="60"/>
      <c r="J961" s="93"/>
      <c r="K961" s="93"/>
    </row>
    <row r="962">
      <c r="C962" s="93"/>
      <c r="I962" s="60"/>
      <c r="J962" s="93"/>
      <c r="K962" s="93"/>
    </row>
    <row r="963">
      <c r="C963" s="93"/>
      <c r="I963" s="60"/>
      <c r="J963" s="93"/>
      <c r="K963" s="93"/>
    </row>
    <row r="964">
      <c r="C964" s="93"/>
      <c r="I964" s="60"/>
      <c r="J964" s="93"/>
      <c r="K964" s="93"/>
    </row>
    <row r="965">
      <c r="C965" s="93"/>
      <c r="I965" s="60"/>
      <c r="J965" s="93"/>
      <c r="K965" s="93"/>
    </row>
    <row r="966">
      <c r="C966" s="93"/>
      <c r="I966" s="60"/>
      <c r="J966" s="93"/>
      <c r="K966" s="93"/>
    </row>
    <row r="967">
      <c r="C967" s="93"/>
      <c r="I967" s="60"/>
      <c r="J967" s="93"/>
      <c r="K967" s="93"/>
    </row>
    <row r="968">
      <c r="C968" s="93"/>
      <c r="I968" s="60"/>
      <c r="J968" s="93"/>
      <c r="K968" s="93"/>
    </row>
    <row r="969">
      <c r="C969" s="93"/>
      <c r="I969" s="60"/>
      <c r="J969" s="93"/>
      <c r="K969" s="93"/>
    </row>
    <row r="970">
      <c r="C970" s="93"/>
      <c r="I970" s="60"/>
      <c r="J970" s="93"/>
      <c r="K970" s="93"/>
    </row>
    <row r="971">
      <c r="C971" s="93"/>
      <c r="I971" s="60"/>
      <c r="J971" s="93"/>
      <c r="K971" s="93"/>
    </row>
    <row r="972">
      <c r="C972" s="93"/>
      <c r="I972" s="60"/>
      <c r="J972" s="93"/>
      <c r="K972" s="93"/>
    </row>
    <row r="973">
      <c r="C973" s="93"/>
      <c r="I973" s="60"/>
      <c r="J973" s="93"/>
      <c r="K973" s="93"/>
    </row>
    <row r="974">
      <c r="C974" s="93"/>
      <c r="I974" s="60"/>
      <c r="J974" s="93"/>
      <c r="K974" s="93"/>
    </row>
    <row r="975">
      <c r="C975" s="93"/>
      <c r="I975" s="60"/>
      <c r="J975" s="93"/>
      <c r="K975" s="93"/>
    </row>
    <row r="976">
      <c r="C976" s="93"/>
      <c r="I976" s="60"/>
      <c r="J976" s="93"/>
      <c r="K976" s="93"/>
    </row>
    <row r="977">
      <c r="C977" s="93"/>
      <c r="I977" s="60"/>
      <c r="J977" s="93"/>
      <c r="K977" s="93"/>
    </row>
    <row r="978">
      <c r="C978" s="93"/>
      <c r="I978" s="60"/>
      <c r="J978" s="93"/>
      <c r="K978" s="93"/>
    </row>
    <row r="979">
      <c r="C979" s="93"/>
      <c r="I979" s="60"/>
      <c r="J979" s="93"/>
      <c r="K979" s="93"/>
    </row>
    <row r="980">
      <c r="C980" s="93"/>
      <c r="I980" s="60"/>
      <c r="J980" s="93"/>
      <c r="K980" s="93"/>
    </row>
    <row r="981">
      <c r="C981" s="93"/>
      <c r="I981" s="60"/>
      <c r="J981" s="93"/>
      <c r="K981" s="93"/>
    </row>
    <row r="982">
      <c r="C982" s="93"/>
      <c r="I982" s="60"/>
      <c r="J982" s="93"/>
      <c r="K982" s="93"/>
    </row>
    <row r="983">
      <c r="C983" s="93"/>
      <c r="I983" s="60"/>
      <c r="J983" s="93"/>
      <c r="K983" s="93"/>
    </row>
    <row r="984">
      <c r="C984" s="93"/>
      <c r="I984" s="60"/>
      <c r="J984" s="93"/>
      <c r="K984" s="93"/>
    </row>
    <row r="985">
      <c r="C985" s="93"/>
      <c r="I985" s="60"/>
      <c r="J985" s="93"/>
      <c r="K985" s="93"/>
    </row>
    <row r="986">
      <c r="C986" s="93"/>
      <c r="I986" s="60"/>
      <c r="J986" s="93"/>
      <c r="K986" s="93"/>
    </row>
    <row r="987">
      <c r="C987" s="93"/>
      <c r="I987" s="60"/>
      <c r="J987" s="93"/>
      <c r="K987" s="93"/>
    </row>
    <row r="988">
      <c r="C988" s="93"/>
      <c r="I988" s="60"/>
      <c r="J988" s="93"/>
      <c r="K988" s="93"/>
    </row>
    <row r="989">
      <c r="C989" s="93"/>
      <c r="I989" s="60"/>
      <c r="J989" s="93"/>
      <c r="K989" s="93"/>
    </row>
    <row r="990">
      <c r="C990" s="93"/>
      <c r="I990" s="60"/>
      <c r="J990" s="93"/>
      <c r="K990" s="93"/>
    </row>
    <row r="991">
      <c r="C991" s="93"/>
      <c r="I991" s="60"/>
      <c r="J991" s="93"/>
      <c r="K991" s="93"/>
    </row>
    <row r="992">
      <c r="C992" s="93"/>
      <c r="I992" s="60"/>
      <c r="J992" s="93"/>
      <c r="K992" s="93"/>
    </row>
    <row r="993">
      <c r="C993" s="93"/>
      <c r="I993" s="60"/>
      <c r="J993" s="93"/>
      <c r="K993" s="93"/>
    </row>
    <row r="994">
      <c r="C994" s="93"/>
      <c r="I994" s="60"/>
      <c r="J994" s="93"/>
      <c r="K994" s="93"/>
    </row>
    <row r="995">
      <c r="C995" s="93"/>
      <c r="I995" s="60"/>
      <c r="J995" s="93"/>
      <c r="K995" s="93"/>
    </row>
    <row r="996">
      <c r="C996" s="93"/>
      <c r="I996" s="60"/>
      <c r="J996" s="93"/>
      <c r="K996" s="93"/>
    </row>
    <row r="997">
      <c r="C997" s="93"/>
      <c r="I997" s="60"/>
      <c r="J997" s="93"/>
      <c r="K997" s="93"/>
    </row>
    <row r="998">
      <c r="C998" s="93"/>
      <c r="I998" s="60"/>
      <c r="J998" s="93"/>
      <c r="K998" s="93"/>
    </row>
    <row r="999">
      <c r="C999" s="93"/>
      <c r="I999" s="60"/>
      <c r="J999" s="93"/>
      <c r="K999" s="93"/>
    </row>
    <row r="1000">
      <c r="C1000" s="93"/>
      <c r="I1000" s="60"/>
      <c r="J1000" s="93"/>
      <c r="K1000" s="93"/>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71" t="s">
        <v>0</v>
      </c>
      <c r="B1" s="172" t="s">
        <v>1</v>
      </c>
      <c r="C1" s="164" t="s">
        <v>3</v>
      </c>
      <c r="D1" s="172" t="s">
        <v>1691</v>
      </c>
      <c r="E1" s="172" t="s">
        <v>4</v>
      </c>
      <c r="F1" s="172" t="s">
        <v>6</v>
      </c>
      <c r="G1" s="164" t="s">
        <v>7</v>
      </c>
      <c r="H1" s="164" t="s">
        <v>8</v>
      </c>
      <c r="I1" s="165" t="s">
        <v>9</v>
      </c>
      <c r="J1" s="166" t="s">
        <v>10</v>
      </c>
    </row>
    <row r="2">
      <c r="A2" s="20" t="s">
        <v>1692</v>
      </c>
      <c r="B2" s="173" t="s">
        <v>1693</v>
      </c>
      <c r="C2" s="57" t="s">
        <v>1653</v>
      </c>
      <c r="D2" s="43"/>
      <c r="E2" s="43" t="s">
        <v>1694</v>
      </c>
      <c r="F2" s="55" t="s">
        <v>1695</v>
      </c>
      <c r="G2" s="57">
        <v>1.0</v>
      </c>
      <c r="H2" s="57" t="s">
        <v>98</v>
      </c>
      <c r="I2" s="57" t="s">
        <v>69</v>
      </c>
    </row>
    <row r="3">
      <c r="A3" s="43" t="s">
        <v>1696</v>
      </c>
      <c r="B3" s="173" t="s">
        <v>1693</v>
      </c>
      <c r="C3" s="57" t="s">
        <v>35</v>
      </c>
      <c r="D3" s="43" t="s">
        <v>1697</v>
      </c>
      <c r="E3" s="174" t="s">
        <v>1698</v>
      </c>
      <c r="F3" s="55" t="s">
        <v>1695</v>
      </c>
      <c r="G3" s="57">
        <v>1.0</v>
      </c>
      <c r="H3" s="57" t="s">
        <v>56</v>
      </c>
      <c r="I3" s="57" t="s">
        <v>39</v>
      </c>
    </row>
    <row r="4">
      <c r="A4" s="43" t="s">
        <v>1699</v>
      </c>
      <c r="B4" s="173" t="s">
        <v>1693</v>
      </c>
      <c r="C4" s="57" t="s">
        <v>1700</v>
      </c>
      <c r="D4" s="43" t="s">
        <v>1697</v>
      </c>
      <c r="E4" s="43" t="s">
        <v>1701</v>
      </c>
      <c r="F4" s="55" t="s">
        <v>1695</v>
      </c>
      <c r="G4" s="57">
        <v>3.0</v>
      </c>
      <c r="H4" s="57" t="s">
        <v>227</v>
      </c>
      <c r="I4" s="57" t="s">
        <v>69</v>
      </c>
    </row>
    <row r="5">
      <c r="A5" s="43" t="s">
        <v>1702</v>
      </c>
      <c r="B5" s="175" t="s">
        <v>1693</v>
      </c>
      <c r="C5" s="57" t="s">
        <v>77</v>
      </c>
      <c r="D5" s="43" t="s">
        <v>1703</v>
      </c>
      <c r="E5" s="43" t="s">
        <v>1704</v>
      </c>
      <c r="F5" s="55" t="s">
        <v>1695</v>
      </c>
      <c r="G5" s="57">
        <v>5.0</v>
      </c>
      <c r="H5" s="57" t="s">
        <v>1705</v>
      </c>
      <c r="I5" s="57" t="s">
        <v>39</v>
      </c>
    </row>
    <row r="6">
      <c r="A6" s="32" t="s">
        <v>1706</v>
      </c>
      <c r="B6" s="176" t="s">
        <v>1707</v>
      </c>
      <c r="C6" s="64" t="s">
        <v>411</v>
      </c>
      <c r="D6" s="32"/>
      <c r="E6" s="32" t="s">
        <v>1708</v>
      </c>
      <c r="F6" s="34" t="s">
        <v>1695</v>
      </c>
      <c r="G6" s="64">
        <v>0.0</v>
      </c>
      <c r="H6" s="64" t="s">
        <v>1709</v>
      </c>
      <c r="I6" s="64" t="s">
        <v>39</v>
      </c>
    </row>
    <row r="7">
      <c r="A7" s="43" t="s">
        <v>1710</v>
      </c>
      <c r="B7" s="177" t="s">
        <v>1707</v>
      </c>
      <c r="C7" s="57" t="s">
        <v>1653</v>
      </c>
      <c r="D7" s="43"/>
      <c r="E7" s="43" t="s">
        <v>1711</v>
      </c>
      <c r="F7" s="55" t="s">
        <v>1695</v>
      </c>
      <c r="G7" s="57">
        <v>3.0</v>
      </c>
      <c r="H7" s="57" t="s">
        <v>1712</v>
      </c>
      <c r="I7" s="57" t="s">
        <v>69</v>
      </c>
    </row>
    <row r="8">
      <c r="A8" s="43" t="s">
        <v>1713</v>
      </c>
      <c r="B8" s="177" t="s">
        <v>1707</v>
      </c>
      <c r="C8" s="57" t="s">
        <v>411</v>
      </c>
      <c r="D8" s="43"/>
      <c r="E8" s="43" t="s">
        <v>1714</v>
      </c>
      <c r="F8" s="55" t="s">
        <v>1695</v>
      </c>
      <c r="G8" s="57">
        <v>4.0</v>
      </c>
      <c r="H8" s="57" t="s">
        <v>461</v>
      </c>
      <c r="I8" s="57" t="s">
        <v>33</v>
      </c>
    </row>
    <row r="9">
      <c r="A9" s="43" t="s">
        <v>1715</v>
      </c>
      <c r="B9" s="177" t="s">
        <v>1707</v>
      </c>
      <c r="C9" s="57" t="s">
        <v>1653</v>
      </c>
      <c r="D9" s="43"/>
      <c r="E9" s="43" t="s">
        <v>1716</v>
      </c>
      <c r="F9" s="55" t="s">
        <v>1695</v>
      </c>
      <c r="G9" s="57">
        <v>5.0</v>
      </c>
      <c r="H9" s="57" t="s">
        <v>572</v>
      </c>
      <c r="I9" s="57" t="s">
        <v>39</v>
      </c>
    </row>
    <row r="10">
      <c r="A10" s="43" t="s">
        <v>458</v>
      </c>
      <c r="B10" s="176" t="s">
        <v>1707</v>
      </c>
      <c r="C10" s="64" t="s">
        <v>459</v>
      </c>
      <c r="D10" s="32"/>
      <c r="E10" s="32" t="s">
        <v>1717</v>
      </c>
      <c r="F10" s="34" t="s">
        <v>1695</v>
      </c>
      <c r="G10" s="64">
        <v>6.0</v>
      </c>
      <c r="H10" s="64" t="s">
        <v>1718</v>
      </c>
      <c r="I10" s="64" t="s">
        <v>69</v>
      </c>
    </row>
    <row r="11">
      <c r="A11" s="43"/>
      <c r="B11" s="178" t="s">
        <v>1719</v>
      </c>
      <c r="C11" s="57" t="s">
        <v>459</v>
      </c>
      <c r="D11" s="43"/>
      <c r="E11" s="43" t="s">
        <v>1720</v>
      </c>
      <c r="F11" s="55" t="s">
        <v>1695</v>
      </c>
      <c r="G11" s="57">
        <v>1.0</v>
      </c>
      <c r="H11" s="57" t="s">
        <v>1207</v>
      </c>
      <c r="I11" s="57" t="s">
        <v>39</v>
      </c>
    </row>
    <row r="12">
      <c r="A12" s="43" t="s">
        <v>1721</v>
      </c>
      <c r="B12" s="178" t="s">
        <v>1719</v>
      </c>
      <c r="C12" s="57" t="s">
        <v>459</v>
      </c>
      <c r="D12" s="43"/>
      <c r="E12" s="43" t="s">
        <v>1722</v>
      </c>
      <c r="F12" s="55" t="s">
        <v>1695</v>
      </c>
      <c r="G12" s="57">
        <v>2.0</v>
      </c>
      <c r="H12" s="57" t="s">
        <v>1184</v>
      </c>
      <c r="I12" s="57" t="s">
        <v>39</v>
      </c>
    </row>
    <row r="13">
      <c r="A13" s="43" t="s">
        <v>1723</v>
      </c>
      <c r="B13" s="178" t="s">
        <v>1719</v>
      </c>
      <c r="C13" s="57" t="s">
        <v>1724</v>
      </c>
      <c r="D13" s="43"/>
      <c r="E13" s="179" t="s">
        <v>1725</v>
      </c>
      <c r="F13" s="55" t="s">
        <v>1695</v>
      </c>
      <c r="G13" s="57">
        <v>3.0</v>
      </c>
      <c r="H13" s="57" t="s">
        <v>1207</v>
      </c>
      <c r="I13" s="57" t="s">
        <v>69</v>
      </c>
    </row>
    <row r="14">
      <c r="A14" s="32" t="s">
        <v>1726</v>
      </c>
      <c r="B14" s="180" t="s">
        <v>1719</v>
      </c>
      <c r="C14" s="57" t="s">
        <v>77</v>
      </c>
      <c r="D14" s="43"/>
      <c r="E14" s="43" t="s">
        <v>1727</v>
      </c>
      <c r="F14" s="55" t="s">
        <v>1695</v>
      </c>
      <c r="G14" s="57">
        <v>4.0</v>
      </c>
      <c r="H14" s="57" t="s">
        <v>1122</v>
      </c>
      <c r="I14" s="57" t="s">
        <v>33</v>
      </c>
    </row>
    <row r="15">
      <c r="A15" s="43" t="s">
        <v>1728</v>
      </c>
      <c r="B15" s="178" t="s">
        <v>1719</v>
      </c>
      <c r="C15" s="57" t="s">
        <v>1077</v>
      </c>
      <c r="D15" s="43"/>
      <c r="E15" s="34" t="s">
        <v>1729</v>
      </c>
      <c r="F15" s="34" t="s">
        <v>1695</v>
      </c>
      <c r="G15" s="57">
        <v>6.0</v>
      </c>
      <c r="H15" s="57" t="s">
        <v>1730</v>
      </c>
      <c r="I15" s="57" t="s">
        <v>69</v>
      </c>
    </row>
    <row r="16">
      <c r="A16" s="20" t="s">
        <v>1731</v>
      </c>
      <c r="B16" s="86" t="s">
        <v>1719</v>
      </c>
      <c r="C16" s="19" t="s">
        <v>1732</v>
      </c>
      <c r="F16" s="20" t="s">
        <v>1695</v>
      </c>
      <c r="G16" s="93"/>
      <c r="I16" s="19" t="s">
        <v>39</v>
      </c>
    </row>
    <row r="17">
      <c r="A17" s="43" t="s">
        <v>1118</v>
      </c>
      <c r="B17" s="181" t="s">
        <v>1733</v>
      </c>
      <c r="C17" s="57" t="s">
        <v>44</v>
      </c>
      <c r="D17" s="43"/>
      <c r="E17" s="179" t="s">
        <v>1734</v>
      </c>
      <c r="F17" s="55" t="s">
        <v>1695</v>
      </c>
      <c r="G17" s="57">
        <v>1.0</v>
      </c>
      <c r="H17" s="57" t="s">
        <v>1735</v>
      </c>
      <c r="I17" s="57" t="s">
        <v>69</v>
      </c>
    </row>
    <row r="18">
      <c r="A18" s="43" t="s">
        <v>1736</v>
      </c>
      <c r="B18" s="181" t="s">
        <v>1733</v>
      </c>
      <c r="C18" s="57" t="s">
        <v>1353</v>
      </c>
      <c r="D18" s="43"/>
      <c r="E18" s="43" t="s">
        <v>1737</v>
      </c>
      <c r="F18" s="55" t="s">
        <v>1695</v>
      </c>
      <c r="G18" s="57">
        <v>1.0</v>
      </c>
      <c r="H18" s="57" t="s">
        <v>1738</v>
      </c>
      <c r="I18" s="57" t="s">
        <v>39</v>
      </c>
    </row>
    <row r="19">
      <c r="A19" s="10" t="s">
        <v>1739</v>
      </c>
      <c r="B19" s="70"/>
      <c r="C19" s="19"/>
      <c r="E19" s="20"/>
      <c r="F19" s="20" t="s">
        <v>1695</v>
      </c>
      <c r="G19" s="19"/>
      <c r="H19" s="19"/>
      <c r="I19" s="12"/>
    </row>
    <row r="20">
      <c r="A20" s="27" t="s">
        <v>1740</v>
      </c>
      <c r="B20" s="70" t="s">
        <v>1719</v>
      </c>
      <c r="C20" s="24" t="s">
        <v>364</v>
      </c>
      <c r="D20" s="10"/>
      <c r="E20" s="10" t="s">
        <v>1741</v>
      </c>
      <c r="F20" s="10"/>
      <c r="G20" s="12">
        <v>2.0</v>
      </c>
      <c r="H20" s="12" t="s">
        <v>1134</v>
      </c>
      <c r="I20" s="24" t="s">
        <v>33</v>
      </c>
    </row>
    <row r="21">
      <c r="A21" s="20" t="s">
        <v>1742</v>
      </c>
      <c r="B21" s="18" t="s">
        <v>1693</v>
      </c>
      <c r="C21" s="19" t="s">
        <v>35</v>
      </c>
      <c r="D21" s="20" t="s">
        <v>1743</v>
      </c>
      <c r="E21" s="20" t="s">
        <v>1744</v>
      </c>
      <c r="G21" s="19">
        <v>2.0</v>
      </c>
      <c r="I21" s="93"/>
    </row>
    <row r="22">
      <c r="A22" s="20" t="s">
        <v>1745</v>
      </c>
      <c r="B22" s="20" t="s">
        <v>1746</v>
      </c>
      <c r="C22" s="93"/>
      <c r="G22" s="93"/>
      <c r="I22" s="19" t="s">
        <v>69</v>
      </c>
    </row>
    <row r="23">
      <c r="A23" s="20" t="s">
        <v>1747</v>
      </c>
      <c r="B23" s="20" t="s">
        <v>1748</v>
      </c>
      <c r="C23" s="93"/>
      <c r="G23" s="93"/>
      <c r="I23" s="93"/>
    </row>
    <row r="24">
      <c r="A24" s="20" t="s">
        <v>1740</v>
      </c>
      <c r="B24" s="20" t="s">
        <v>1719</v>
      </c>
      <c r="C24" s="19"/>
      <c r="G24" s="19"/>
      <c r="H24" s="19"/>
      <c r="I24" s="19"/>
    </row>
    <row r="25">
      <c r="A25" s="20" t="s">
        <v>1749</v>
      </c>
      <c r="B25" s="86" t="s">
        <v>1719</v>
      </c>
      <c r="C25" s="19" t="s">
        <v>1750</v>
      </c>
      <c r="E25" s="20" t="s">
        <v>1751</v>
      </c>
      <c r="F25" s="20" t="s">
        <v>1364</v>
      </c>
      <c r="G25" s="19">
        <v>0.0</v>
      </c>
      <c r="H25" s="19" t="s">
        <v>1158</v>
      </c>
      <c r="I25" s="19" t="s">
        <v>33</v>
      </c>
    </row>
    <row r="26">
      <c r="A26" s="20" t="s">
        <v>1752</v>
      </c>
    </row>
    <row r="27">
      <c r="C27" s="93"/>
      <c r="E27" s="20" t="s">
        <v>1753</v>
      </c>
    </row>
    <row r="28">
      <c r="E28" s="20" t="s">
        <v>1754</v>
      </c>
    </row>
    <row r="29">
      <c r="E29" s="20" t="s">
        <v>1755</v>
      </c>
    </row>
    <row r="30">
      <c r="E30" s="20" t="s">
        <v>1756</v>
      </c>
    </row>
    <row r="31">
      <c r="E31" s="20" t="s">
        <v>1757</v>
      </c>
    </row>
    <row r="32">
      <c r="E32" s="20" t="s">
        <v>1758</v>
      </c>
    </row>
    <row r="33">
      <c r="E33" s="20" t="s">
        <v>1759</v>
      </c>
    </row>
    <row r="34">
      <c r="E34" s="20" t="s">
        <v>1760</v>
      </c>
    </row>
    <row r="35">
      <c r="A35" s="20" t="s">
        <v>1761</v>
      </c>
      <c r="B35" s="77" t="s">
        <v>1585</v>
      </c>
      <c r="C35" s="12" t="s">
        <v>1762</v>
      </c>
      <c r="D35" s="27"/>
      <c r="E35" s="10" t="s">
        <v>1763</v>
      </c>
      <c r="F35" s="10" t="s">
        <v>700</v>
      </c>
      <c r="G35" s="12">
        <v>2.0</v>
      </c>
      <c r="H35" s="12" t="s">
        <v>943</v>
      </c>
      <c r="I35" s="12" t="s">
        <v>69</v>
      </c>
    </row>
    <row r="36">
      <c r="A36" s="20" t="s">
        <v>1764</v>
      </c>
      <c r="B36" s="76" t="s">
        <v>1585</v>
      </c>
      <c r="C36" s="19" t="s">
        <v>1653</v>
      </c>
      <c r="D36" s="20" t="s">
        <v>31</v>
      </c>
      <c r="F36" s="19">
        <v>2.0</v>
      </c>
      <c r="G36" s="19" t="s">
        <v>916</v>
      </c>
      <c r="H36" s="19" t="s">
        <v>69</v>
      </c>
    </row>
    <row r="37">
      <c r="A37" s="43" t="s">
        <v>1118</v>
      </c>
      <c r="B37" s="20" t="s">
        <v>1765</v>
      </c>
      <c r="C37" s="20" t="s">
        <v>44</v>
      </c>
      <c r="D37" s="20" t="s">
        <v>1766</v>
      </c>
      <c r="F37" s="19">
        <v>0.0</v>
      </c>
      <c r="G37" s="19" t="s">
        <v>1098</v>
      </c>
      <c r="H37" s="19" t="s">
        <v>69</v>
      </c>
      <c r="I37" s="20" t="s">
        <v>1767</v>
      </c>
    </row>
    <row r="38">
      <c r="E38" s="20" t="s">
        <v>1768</v>
      </c>
    </row>
    <row r="39">
      <c r="E39" s="20" t="s">
        <v>1769</v>
      </c>
    </row>
    <row r="42">
      <c r="D42" s="14" t="s">
        <v>1753</v>
      </c>
    </row>
    <row r="43">
      <c r="D43" s="14" t="s">
        <v>1754</v>
      </c>
    </row>
    <row r="44">
      <c r="D44" s="14" t="s">
        <v>1755</v>
      </c>
    </row>
    <row r="45">
      <c r="D45" s="14" t="s">
        <v>1756</v>
      </c>
    </row>
    <row r="46">
      <c r="D46" s="14" t="s">
        <v>1757</v>
      </c>
    </row>
    <row r="47">
      <c r="D47" s="20" t="s">
        <v>1770</v>
      </c>
    </row>
    <row r="48">
      <c r="D48" s="20" t="s">
        <v>1771</v>
      </c>
    </row>
    <row r="49">
      <c r="D49" s="20" t="s">
        <v>1772</v>
      </c>
    </row>
    <row r="53">
      <c r="D53" s="20" t="s">
        <v>1773</v>
      </c>
    </row>
    <row r="54">
      <c r="D54" s="20" t="s">
        <v>1774</v>
      </c>
    </row>
    <row r="55">
      <c r="D55" s="20" t="s">
        <v>1670</v>
      </c>
    </row>
    <row r="56">
      <c r="A56" s="20" t="s">
        <v>1775</v>
      </c>
      <c r="D56" s="20" t="s">
        <v>1776</v>
      </c>
    </row>
    <row r="57">
      <c r="D57" s="20" t="s">
        <v>1777</v>
      </c>
    </row>
    <row r="58">
      <c r="A58" s="20" t="s">
        <v>1778</v>
      </c>
      <c r="D58" s="20" t="s">
        <v>1779</v>
      </c>
    </row>
    <row r="59">
      <c r="A59" s="20" t="s">
        <v>1683</v>
      </c>
      <c r="D59" s="20" t="s">
        <v>1684</v>
      </c>
    </row>
    <row r="62">
      <c r="D62" s="20" t="s">
        <v>1780</v>
      </c>
    </row>
    <row r="63">
      <c r="D63" s="20" t="s">
        <v>1781</v>
      </c>
    </row>
    <row r="65">
      <c r="D65" s="20" t="s">
        <v>1782</v>
      </c>
    </row>
    <row r="67">
      <c r="D67" s="20" t="s">
        <v>1783</v>
      </c>
    </row>
    <row r="68">
      <c r="D68" s="20" t="s">
        <v>1784</v>
      </c>
    </row>
    <row r="69">
      <c r="B69" s="20" t="s">
        <v>1785</v>
      </c>
    </row>
    <row r="71">
      <c r="D71" s="20" t="s">
        <v>1786</v>
      </c>
    </row>
    <row r="72">
      <c r="A72" s="20" t="s">
        <v>1787</v>
      </c>
      <c r="D72" s="20" t="s">
        <v>1788</v>
      </c>
    </row>
    <row r="73">
      <c r="D73" s="20" t="s">
        <v>1789</v>
      </c>
    </row>
    <row r="74">
      <c r="D74" s="20" t="s">
        <v>1790</v>
      </c>
    </row>
    <row r="75">
      <c r="A75" s="20" t="s">
        <v>1103</v>
      </c>
      <c r="D75" s="20" t="s">
        <v>1791</v>
      </c>
    </row>
    <row r="76">
      <c r="D76" s="20" t="s">
        <v>1792</v>
      </c>
    </row>
    <row r="77">
      <c r="D77" s="20" t="s">
        <v>1793</v>
      </c>
    </row>
    <row r="78">
      <c r="D78" s="20" t="s">
        <v>1794</v>
      </c>
    </row>
    <row r="79">
      <c r="D79" s="20" t="s">
        <v>1795</v>
      </c>
    </row>
    <row r="80">
      <c r="D80" s="20" t="s">
        <v>1796</v>
      </c>
    </row>
    <row r="81">
      <c r="D81" s="20" t="s">
        <v>1797</v>
      </c>
    </row>
    <row r="82">
      <c r="D82" s="20" t="s">
        <v>1798</v>
      </c>
    </row>
    <row r="84">
      <c r="D84" s="20" t="s">
        <v>1799</v>
      </c>
    </row>
    <row r="86">
      <c r="D86" s="20" t="s">
        <v>1800</v>
      </c>
    </row>
    <row r="87">
      <c r="D87" s="20" t="s">
        <v>1801</v>
      </c>
    </row>
    <row r="88">
      <c r="D88" s="20" t="s">
        <v>1802</v>
      </c>
    </row>
    <row r="89">
      <c r="D89" s="20" t="s">
        <v>1803</v>
      </c>
    </row>
    <row r="90">
      <c r="D90" s="20" t="s">
        <v>1804</v>
      </c>
    </row>
    <row r="91">
      <c r="D91" s="20" t="s">
        <v>1805</v>
      </c>
    </row>
    <row r="93">
      <c r="D93" s="20" t="s">
        <v>1806</v>
      </c>
    </row>
    <row r="94">
      <c r="D94" s="20" t="s">
        <v>1807</v>
      </c>
    </row>
    <row r="95">
      <c r="E95" s="20" t="s">
        <v>1808</v>
      </c>
    </row>
    <row r="96">
      <c r="D96" s="20" t="s">
        <v>1809</v>
      </c>
    </row>
    <row r="97">
      <c r="D97" s="20" t="s">
        <v>1810</v>
      </c>
    </row>
    <row r="98">
      <c r="A98" s="20" t="s">
        <v>1811</v>
      </c>
      <c r="D98" s="20" t="s">
        <v>1812</v>
      </c>
    </row>
    <row r="99">
      <c r="D99" s="34" t="s">
        <v>1625</v>
      </c>
    </row>
    <row r="100">
      <c r="D100" s="20" t="s">
        <v>1813</v>
      </c>
    </row>
    <row r="101">
      <c r="A101" s="20" t="s">
        <v>1814</v>
      </c>
      <c r="D101" s="20" t="s">
        <v>1815</v>
      </c>
    </row>
    <row r="102">
      <c r="D102" s="182" t="s">
        <v>1816</v>
      </c>
    </row>
    <row r="103">
      <c r="E103" s="20" t="s">
        <v>1817</v>
      </c>
    </row>
    <row r="104">
      <c r="A104" s="20" t="s">
        <v>1818</v>
      </c>
      <c r="E104" s="20" t="s">
        <v>1819</v>
      </c>
    </row>
    <row r="105">
      <c r="E105" s="20" t="s">
        <v>1820</v>
      </c>
    </row>
    <row r="106">
      <c r="A106" s="27"/>
      <c r="B106" s="20" t="s">
        <v>1821</v>
      </c>
      <c r="D106" s="20" t="s">
        <v>1822</v>
      </c>
      <c r="F106" s="10"/>
      <c r="G106" s="10"/>
      <c r="H106" s="10"/>
      <c r="I106" s="183"/>
      <c r="J106" s="12"/>
      <c r="K106" s="184"/>
      <c r="L106" s="24"/>
    </row>
    <row r="107">
      <c r="A107" s="20" t="s">
        <v>1823</v>
      </c>
      <c r="I107" s="20" t="s">
        <v>39</v>
      </c>
    </row>
  </sheetData>
  <drawing r:id="rId1"/>
</worksheet>
</file>