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drawingml.chart+xml" PartName="/xl/charts/chart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ards" sheetId="1" r:id="rId4"/>
    <sheet state="visible" name="Artworks" sheetId="2" r:id="rId5"/>
    <sheet state="visible" name="Statistik" sheetId="3" r:id="rId6"/>
    <sheet state="visible" name="Vorthos" sheetId="4" r:id="rId7"/>
    <sheet state="visible" name="Extended Card Stats" sheetId="5" r:id="rId8"/>
    <sheet state="visible" name="Metadata" sheetId="6" r:id="rId9"/>
    <sheet state="visible" name="Starter Decks" sheetId="7" r:id="rId10"/>
    <sheet state="visible" name="Gemischte Tüte" sheetId="8" r:id="rId11"/>
  </sheets>
  <definedNames>
    <definedName hidden="1" localSheetId="0" name="_xlnm._FilterDatabase">Cards!$A$1:$T$987</definedName>
    <definedName hidden="1" localSheetId="6" name="_xlnm._FilterDatabase">'Starter Decks'!$D$1:$O$89</definedName>
  </definedNames>
  <calcPr/>
</workbook>
</file>

<file path=xl/sharedStrings.xml><?xml version="1.0" encoding="utf-8"?>
<sst xmlns="http://schemas.openxmlformats.org/spreadsheetml/2006/main" count="6886" uniqueCount="2982">
  <si>
    <t>Name</t>
  </si>
  <si>
    <t>Realms</t>
  </si>
  <si>
    <t>Set</t>
  </si>
  <si>
    <t>Types</t>
  </si>
  <si>
    <t>Text</t>
  </si>
  <si>
    <t>Flavortext</t>
  </si>
  <si>
    <t>Power</t>
  </si>
  <si>
    <t>Costs</t>
  </si>
  <si>
    <t>Rarity</t>
  </si>
  <si>
    <t>Prompt</t>
  </si>
  <si>
    <t>Artwork 1</t>
  </si>
  <si>
    <t>Artwork 2</t>
  </si>
  <si>
    <t>Artwork 3</t>
  </si>
  <si>
    <t>Artwork 4</t>
  </si>
  <si>
    <t>Artwork 5</t>
  </si>
  <si>
    <t>Artwork 6</t>
  </si>
  <si>
    <t>Artwork 7</t>
  </si>
  <si>
    <t>Artwork 8</t>
  </si>
  <si>
    <t>Artwork 9</t>
  </si>
  <si>
    <t>Artwork 10</t>
  </si>
  <si>
    <t>Aethergolem</t>
  </si>
  <si>
    <t>Divine</t>
  </si>
  <si>
    <t>Construct Wizard</t>
  </si>
  <si>
    <t>Ascend: Construct.</t>
  </si>
  <si>
    <t>Ascend</t>
  </si>
  <si>
    <t>D</t>
  </si>
  <si>
    <t>Common</t>
  </si>
  <si>
    <t>Alabaster Exarch</t>
  </si>
  <si>
    <t>Angel</t>
  </si>
  <si>
    <t>Deploy: Cleanse all Units in this Lane.</t>
  </si>
  <si>
    <t xml:space="preserve">Purge the Dark. Leave behind purest light. </t>
  </si>
  <si>
    <t>D, D, ?, ?, ?</t>
  </si>
  <si>
    <t>Rare</t>
  </si>
  <si>
    <t>Alabaster Exarch, historical and mythical art style, colorful, angel, judging, pearl white, serene, white pearl skin, ceramical mask</t>
  </si>
  <si>
    <t>https://alpha.midjourney.com/jobs/7c7b4c53-2f2b-49df-a6bf-37f29b9e5746?index=3</t>
  </si>
  <si>
    <t>https://alpha.midjourney.com/jobs/db52578b-cf61-4cc6-b730-21e3bd1752ce?index=3</t>
  </si>
  <si>
    <t>Ascendant Faithweaver</t>
  </si>
  <si>
    <t>Human</t>
  </si>
  <si>
    <t>Ascend: Divine. When this ascends, glimpse 2.</t>
  </si>
  <si>
    <t>Avenging Force</t>
  </si>
  <si>
    <t>Angel Warrior</t>
  </si>
  <si>
    <t>Conquer: Each Player buries one of their Units in the conquered Lane.</t>
  </si>
  <si>
    <t>There is no mercy for the damned.</t>
  </si>
  <si>
    <t>Avenging force, historical and mythical art style, colorful, angel, armored, warlike, red wings, calling down a beam of heavenly light from his hand</t>
  </si>
  <si>
    <t>https://alpha.midjourney.com/jobs/22993c97-4c0e-4b20-b61e-0765854b1d0c?index=2</t>
  </si>
  <si>
    <t>Baby Lamassu</t>
  </si>
  <si>
    <t>Angel Construct</t>
  </si>
  <si>
    <t>Deploy: Gain Taunt. Crystallize: This and a friendly Crystal gain Crystalborn.</t>
  </si>
  <si>
    <t>Though young in form, its spirit carries the weight of mystical skies and the innocence of cherished memories</t>
  </si>
  <si>
    <t>D, D, ?</t>
  </si>
  <si>
    <t>lamassu, cute baby, made of living stone, lion head, winged, cow like, small, historical and mythical art style, colorful, cute, adorable</t>
  </si>
  <si>
    <t>https://alpha.midjourney.com/jobs/b1e88fda-7d3b-4302-b0b0-4eee0012e193?index=1</t>
  </si>
  <si>
    <t>Blackmarble Gargoyle</t>
  </si>
  <si>
    <t>Construct Dragon</t>
  </si>
  <si>
    <t>Deploy: Gain Taunt.</t>
  </si>
  <si>
    <t>Birthed from obsidian skies, this divine Beast hungers not for reverence, but for blood.</t>
  </si>
  <si>
    <t>D, D, ?, ?, ?, ?</t>
  </si>
  <si>
    <t>black marble gargoyle, snaking around a large tower, large, threatening, dragonic, stone creature, made of living stone, historical and mythical art style, colorful</t>
  </si>
  <si>
    <t>https://alpha.midjourney.com/jobs/a408d92c-6e6e-4d30-93ad-e526a5c9555f?index=3</t>
  </si>
  <si>
    <t>Chronosand Sphinx</t>
  </si>
  <si>
    <t>Crystallize: Gain Crystalborn. Deploy: Every Player may return one of their Crystals to their Hand.</t>
  </si>
  <si>
    <t>Its gaze stretches into tomorrow, trapping foes in a slow dance of dwindling chances.</t>
  </si>
  <si>
    <t>Uncommon</t>
  </si>
  <si>
    <t>chronosand sphinx, leaning on a huge hourglass, blue glow, time magic, large, wise, thoughtful, sandstone creature, made of stone, historical and mythical art style, colorful</t>
  </si>
  <si>
    <t>https://alpha.midjourney.com/jobs/8c6c5803-34bd-4238-bf4b-5436f269949d?index=3</t>
  </si>
  <si>
    <t>Crusader of the Desert Winds</t>
  </si>
  <si>
    <t>Crusader Spirit Warrior</t>
  </si>
  <si>
    <t>Deploy: Gains +1 Power for each adjacent enemy Unit of a different Realm.</t>
  </si>
  <si>
    <t>Drawing might from each new foe, his power echoes the desert's vastness.</t>
  </si>
  <si>
    <t>Cryptosphinx</t>
  </si>
  <si>
    <t>Construct</t>
  </si>
  <si>
    <t>Crystallize: Gain Crystalborn.</t>
  </si>
  <si>
    <t>To seek its counsel is to risk eternity in stone, trapped in a puzzle with no end.</t>
  </si>
  <si>
    <t>crypto sphinx, keeper of riddles and mysteries, purple glow, mind magic, large, wise, thoughtful, sandstone creature, made of stone, historical and mythical art style, colorful</t>
  </si>
  <si>
    <t>https://alpha.midjourney.com/jobs/250e747b-c7e8-4a5b-a483-65446cd307aa?index=2</t>
  </si>
  <si>
    <t>Damaged Automaton</t>
  </si>
  <si>
    <t>Construct Undead</t>
  </si>
  <si>
    <t>Deploy: Gain Ward.</t>
  </si>
  <si>
    <t>Though battered and bruised, even in decay it serves a purpose.</t>
  </si>
  <si>
    <t>damaged automaton, peaceful, falling apart, sitting in ancient egyptian workshop, using tools, trying to repair itself, ancient mechanical being, sandstone creature, made of stone, historical and mythical art style, colorful</t>
  </si>
  <si>
    <t>https://alpha.midjourney.com/jobs/3644d9f4-a154-4538-96ea-489d6da10cda?index=2</t>
  </si>
  <si>
    <t>Diviner of Fates</t>
  </si>
  <si>
    <t>Angel Wizard</t>
  </si>
  <si>
    <t>Deploy: Gain Ward. You may move an adjacent enemy Unit.</t>
  </si>
  <si>
    <t>Even the fate of gods is nothing but a game when you can see the future.</t>
  </si>
  <si>
    <t>D, ?, ?</t>
  </si>
  <si>
    <t>Diviner of fates, female, wearing temple garbs, ancient egyptian, historical and mythical art style, colorful, angel, pondering two magical orbs, mysticism, surrounded by colorful fog, in deep thought</t>
  </si>
  <si>
    <t>https://alpha.midjourney.com/jobs/9b1cd3ba-f0fb-43df-a5df-aa0555f184e0?index=0</t>
  </si>
  <si>
    <t>https://alpha.midjourney.com/jobs/7e6524d5-fc47-4a64-ac87-5ec5a5ddad4c?index=1</t>
  </si>
  <si>
    <t>https://alpha.midjourney.com/jobs/7e6524d5-fc47-4a64-ac87-5ec5a5ddad4c?index=3</t>
  </si>
  <si>
    <t>Doma Angel</t>
  </si>
  <si>
    <t>In her shadow, destiny is sealed.</t>
  </si>
  <si>
    <t>D, ?</t>
  </si>
  <si>
    <t>Dream traveler, historical and mythical art style, colorful, angel, mystical, unreal, dreamlike, semi transparent, weightless</t>
  </si>
  <si>
    <t>https://alpha.midjourney.com/jobs/e10bf9b3-3d4a-458c-b4e9-595c4cddd9bf?index=0</t>
  </si>
  <si>
    <t>https://alpha.midjourney.com/jobs/bf2b9797-ca47-418b-8b51-f73b166d794e?index=0</t>
  </si>
  <si>
    <t>Dove of Serenity</t>
  </si>
  <si>
    <t>Animal</t>
  </si>
  <si>
    <t>Whenever a friendly Divine Unit is deployed adjacently, gain +2 Power.</t>
  </si>
  <si>
    <t>Wherever it flutters, peace is sure to follow.</t>
  </si>
  <si>
    <t>peace dove, historical and mythical art style, colorful, blue sky, calm</t>
  </si>
  <si>
    <t>https://alpha.midjourney.com/jobs/bd138556-f391-44ec-ab68-5aa4b5a9f606?index=1</t>
  </si>
  <si>
    <t>Dream Traveler</t>
  </si>
  <si>
    <t>Deploy: This gains Ward. Crystallize: You may return a friendly Unit to your Hand.</t>
  </si>
  <si>
    <t>Bounce</t>
  </si>
  <si>
    <t>https://alpha.midjourney.com/jobs/1ae58892-c0c7-4cd2-b4f2-61e436a76acb?index=0</t>
  </si>
  <si>
    <t>Embalmed Apophis</t>
  </si>
  <si>
    <t>Animal Undead</t>
  </si>
  <si>
    <t>Ambush: Your Opponent conquered this Lane this Turn.</t>
  </si>
  <si>
    <t>Roused from ageless dreams, its bindings frayed but its purpose unyielding.</t>
  </si>
  <si>
    <t>D, D, D, ?, ?, ?</t>
  </si>
  <si>
    <t>embalmed Apophis, historical and mythical art style, in bandages, wrapped in bandages, decayed, mummy, ancient egyptian, undead snake</t>
  </si>
  <si>
    <t>https://alpha.midjourney.com/jobs/13499ec2-9a5a-4595-9ccd-fbcfe0fffeaf?index=0</t>
  </si>
  <si>
    <t>Feline Ushabti</t>
  </si>
  <si>
    <t>Animal Construct</t>
  </si>
  <si>
    <t>Crystallize: You may bury this to glimpse 2.</t>
  </si>
  <si>
    <t>In the moonlight, both statue and predator come to life.</t>
  </si>
  <si>
    <t>feline ushabti, historical and mythical art style, iceblue glowing eyes, little sandstone statue of a cat, ancient egyptian, mystical, magical</t>
  </si>
  <si>
    <t>https://alpha.midjourney.com/jobs/7b73514c-612c-4f7a-b7b0-8d03ff687646?index=1</t>
  </si>
  <si>
    <t>Guardian of the Gates</t>
  </si>
  <si>
    <t>Ally of Construct: All friendly Construct Units gain +1 Power.</t>
  </si>
  <si>
    <t>Dumb-Dumb, give Gum-Gum!</t>
  </si>
  <si>
    <t>guardian of the gates, green glowing eyes, historical and mythical art style, sandstone statue, ancient egyptian, golem guarding the gate of a city</t>
  </si>
  <si>
    <t>https://alpha.midjourney.com/jobs/13533eea-4c56-4787-a8d1-5b5de4d2fe40?index=0</t>
  </si>
  <si>
    <t>Guardian Angel</t>
  </si>
  <si>
    <t>Deploy: Gain Ward. Start of your Turn: You may bury this to unearth a friendly Unit. It gains Ward.</t>
  </si>
  <si>
    <t>Silent sentry of the skies, shielding the innocent with unseen wings.</t>
  </si>
  <si>
    <t>Hallowed Exorcist</t>
  </si>
  <si>
    <t>Human Hunter</t>
  </si>
  <si>
    <t>Deploy: Cleanse an adjacent Unit.</t>
  </si>
  <si>
    <t>His chants echo, a cleansing force against the encroaching darkness.</t>
  </si>
  <si>
    <t>hallowed excorcist, historical and mythical art style, iceblue glowing eyes, summoning incantation, desperate, surrounded by swirling shadows</t>
  </si>
  <si>
    <t>https://alpha.midjourney.com/jobs/fb9ad282-f768-4726-b79b-f40c11d0277b?index=3</t>
  </si>
  <si>
    <t>Harmonic Echo</t>
  </si>
  <si>
    <t>Angel Spirit</t>
  </si>
  <si>
    <t>Ally of Angel: This and an adjacent friendly Unit gain Ward and +1 Power.</t>
  </si>
  <si>
    <t>In its wake, a symphony lingers, resonating with the pulse of the divine.</t>
  </si>
  <si>
    <t>D, D, ?, ?</t>
  </si>
  <si>
    <t>harmonic echo, historical and mythical art style, serene, peaceful, calm, happy, angel playing harp, ancient greek</t>
  </si>
  <si>
    <t>https://alpha.midjourney.com/jobs/2fb88f6b-7b37-40f3-9ddf-e46da64b9024?index=2</t>
  </si>
  <si>
    <t>Ibis Ushabti</t>
  </si>
  <si>
    <t>Crystallize: You may bury this to draw a Card.</t>
  </si>
  <si>
    <t>Crafted in reverence, it bridges the realms of past pharaohs and present souls.</t>
  </si>
  <si>
    <t>ibis ushabti, historical and mythical art style, iceblue glowing eyes, little sandstone statue of an ibis, ancient egyptian, mystical, magical</t>
  </si>
  <si>
    <t>https://alpha.midjourney.com/jobs/10569df3-af61-474e-9997-08b1211eac4b?index=3</t>
  </si>
  <si>
    <t>Herald of Eternal Grace</t>
  </si>
  <si>
    <t>Crystallize: Unleash &lt;D&gt;&lt;D&gt;&lt;D&gt;: Cleanse a Unit or give a Unit Ward.</t>
  </si>
  <si>
    <t>????????</t>
  </si>
  <si>
    <t>Maze Master Sphinx</t>
  </si>
  <si>
    <t>Deploy: Crystallize the top Construct of your Deck. Shuffle your deck.</t>
  </si>
  <si>
    <t>Guardian of ancient secrets, it diverts its endless watch with games woven from wisdom and whimsy.</t>
  </si>
  <si>
    <t>maze master sphinx, historical and mythical art style, greenish-blue glowing eyes, sandstone sphinx, ancient egyptian, mystical, magical, in a maze, wise, huge blocks of sandstone levitating around sphinx, ancient age</t>
  </si>
  <si>
    <t>https://alpha.midjourney.com/jobs/9ccceaff-97a6-4625-9bea-6567b85c04ef?index=0</t>
  </si>
  <si>
    <t>Ivoryscar Cursewing</t>
  </si>
  <si>
    <t>Crystallize: Draw the top Angel of your Deck. Shuffle your Deck. Put a Card from your Hand under your Deck.</t>
  </si>
  <si>
    <t xml:space="preserve">His tainted feathers guide seekers to the forbidden knowledge that one can only find in the equilibrium of extremes. </t>
  </si>
  <si>
    <t>Ivoryscar Magistrate</t>
  </si>
  <si>
    <t>Start of your Turn: You may bury a friendly Angel Unit to bury an adjacent enemy Unit.</t>
  </si>
  <si>
    <t>The gavel strikes with the weight of lost souls, his justice as dark as the void.</t>
  </si>
  <si>
    <t>Kylix of Excess</t>
  </si>
  <si>
    <t>Construct Demon</t>
  </si>
  <si>
    <t xml:space="preserve">Ascend: Void. Crystallize: Gain Crystalborn. When this ascends, draw two Cards. </t>
  </si>
  <si>
    <t>Ascend, Artifact</t>
  </si>
  <si>
    <t>Mystic Puzzle Box</t>
  </si>
  <si>
    <t>Crystallize: Draw a Card for each other friendly Construct Crystal.</t>
  </si>
  <si>
    <t>An enigmatic artifact that ensnares curiosity, rewarding those who unravel its secrets with forbidden knowledge.</t>
  </si>
  <si>
    <t>D, D, ?, ?, ?, ?, ?</t>
  </si>
  <si>
    <t>mystic puzzle box, historical and mythical art style, hazy fog, sandstone, ancient egyptian, mystical, magical, brass, bronze, ancient age, floating in room</t>
  </si>
  <si>
    <t>https://alpha.midjourney.com/jobs/0cf0be47-c57f-4feb-84e6-1790219ba54b?index=0</t>
  </si>
  <si>
    <t>Monolith of Meditation</t>
  </si>
  <si>
    <t>Deploy and Conquer: Cleanse a Unit in this Lane.</t>
  </si>
  <si>
    <t>Unmoving and serene, it stands as a testament to the quiet power of thought over turmoil.</t>
  </si>
  <si>
    <t>D, ?, ?, ?, ?, ?</t>
  </si>
  <si>
    <t>Oasis Sprite</t>
  </si>
  <si>
    <t>Angel Plant</t>
  </si>
  <si>
    <t>Crystallize: Gain Crystalborn. Deploy: Draw a Card.</t>
  </si>
  <si>
    <t>From her touch, the desert blooms and weary travelers find respite.</t>
  </si>
  <si>
    <t>ancient egyptian oasis plant angel with palm tree wings, historical and mythical art style, colorful, sitting on a chiseled sandstone block at a pond, lush and green palm trees in background, calm, meditating</t>
  </si>
  <si>
    <t>https://alpha.midjourney.com/jobs/16fb7678-58aa-43f4-976c-6411d373341c?index=1</t>
  </si>
  <si>
    <t>Pharaoh's Bodyguard</t>
  </si>
  <si>
    <t>Undead Warrior</t>
  </si>
  <si>
    <t>Ally of Divine: Gain Taunt.</t>
  </si>
  <si>
    <t>He laid down his life once; now he stands guard forever.</t>
  </si>
  <si>
    <t>Pharao's bodyguard, historical and mythical art style, ancient egyptian, heavily armored elite guard mummy warrior, ancient age, lapislazuli deathmask, wrapped in bandages, holding a khopesh</t>
  </si>
  <si>
    <t>https://alpha.midjourney.com/jobs/4e1424fd-a4dd-430d-b5db-da68488eb78a?index=0</t>
  </si>
  <si>
    <t>Scripture Monkey</t>
  </si>
  <si>
    <t>Deploy: Choose one: - Gain +1 Power for each Card in your Hand. - Glimpse 2, then draw a Card.</t>
  </si>
  <si>
    <t>Ancient texts become playthings, yet through its eyes, the profound and playful are one.</t>
  </si>
  <si>
    <t>scripture monkey, historical and mythical art style, monkey writing in an ancient tome</t>
  </si>
  <si>
    <t>https://alpha.midjourney.com/jobs/3321903a-a303-44ee-8b5d-3487bd693fa9?index=3</t>
  </si>
  <si>
    <t>Pyramidion</t>
  </si>
  <si>
    <t>Whenever a friendly Construct is deployed adjacently, all friendly Construct Units in this Lane gain +1 Power.</t>
  </si>
  <si>
    <t>Remote</t>
  </si>
  <si>
    <t>Sekhem Chariot</t>
  </si>
  <si>
    <t>Deploy: If an adjacent enemy Unit has 2 or less Power, draw a Card.</t>
  </si>
  <si>
    <t>In the presence of the weak, its wheels spin faster, echoing the merciless pace of the desert sun.</t>
  </si>
  <si>
    <t>sekhem chariot, historical and mythical art style, ancient egyptian war chariot, undead horse, mummy</t>
  </si>
  <si>
    <t>https://alpha.midjourney.com/jobs/a6b9796b-edf3-4af3-9ed5-c8182508947e?index=1</t>
  </si>
  <si>
    <t>Obsidian Scarab</t>
  </si>
  <si>
    <t>Construct Insect</t>
  </si>
  <si>
    <t>Born from the darkest sands, its shell holds the secrets of eternity.</t>
  </si>
  <si>
    <t>obsidian scarab crawling around, huge, giant, towering ruins, ancient egypt</t>
  </si>
  <si>
    <t>https://alpha.midjourney.com/jobs/5742c34c-4780-42a9-88f6-56a1b9ce53f4?index=0</t>
  </si>
  <si>
    <t>https://alpha.midjourney.com/jobs/8b38cf8f-f197-4c3a-befd-e184edaf89b1?index=1</t>
  </si>
  <si>
    <t>https://alpha.midjourney.com/jobs/05eda290-6a12-4283-8598-0203ce13dc18?index=0</t>
  </si>
  <si>
    <t>https://alpha.midjourney.com/jobs/355d3553-313f-4638-bf69-02b34f653fae?index=2</t>
  </si>
  <si>
    <t>https://alpha.midjourney.com/jobs/3be1dd1a-b5e1-4576-84ea-2c53a6c076e3?index=1</t>
  </si>
  <si>
    <t>Solarsteel Prodigy</t>
  </si>
  <si>
    <t>Ascend: Construct or Warrior or Angel. Deploy: Gain +2 Power.</t>
  </si>
  <si>
    <t>Starforger</t>
  </si>
  <si>
    <t>Crystallize: Gain Crystalborn. Glimpse for each friendly Angel Crystal. Deploy: Draw a Card for each friendly Construct Crystal.</t>
  </si>
  <si>
    <t>His ambition is boundless, aiming to capture the essence of perfection in the canvas of the night sky.</t>
  </si>
  <si>
    <t>D, D, D, ?, ?, ?, ?</t>
  </si>
  <si>
    <t>Swiftblade Revenger</t>
  </si>
  <si>
    <t>Whenever an enemy Unit is deployed adjacently, you may move this.</t>
  </si>
  <si>
    <t>With twin blades dancing like lightning, her vengeance is as swift as it is deadly.</t>
  </si>
  <si>
    <t>The Kitty of Thamiel</t>
  </si>
  <si>
    <t>Animal Spirit</t>
  </si>
  <si>
    <t>Deploy: If you have 12 or fewer Cards your Deck, gain +4 Power and draw a Card.</t>
  </si>
  <si>
    <t>Deck</t>
  </si>
  <si>
    <t>Thunderswarm Skirmisher</t>
  </si>
  <si>
    <t>Angel Hunter</t>
  </si>
  <si>
    <t>Deploy: Gain Ward. Gain +3 Power if there is an adjacent Demon or Warrior.</t>
  </si>
  <si>
    <t>Clad in celestial armor, his battle cry echoes like thunder, a fearsome herald of the skies' wrath.</t>
  </si>
  <si>
    <t>D, ?, ?, ?</t>
  </si>
  <si>
    <t>thunderswarm skirmisher, historical and mythical art style, angel warrior, black, gold, ancient norse, at night, flying, throwing spear</t>
  </si>
  <si>
    <t>https://alpha.midjourney.com/jobs/1352ae1c-e93b-4eeb-9c2b-8d45efc47f38?index=0</t>
  </si>
  <si>
    <t>https://alpha.midjourney.com/jobs/e58d0ede-21d0-4b9c-87b3-4745b329f97d?index=0</t>
  </si>
  <si>
    <t>Tranquil Herd Gem Titan</t>
  </si>
  <si>
    <t>Construct Warrior</t>
  </si>
  <si>
    <t>Deploy: All friendly Divine Units in this Lane gain Ward.</t>
  </si>
  <si>
    <t>Beside him lay a gemstone charm, its arrival as mysterious as the energy it exuded. Puzzled, he held it, feeling an inexplicable sense of safety.</t>
  </si>
  <si>
    <t>tranquil herd gem titan, historical and mythical art style, giant crystal golem, enormous, towering</t>
  </si>
  <si>
    <t>https://alpha.midjourney.com/jobs/ed7547f6-59f6-4674-8e51-448f70e1a062?index=1</t>
  </si>
  <si>
    <t>Towering Obelisk of Xi</t>
  </si>
  <si>
    <t>Ascend: Construct. When this ascends, all friendly Units with Ascend gain +2 Power.</t>
  </si>
  <si>
    <t>Thunderswarm Pegasus</t>
  </si>
  <si>
    <t>Angel Animal</t>
  </si>
  <si>
    <t>When the Thunderswarm march, even the skies make way.</t>
  </si>
  <si>
    <t>thunderswarm pegasus, historical and mythical art style, hafling horse, burning mane, burning hooves, black, gold, ancient norse, at night</t>
  </si>
  <si>
    <t>https://alpha.midjourney.com/jobs/2892cac4-ecfc-4b4f-a4e9-1eb61a4971a8?index=3</t>
  </si>
  <si>
    <t>Winged Ushabti</t>
  </si>
  <si>
    <t>Crystallize: This Turn, you may bury this to give a friendly Unit Ascend.</t>
  </si>
  <si>
    <t>Found more insect statuettes, remarkably detailed. Purpose? Unknown, but likely venerating ancient, lost species.</t>
  </si>
  <si>
    <t>Ghostfire Basilisk</t>
  </si>
  <si>
    <t>Dragon Undead</t>
  </si>
  <si>
    <t>D, ?, ?, ?, ?</t>
  </si>
  <si>
    <t>Yellow Crusader</t>
  </si>
  <si>
    <t>Crusader, Warrior</t>
  </si>
  <si>
    <t>Whenever an enemy Unit of a different Realm is deployed adjacently, gain +1 Power.</t>
  </si>
  <si>
    <t>Marked by divine fervor, he fights not for glory but obedience. The celestial demands a weight he cannot shed.</t>
  </si>
  <si>
    <t>Young Monk</t>
  </si>
  <si>
    <t>Deploy: Choose one: - Gain Ascend. - Draw a Card.</t>
  </si>
  <si>
    <t>From trials, we reach the heavens.</t>
  </si>
  <si>
    <t>Fancy Schmancy Byrrd Type</t>
  </si>
  <si>
    <t>Angel, Animal</t>
  </si>
  <si>
    <t>Deploy: Cleanse an adjacent Unit then swap it with a friendly Angel or Animal Unit.</t>
  </si>
  <si>
    <t>Golden Phoenix</t>
  </si>
  <si>
    <t>Divine Elemental</t>
  </si>
  <si>
    <t>Start of your Turn: You may bury a friendly Crystal to draw a Card.</t>
  </si>
  <si>
    <t>Each rebirth a brilliant flame, it embodies the cycle of life's undying light.</t>
  </si>
  <si>
    <t>D, D, E, E, ?</t>
  </si>
  <si>
    <t>Hailstorm Seraph</t>
  </si>
  <si>
    <t>Deploy: Unleash &lt;E&gt;&lt;E&gt;: Draw Cards until you have 3 Cards in your Hand.</t>
  </si>
  <si>
    <t>With each beat of her wings, a blizzard is born, cloaking the land in a shroud of white.</t>
  </si>
  <si>
    <t>Scittering Scorpion</t>
  </si>
  <si>
    <t>Animal Hunter</t>
  </si>
  <si>
    <t>Ambush: This Turn, a Unit was deployed in this Lane. Unearth: You may unearth an adjacent Unit.</t>
  </si>
  <si>
    <t>The deserter sought refuge in the solitude of the sands, only to find himself the quarry of a malevolence as ancient as the dunes.</t>
  </si>
  <si>
    <t>D, E, ?, ?, ?</t>
  </si>
  <si>
    <t>Wrath of the Pharaoh</t>
  </si>
  <si>
    <t>Construct Spirit</t>
  </si>
  <si>
    <t>From ancient tombs, a fury rises; even kings have their reckoning.</t>
  </si>
  <si>
    <t>sand dune with eyes, living sand dune, amorphous, glowing eyes, rising from the desert, sandstorm--no fire human humanoid</t>
  </si>
  <si>
    <t>https://alpha.midjourney.com/jobs/557ea44c-dc30-4519-93c0-96caf2f97815?index=3</t>
  </si>
  <si>
    <t>Bringer of Good News</t>
  </si>
  <si>
    <t>Angel Insect</t>
  </si>
  <si>
    <t>Whenever a Unit moves or swaps, gain +2 Power. Ally of Insect: You may move an adjacent friendly Unit.</t>
  </si>
  <si>
    <t>Thunderswarm Lightning Rider</t>
  </si>
  <si>
    <t>Deploy: Gain Ward. Gain +1 Power for each other Spirit in this Lane.</t>
  </si>
  <si>
    <t>She is the conduit between realms, her wings beating in the rhythm of thunder. Each bolt of lightning, a spirit's final descent, a luminous tribute to lives once lived.</t>
  </si>
  <si>
    <t>Desertwind Relic Hunter</t>
  </si>
  <si>
    <t>Divine Mortal</t>
  </si>
  <si>
    <t>Deploy: Unearth a Crystal to give a friendly Unit in this Lane +3 Power.</t>
  </si>
  <si>
    <t>Beneath the sun's relentless gaze, he realized: some powers were buried for a reason, their containment not loss, but salvation.</t>
  </si>
  <si>
    <t>D, M, ?, ?, ?</t>
  </si>
  <si>
    <t>Exemplar of Lunar Gleam</t>
  </si>
  <si>
    <t>Spirit Warrior</t>
  </si>
  <si>
    <t>Start of your Turn: You may bury this to draw the top Mortal Card and the top Divine Card from your Deck. Shuffle your Deck.</t>
  </si>
  <si>
    <t>A spectral figure in the pale moonlight, his silent claim to the throne is as enigmatic as the night itself</t>
  </si>
  <si>
    <t>D, M, ?</t>
  </si>
  <si>
    <t>Grenade Apple Dragon #3</t>
  </si>
  <si>
    <t>Dragon Plant</t>
  </si>
  <si>
    <t>The Embalmer</t>
  </si>
  <si>
    <t>Human Wizard</t>
  </si>
  <si>
    <t>Ally of Angel: Unearth a Unit and give it Ward. Ally of Demon: Cleanse a Unit and bury it.</t>
  </si>
  <si>
    <t>D, D, D, ?</t>
  </si>
  <si>
    <t>Ushabti Carver</t>
  </si>
  <si>
    <t>Human Undead</t>
  </si>
  <si>
    <t>Deploy: Cards in your hand gain "Crystallize: You may bury this to draw 2 Cards." until end of turn.</t>
  </si>
  <si>
    <t>Shattercrown Luminary</t>
  </si>
  <si>
    <t>Deploy: Glimpse 3. You may reveal the top Card of your Deck. If it's a Common Card, draw it.</t>
  </si>
  <si>
    <t>From the humblest depths, she reveals unseen potential.</t>
  </si>
  <si>
    <t>D, M, ?, ?</t>
  </si>
  <si>
    <t>Shepard of the Morning Dew</t>
  </si>
  <si>
    <t>Deploy: Gain Taunt. If you are trailing in Lanes, a friendly Human Unit in this Lane gains +3 Power.</t>
  </si>
  <si>
    <t>Humans, so small yet so vast in spirit, their survival against all odds a testament to their enduring hope. Almost inspiring, in a way.</t>
  </si>
  <si>
    <t>Arboreal Messenger</t>
  </si>
  <si>
    <t>Divine Nature</t>
  </si>
  <si>
    <t>Ally of Angel or Plant: Draw a Card and gain +2 Power.</t>
  </si>
  <si>
    <t>In my slumber, the forest whispered to me, weaving itself into my essence. When I opened my eyes again, I had become more.</t>
  </si>
  <si>
    <t>D, N, ?</t>
  </si>
  <si>
    <t>Auric Ant Regent</t>
  </si>
  <si>
    <t>Insect Wizard</t>
  </si>
  <si>
    <t>Deploy: Gain Taunt. You may return an adjacent friendly Insect Unit to your Hand to gain Power equal to its Power.</t>
  </si>
  <si>
    <t>Insects, Bounce</t>
  </si>
  <si>
    <t>D, N, N, ?, ?, ?</t>
  </si>
  <si>
    <t>Blessing Bestower</t>
  </si>
  <si>
    <t>Obelisk Waypost</t>
  </si>
  <si>
    <t>Construct Plant</t>
  </si>
  <si>
    <t>Start of your Turn: You may bury this to glimpse 2, to crystallize the top Card of your Deck and to draw a Card.</t>
  </si>
  <si>
    <t>Without a guide, the desert is a death sentence.</t>
  </si>
  <si>
    <t>D, N, ?, ?, ?</t>
  </si>
  <si>
    <t>Crimson Flamechick</t>
  </si>
  <si>
    <t>When this gets buried, bury an adjacent enemy Unit.</t>
  </si>
  <si>
    <t>A spark today, an inferno tomorrow; its flame never extinguished, merely reborn.</t>
  </si>
  <si>
    <t>D, E</t>
  </si>
  <si>
    <t>crimson flamechick, tiny cute little phoenix, burning wings, small bird, tiny bird--no fire human humanoid</t>
  </si>
  <si>
    <t>https://alpha.midjourney.com/jobs/0867635b-b993-4e89-adc9-840fac5e98ae?index=2</t>
  </si>
  <si>
    <t>The Ascended One</t>
  </si>
  <si>
    <t>Construct Dinosaur</t>
  </si>
  <si>
    <t>Crystallize: Gain Crystalborn. A friendly Unit gains Ascend this Turn.</t>
  </si>
  <si>
    <t>D, D, N, N, ?, ?</t>
  </si>
  <si>
    <t>Tranquil Herd Rubyskull</t>
  </si>
  <si>
    <t>Dinosaur</t>
  </si>
  <si>
    <t>Crystallize: Gain Crystalborn. Unleash &lt;D&gt;&lt;D&gt; or &lt;N&gt;&lt;N&gt;: Crystallize the top Card of your Deck.</t>
  </si>
  <si>
    <t>Unleash</t>
  </si>
  <si>
    <t>Blackwing Usurper</t>
  </si>
  <si>
    <t>Divine Void</t>
  </si>
  <si>
    <t>Deploy: Gain Taunt. Ritual: Gain 3 Power. Ritual: Draw a Card.</t>
  </si>
  <si>
    <t>With a noble's grace and a traitor's heart, he delves into the depths of celestial betrayal.</t>
  </si>
  <si>
    <t>D, V, V, ?, ?</t>
  </si>
  <si>
    <t>Thunderswarm Celestial</t>
  </si>
  <si>
    <t>Angel Bannerbearer Warrior</t>
  </si>
  <si>
    <t>Whenever he flaps his wings, muted thunder rumbles, and soft arcs of electricity dance around his form.</t>
  </si>
  <si>
    <t>thunderswarm celestial, norse angel, broad shoulders, red beard, from the front</t>
  </si>
  <si>
    <t>https://alpha.midjourney.com/jobs/496903ec-9e29-4e96-baed-fbc1c72e67a2?index=3</t>
  </si>
  <si>
    <t>The Second Wing</t>
  </si>
  <si>
    <t>Angel Dragon</t>
  </si>
  <si>
    <t>Deploy: Each Player shuffles their Hand into the Deck and draws that many Cards.</t>
  </si>
  <si>
    <t>When all seems lost, it descends, a majestic force reviving spirits and rewriting destinies.</t>
  </si>
  <si>
    <t>D, D, E, ?, ?</t>
  </si>
  <si>
    <t>four wings, nordic dragon, antlers, gleaming white, glowing corona, ephemeral dragon, feathered wings, white scales, majestic, clinging to a spire high over a roman city, sun rising behind him</t>
  </si>
  <si>
    <t>https://alpha.midjourney.com/jobs/f92d2267-2cb6-459f-b8f4-07c280426a32?index=2</t>
  </si>
  <si>
    <t>Ivoryscar Fatebreaker</t>
  </si>
  <si>
    <t>Spirit</t>
  </si>
  <si>
    <t>Deploy: Gain Ward. Choose one: - Cleanse an adjacent Unit. - Return an adjacent Unit to its Owner's Hand.</t>
  </si>
  <si>
    <t>My mission is one of compassion. I exist to end the agony of the mortally stricken, by guard or by gentle release.</t>
  </si>
  <si>
    <t>D, D, V, V, ?, ?</t>
  </si>
  <si>
    <t>Moon Priestess</t>
  </si>
  <si>
    <t>Deploy: Choose one: - Cleanse a Unit in this Lane. - Unearth a Unit in this Lane and give it +2 Power.</t>
  </si>
  <si>
    <t>Bathed in moonlight, her healing touch mends more than flesh; it soothes the soul.</t>
  </si>
  <si>
    <t>ancient greek moon priestess--no fire human humanoid</t>
  </si>
  <si>
    <t>https://alpha.midjourney.com/jobs/fe304cba-fe68-4bea-a089-694d2e71a394?index=2</t>
  </si>
  <si>
    <t>Airstep Sifu</t>
  </si>
  <si>
    <t>Elemental</t>
  </si>
  <si>
    <t>Ally of Spirit: Draw a Card and gain +2 Power.</t>
  </si>
  <si>
    <t>With every step, a choice: draw from the well of knowledge or the wellspring of power.</t>
  </si>
  <si>
    <t>E, ?, ?</t>
  </si>
  <si>
    <t>Moonspear Paladin</t>
  </si>
  <si>
    <t>Bannerbearer Spirit Warrior</t>
  </si>
  <si>
    <t>A stalwart knight with divine blessings, who draws strength and guidance from the moon.</t>
  </si>
  <si>
    <t>D, M</t>
  </si>
  <si>
    <t>moonspear paladin, pull plate armor, blue glazed armor, full helmet, glowing mist rising from armor joints, mystic, mysterious, in snowed in ruins of an old chapel, evening, golden hour, spear, tower-shield</t>
  </si>
  <si>
    <t>https://alpha.midjourney.com/jobs/4b963210-17ec-4cc9-9a83-f38a7692af0e?index=3</t>
  </si>
  <si>
    <t>Arcanum Grandmaster</t>
  </si>
  <si>
    <t>Deploy: Gains +2 Power for each other friendly Wizard Unit.</t>
  </si>
  <si>
    <t>Under his watchful eye, talent flourishes; he is the guiding force behind a century of magical mastery.</t>
  </si>
  <si>
    <t>E, ?, ?, ?, ?</t>
  </si>
  <si>
    <t>Auraborne Wyvern</t>
  </si>
  <si>
    <t>Dragon</t>
  </si>
  <si>
    <t>Deploy: Unleash &lt;E&gt;&lt;E&gt;&lt;E&gt;: Gain Ward and glimpse 2.</t>
  </si>
  <si>
    <t>Turns out, the key to air superiority was just a few enchantments and one very grumpy wyvern.</t>
  </si>
  <si>
    <t>Blazecharm Kitsune</t>
  </si>
  <si>
    <t>Deploy: Move the top Card of your Opponent's Deck into an adjacent Slot and bury it (Deploy effects of that card are not triggered).</t>
  </si>
  <si>
    <t>With each flick of its tails, a new spark ignites, kindling mystic fires in the hearts of the brave.</t>
  </si>
  <si>
    <t>E</t>
  </si>
  <si>
    <t>Glowing Gearhulk</t>
  </si>
  <si>
    <t>Deploy: Gain Taunt. Crystallize: If your Opponent conquered a Lane last Turn, you may deploy this.</t>
  </si>
  <si>
    <t>??? Deploy from not-hand ???</t>
  </si>
  <si>
    <t>M, M, ?, ?, ?</t>
  </si>
  <si>
    <t>glowing gearhulk, medieval warmech, mecha, war machine, blue glazed armor, big claws, glowing mist rising from armor joints, mystic, mysterious, in snowed in ruins of an old cathedral, evening, golden hour</t>
  </si>
  <si>
    <t>https://alpha.midjourney.com/jobs/4efd2e1b-a113-49a0-8b09-a71768bc7f0a?index=1</t>
  </si>
  <si>
    <t>Boiling Blood Berserker</t>
  </si>
  <si>
    <t>Human Warrior</t>
  </si>
  <si>
    <t>Deploy: Gain Fear. Ascend: Dragon.</t>
  </si>
  <si>
    <t>His battle cry, a dragon's fury given voice.</t>
  </si>
  <si>
    <t>Goat Oracle</t>
  </si>
  <si>
    <t>Animal Wizard</t>
  </si>
  <si>
    <t>Deploy: Glimpse equal to the number of Realms of friendly Crystals.</t>
  </si>
  <si>
    <t>Oracle of many realms, seer of countless fates, yet inexplicably unsettled by the mere thought of turtles.</t>
  </si>
  <si>
    <t>D, N, ?, ?</t>
  </si>
  <si>
    <t>ancient greek goat oracle, animal, on all fours</t>
  </si>
  <si>
    <t>https://alpha.midjourney.com/jobs/96dd861b-6cf4-403c-b701-35339b8bf72c?index=0</t>
  </si>
  <si>
    <t>Tranquil Herd Sagehorn</t>
  </si>
  <si>
    <t>Bannerbearer Dinosaur Wizard</t>
  </si>
  <si>
    <t>From ancient lands and Crystalline veins, this wise behemoth channels the arcane.</t>
  </si>
  <si>
    <t>D, N</t>
  </si>
  <si>
    <t>Tranquil Herd Sagehorn, old dinosaur, wise, banner bearer</t>
  </si>
  <si>
    <t>https://alpha.midjourney.com/jobs/eb74e363-ce23-4333-bf1a-9e45b5410528?index=3</t>
  </si>
  <si>
    <t>https://alpha.midjourney.com/jobs/ae7c802d-5bb3-4e5c-935f-0989f835981b?index=3</t>
  </si>
  <si>
    <t>https://alpha.midjourney.com/jobs/d2520d33-6384-48e1-a0ac-2b40bcba9c67?index=2</t>
  </si>
  <si>
    <t>Sunblessed Crocodile</t>
  </si>
  <si>
    <t>Animal Dinosaur</t>
  </si>
  <si>
    <t>Crystallize: Gain Crystalborn. Deploy: Gains +1 Power for each friendly Crystal.</t>
  </si>
  <si>
    <t>Though tempered by the ages, his radiant might remains unbridled; a true testament of enduring power.</t>
  </si>
  <si>
    <t>D, D, N, N, ?</t>
  </si>
  <si>
    <t>sunblessed crocodile, white scales, desert, ancient egyptian, golden armor, animal, on all fours, sunbasking, green palmtrees, aggressive</t>
  </si>
  <si>
    <t>https://alpha.midjourney.com/jobs/85566897-5ef8-42df-8c72-36628a9dd9fc?index=1</t>
  </si>
  <si>
    <t>Kois of Duality</t>
  </si>
  <si>
    <t>Deploy: Choose one: - Adjacent friendly Void Units gain +2 Power. - Adjacent friendly Divine Units gain +2 Power.</t>
  </si>
  <si>
    <t>Swimming through the celestial rift, it harmonizes the contrasting forces of divinity and abyss.</t>
  </si>
  <si>
    <t>D, V, ?</t>
  </si>
  <si>
    <t>kois of duality,two kois swimming in a circle, shaped like ying and yang, shadowy maelstrom in background</t>
  </si>
  <si>
    <t>https://alpha.midjourney.com/jobs/e799950f-85b6-4223-b8ea-bc9ef93d3c23?index=1</t>
  </si>
  <si>
    <t>https://alpha.midjourney.com/jobs/957a1f61-1c1b-4a33-82ab-c17bcc78d8f9?index=1</t>
  </si>
  <si>
    <t>https://alpha.midjourney.com/jobs/957a1f61-1c1b-4a33-82ab-c17bcc78d8f9?index=0</t>
  </si>
  <si>
    <t>https://alpha.midjourney.com/jobs/a05bda9e-586e-49de-8c32-0f6e47fd8831?index=2</t>
  </si>
  <si>
    <t>https://alpha.midjourney.com/jobs/011a319f-3ec2-43a4-ae07-e31e88bbcfcf?index=2</t>
  </si>
  <si>
    <t>https://alpha.midjourney.com/jobs/34302934-0ce2-4d12-9b6b-bcbfb2dd2748?index=0</t>
  </si>
  <si>
    <t>https://alpha.midjourney.com/jobs/7515835a-18c0-492f-95bd-2b1b2539a4df?index=1</t>
  </si>
  <si>
    <t>Ivoryscar Eclipsion</t>
  </si>
  <si>
    <t>Angel Bannerbearer Demon</t>
  </si>
  <si>
    <t>Where light meets shadow, purity clashes with malice, she stands, the ethereal balance of two worlds.</t>
  </si>
  <si>
    <t>D, V</t>
  </si>
  <si>
    <t>eclipsion, duality, female, sad, otherwordly glow, black wings, pale skin, white gloves, white hair, black skirt, white corset, shadowy maelstrom in background</t>
  </si>
  <si>
    <t>https://alpha.midjourney.com/jobs/219392dd-7217-4d08-88a4-07fe545e4e60?index=0</t>
  </si>
  <si>
    <t>https://alpha.midjourney.com/jobs/faebf78e-524b-4699-86cf-5a06ec2912c9?index=0</t>
  </si>
  <si>
    <t>https://alpha.midjourney.com/jobs/ff5ef09d-ca5a-4078-8295-e865d3f5ef86?index=1</t>
  </si>
  <si>
    <t>https://alpha.midjourney.com/jobs/903c649b-d0e0-4b79-8d43-b2091e120243?index=3</t>
  </si>
  <si>
    <t>https://alpha.midjourney.com/jobs/903c649b-d0e0-4b79-8d43-b2091e120243?index=0</t>
  </si>
  <si>
    <t>https://alpha.midjourney.com/jobs/68687551-a06f-4550-bc88-6c49a58ac029?index=2</t>
  </si>
  <si>
    <t>https://alpha.midjourney.com/jobs/ff5ef09d-ca5a-4078-8295-e865d3f5ef86?index=3</t>
  </si>
  <si>
    <t>https://alpha.midjourney.com/jobs/804192d1-d6b1-471f-8286-b2c1ae535674?index=3</t>
  </si>
  <si>
    <t>https://alpha.midjourney.com/jobs/c2526578-9eb7-4bfc-b6cd-0f981333543c?index=1</t>
  </si>
  <si>
    <t>https://alpha.midjourney.com/jobs/12474128-0863-4da2-aff8-997b73fe9878?index=3</t>
  </si>
  <si>
    <t>Fallen Angel</t>
  </si>
  <si>
    <t>Deploy: Gain Ward. Ally of Void: +4 Power. Ally of Divine: +4 Power.</t>
  </si>
  <si>
    <t>Cast from heaven, embraced by the void, her power surges where light and darkness intertwine.</t>
  </si>
  <si>
    <t>D, D, V, V, ?, ?, ?</t>
  </si>
  <si>
    <t>Fallen Angel, female, otherwordly glow, red and black wings, pale, red glowing eyes, white hair, black armor, corrupted, bloodrust, shadowy maelstrom in background</t>
  </si>
  <si>
    <t>https://alpha.midjourney.com/jobs/65856a62-0cc5-4789-aeaa-4499b714d3e5?index=0</t>
  </si>
  <si>
    <t>https://alpha.midjourney.com/jobs/9062fc96-38af-4b94-bb8b-58724ee3e784?index=3</t>
  </si>
  <si>
    <t>https://alpha.midjourney.com/jobs/f0b193a4-3e5e-45a0-b6e9-a1b7fcfb4f49?index=2</t>
  </si>
  <si>
    <t>https://alpha.midjourney.com/jobs/2593ed6f-b67a-4e7f-a8f9-a36157ed8f86?index=1</t>
  </si>
  <si>
    <t>https://alpha.midjourney.com/jobs/bce13b19-a5b7-4895-991c-a343e7295bea?index=2</t>
  </si>
  <si>
    <t>https://alpha.midjourney.com/jobs/0852a4f6-c4cd-4d01-a719-8673b0ba2f74?index=1</t>
  </si>
  <si>
    <t>https://alpha.midjourney.com/jobs/d19499fa-993e-4909-94ee-2b9c8761e795?index=1</t>
  </si>
  <si>
    <t>https://alpha.midjourney.com/jobs/93adb4ae-5796-400d-8a5b-0445ab93be6c?index=3</t>
  </si>
  <si>
    <t>https://alpha.midjourney.com/jobs/cd0a04f4-a1cb-40f4-910e-eb46d3902255?index=0</t>
  </si>
  <si>
    <t>https://alpha.midjourney.com/jobs/02764ac5-6b69-4645-b186-6ada5c5faed8?index=3</t>
  </si>
  <si>
    <t>Diamond Phantom</t>
  </si>
  <si>
    <t>Spirit Undead</t>
  </si>
  <si>
    <t>Crystallize: Gain Crystalborn. Deploy: You may crystallize an adjacent friendly Unit and deploy a friendly Spirit Crystal in that Slot.</t>
  </si>
  <si>
    <t>In its ethereal form, the laws of existence bend, a testament to the enigmatic origins of the Shards of Beyond.</t>
  </si>
  <si>
    <t>E, E, ?</t>
  </si>
  <si>
    <t>Draconic Highpriest</t>
  </si>
  <si>
    <t>Dragon Wizard</t>
  </si>
  <si>
    <t>Deploy: You may bury a friendly Dragon Unit to bury an enemy Unit with Power equal to or lower than that Dragon.</t>
  </si>
  <si>
    <t>He weaves spells of domination, his draconic thralls a fearsome testament to the power of corrupted will.</t>
  </si>
  <si>
    <t>E, E, ?, ?</t>
  </si>
  <si>
    <t>Cavern Lindwurm</t>
  </si>
  <si>
    <t>Ally of 5 or more Power: Gain Taunt and +3 Power.</t>
  </si>
  <si>
    <t>Where one dragon's roar shakes the cavern, two can bring mountains to their knees.</t>
  </si>
  <si>
    <t>E, E, ?, ?, ?</t>
  </si>
  <si>
    <t>cavern lindwurm, celtic snake dragon in a dimly lit cave, cruel, olive colored pale blind and broken scales</t>
  </si>
  <si>
    <t>https://alpha.midjourney.com/jobs/4cc82fb7-ff66-4625-86b9-bd6b6019e512?index=2</t>
  </si>
  <si>
    <t>https://alpha.midjourney.com/jobs/172ae98b-46c0-4825-b85b-219a47dfecc0?index=2</t>
  </si>
  <si>
    <t>https://alpha.midjourney.com/jobs/ab137782-70f1-4ba3-840a-49cf4fda7bbe?index=3</t>
  </si>
  <si>
    <t>https://alpha.midjourney.com/jobs/2780038d-6258-4c7a-a5e0-700cdfe423f9?index=0</t>
  </si>
  <si>
    <t>https://alpha.midjourney.com/jobs/20fb2d42-8fe0-4690-82e2-b7936769540e?index=1</t>
  </si>
  <si>
    <t>https://alpha.midjourney.com/jobs/bb160c1d-6202-4543-88a9-152dadcce248?index=2</t>
  </si>
  <si>
    <t>https://alpha.midjourney.com/jobs/42ab612c-d4a4-4640-b0eb-a0098355068a?index=2</t>
  </si>
  <si>
    <t>https://alpha.midjourney.com/jobs/42ab612c-d4a4-4640-b0eb-a0098355068a?index=1</t>
  </si>
  <si>
    <t>https://alpha.midjourney.com/jobs/da9010de-44c1-42bf-8bbc-f7eb026c1882?index=2</t>
  </si>
  <si>
    <t>https://alpha.midjourney.com/jobs/bdfca501-4b58-4f97-83e7-bcf89c7e7f5e?index=0</t>
  </si>
  <si>
    <t>Cheerful Pixies</t>
  </si>
  <si>
    <t>Spirit Wizard</t>
  </si>
  <si>
    <t>Deploy: Another friendly Elemental Unit in this Lane gains Taunt and +1 Power.</t>
  </si>
  <si>
    <t>With giggles and pranks, they lure foes closer, their laughter as entrancing as it is maddening.</t>
  </si>
  <si>
    <t>tiny fairy, mongolian, cheerful, with butterfly wings, in the forest, sitting in a flower, very small</t>
  </si>
  <si>
    <t>https://alpha.midjourney.com/jobs/5af4932e-1176-4e5d-a15a-6e1142f73928?index=2</t>
  </si>
  <si>
    <t>https://alpha.midjourney.com/jobs/e6e0a2be-8317-493d-9a2a-cb227f34a270?index=0</t>
  </si>
  <si>
    <t>https://alpha.midjourney.com/jobs/a530c54d-e253-4627-adf2-00999c92b877?index=1</t>
  </si>
  <si>
    <t>https://alpha.midjourney.com/jobs/05e7dc87-7c7f-400d-b1d6-3bce616d0bfb?index=0</t>
  </si>
  <si>
    <t>https://alpha.midjourney.com/jobs/a0c2bdad-9975-4339-8646-d109edd1ea08?index=0</t>
  </si>
  <si>
    <t>https://alpha.midjourney.com/jobs/e7a204c6-76d5-4cd7-9a02-e06393503315?index=2</t>
  </si>
  <si>
    <t>https://alpha.midjourney.com/jobs/36d433e2-f591-4ea5-b62a-5cb266b18ca8?index=3</t>
  </si>
  <si>
    <t>https://alpha.midjourney.com/jobs/e7a204c6-76d5-4cd7-9a02-e06393503315?index=0</t>
  </si>
  <si>
    <t>https://alpha.midjourney.com/jobs/05e7dc87-7c7f-400d-b1d6-3bce616d0bfb?index=2</t>
  </si>
  <si>
    <t>https://alpha.midjourney.com/jobs/b96d47c1-e03b-4dad-bc97-123945866ebe?index=3</t>
  </si>
  <si>
    <t>Cinderguard Scribe</t>
  </si>
  <si>
    <t>Deploy: Choose one: - Glimpse 1. - Gain +1 Power.</t>
  </si>
  <si>
    <t>From his quill flows the ink of revolution, as fiery as the red hoods that mark their cause.</t>
  </si>
  <si>
    <t>cinderguard scribe heavily tattooed mexican gang member, female, red hood, ancient bandit, thoughtfully looking at a scroll</t>
  </si>
  <si>
    <t>https://alpha.midjourney.com/jobs/3583fb04-e10f-4436-a53d-ac6033c51e68?index=3</t>
  </si>
  <si>
    <t>https://alpha.midjourney.com/jobs/9bfd0617-c169-4772-bad8-21583764dcf1?index=1</t>
  </si>
  <si>
    <t>https://alpha.midjourney.com/jobs/bd88a85c-62e5-4ed4-9515-3411b61e2af9?index=2</t>
  </si>
  <si>
    <t>https://alpha.midjourney.com/jobs/3506fd93-a468-430b-b68e-56e0adb3bfa1?index=3</t>
  </si>
  <si>
    <t>https://alpha.midjourney.com/jobs/c5421a0e-601f-4a74-bd6d-431efe095978?index=2</t>
  </si>
  <si>
    <t>https://alpha.midjourney.com/jobs/522c30ba-cd4c-47ac-8df5-bc6a0c728eef?index=0</t>
  </si>
  <si>
    <t>https://alpha.midjourney.com/jobs/f9350fe6-d4bf-4a09-be2d-6d486b1be787?index=3</t>
  </si>
  <si>
    <t>https://alpha.midjourney.com/jobs/6364f253-c9ef-441f-a5a5-5cd35f3f48b4?index=2</t>
  </si>
  <si>
    <t>https://alpha.midjourney.com/jobs/6364f253-c9ef-441f-a5a5-5cd35f3f48b4?index=1</t>
  </si>
  <si>
    <t>https://alpha.midjourney.com/jobs/7438c9cc-d782-4fee-9713-d3f301d7df3e?index=1</t>
  </si>
  <si>
    <t>Daredevil Duo</t>
  </si>
  <si>
    <t>Dragon Human</t>
  </si>
  <si>
    <t>Crystallize and Deploy: Another friendly Unit gains Taunt.</t>
  </si>
  <si>
    <t>Where her courage leads, dragon fire follows - a ballet of blade and blaze, unmatched.</t>
  </si>
  <si>
    <t>E, E, ?, ?, ?, ?</t>
  </si>
  <si>
    <t>daredevil duo, a dragon and a female asian pirate swordfighter wearing a red sash</t>
  </si>
  <si>
    <t>https://alpha.midjourney.com/jobs/7e117333-a3b5-48ce-84fb-ea1d5889f52c?index=3</t>
  </si>
  <si>
    <t>https://alpha.midjourney.com/jobs/97f8b1ac-677e-491b-803f-a08321d0a5b3?index=0</t>
  </si>
  <si>
    <t>https://alpha.midjourney.com/jobs/9b9f1932-7b85-4dc2-b89b-c5db313881fe?index=1</t>
  </si>
  <si>
    <t>https://alpha.midjourney.com/jobs/97d76fab-e567-498a-9cd5-fce2669c45a7?index=1</t>
  </si>
  <si>
    <t>https://alpha.midjourney.com/jobs/e476fa49-0867-4ba0-b9df-543b391f48db?index=0</t>
  </si>
  <si>
    <t>https://alpha.midjourney.com/jobs/c55ff963-8780-49f5-820d-fdb412bd03ab?index=3</t>
  </si>
  <si>
    <t>https://alpha.midjourney.com/jobs/ecf46218-d382-4bbc-897b-729a460f33de?index=0</t>
  </si>
  <si>
    <t>https://alpha.midjourney.com/jobs/02663ec4-f725-4dc6-b3bf-a41c24089531?index=2</t>
  </si>
  <si>
    <t>https://alpha.midjourney.com/jobs/960b0142-dad3-4a5e-9497-c50337bfa517?index=0</t>
  </si>
  <si>
    <t>https://alpha.midjourney.com/jobs/41adfac4-fb2e-4621-a9ff-3a8e7c83e591?index=3</t>
  </si>
  <si>
    <t>Echo Beetle</t>
  </si>
  <si>
    <t>Whenever a Unit is deployed adjacently, swap it with that Unit.</t>
  </si>
  <si>
    <t>Note: Observing the beetle, I feel observed in return. Its awareness hints at unseen depths in insect cognition.</t>
  </si>
  <si>
    <t>E, ?</t>
  </si>
  <si>
    <t>Ember Whelp</t>
  </si>
  <si>
    <t>Dragon Spirit</t>
  </si>
  <si>
    <t>Ascend: Dragon or Spirit. Deploy: Unleash &lt;E&gt;&lt;E&gt;&lt;E&gt;: Gain +3 Power.</t>
  </si>
  <si>
    <t>Log #21: The whelp's playmates are not of flesh and scale but of spirit and air. It frolics with entities invisible to our eyes, a curious talent.</t>
  </si>
  <si>
    <t>Floating Djinn</t>
  </si>
  <si>
    <t>Start of your Turn: You may bury this to draw a Card.</t>
  </si>
  <si>
    <t>Charged with storm's fury, he dances between thunder and lightning's embrace.</t>
  </si>
  <si>
    <t>Dewdrop Sprite</t>
  </si>
  <si>
    <t>Whenever a friendly Elemental Unit is deployed adjacently, gain +2 Power.</t>
  </si>
  <si>
    <t>In each glistening drop, a glint of magic, as fleeting and pure as morning's first light.</t>
  </si>
  <si>
    <t>dewdrop sprite, mongolian fairy, in the mountains, wings made of dew drops</t>
  </si>
  <si>
    <t>https://alpha.midjourney.com/jobs/f82cb067-a26e-43e4-a7b7-872ad83abf92?index=1</t>
  </si>
  <si>
    <t>https://alpha.midjourney.com/jobs/8fbe44e4-705c-4ee4-adbc-6e435546facc?index=3</t>
  </si>
  <si>
    <t>https://alpha.midjourney.com/jobs/bce87206-d1bc-4ae5-b2a8-99df10be783b?index=3</t>
  </si>
  <si>
    <t>https://alpha.midjourney.com/jobs/bce87206-d1bc-4ae5-b2a8-99df10be783b?index=2</t>
  </si>
  <si>
    <t>https://alpha.midjourney.com/jobs/a9cd8a18-681f-4ef7-927f-65a2d9169d26?index=0</t>
  </si>
  <si>
    <t>https://alpha.midjourney.com/jobs/9f273a40-8ff4-4686-8521-a3d630b0eaf9?index=1</t>
  </si>
  <si>
    <t>https://alpha.midjourney.com/jobs/7c0c6fe5-3d11-46e9-9fb2-27a3e4ad98d5?index=3</t>
  </si>
  <si>
    <t>https://alpha.midjourney.com/jobs/7c0c6fe5-3d11-46e9-9fb2-27a3e4ad98d5?index=0</t>
  </si>
  <si>
    <t>https://alpha.midjourney.com/jobs/e3dc4ec9-31d3-451f-b89d-f3942b80c042?index=2</t>
  </si>
  <si>
    <t>https://alpha.midjourney.com/jobs/7a2e29fb-bd98-4d30-88b2-8bfee70c4a47?index=0</t>
  </si>
  <si>
    <t>Dragon Egg</t>
  </si>
  <si>
    <t>Ambush: A Player conquered this Lane this Turn.</t>
  </si>
  <si>
    <t>Cracks in the egg foretell the birth of a legend, a creature born from flame and scale.</t>
  </si>
  <si>
    <t>stony egg with red scaled structure, in a large nest in the mountains</t>
  </si>
  <si>
    <t>https://alpha.midjourney.com/jobs/a4c0044f-a986-4aa9-87bf-000b67966a4b?index=0</t>
  </si>
  <si>
    <t>https://alpha.midjourney.com/jobs/1368b59f-6a3a-4f37-b704-dc0023c5a39b?index=0</t>
  </si>
  <si>
    <t>https://alpha.midjourney.com/jobs/1368b59f-6a3a-4f37-b704-dc0023c5a39b?index=3</t>
  </si>
  <si>
    <t>https://alpha.midjourney.com/jobs/3e4015d3-c57e-4d12-9ddb-df5fcfb9d19d?index=0</t>
  </si>
  <si>
    <t>Dustdance Efreet</t>
  </si>
  <si>
    <t>Deploy: You may swap this with an adjacent enemy Unit.</t>
  </si>
  <si>
    <t>A sinister waltz in the dust, its dance is a trap for the unwary, a lure into the endless, shifting dunes.</t>
  </si>
  <si>
    <t>dust-elemental efreet, djinn, mongolian</t>
  </si>
  <si>
    <t>https://alpha.midjourney.com/jobs/ccfe11ca-d68d-42dd-b1cd-d5aa6d3c9b8b?index=2</t>
  </si>
  <si>
    <t>https://alpha.midjourney.com/jobs/ccfe11ca-d68d-42dd-b1cd-d5aa6d3c9b8b?index=0</t>
  </si>
  <si>
    <t>https://alpha.midjourney.com/jobs/fdd4f64e-d836-4c8f-9358-77cc88394b13?index=1</t>
  </si>
  <si>
    <t>https://alpha.midjourney.com/jobs/f309aeec-173a-46f1-b16b-f5f15141815a?index=0</t>
  </si>
  <si>
    <t>https://alpha.midjourney.com/jobs/f309aeec-173a-46f1-b16b-f5f15141815a?index=2</t>
  </si>
  <si>
    <t>https://alpha.midjourney.com/jobs/f14bf8bf-3033-40a6-9792-dd0d2005d4a4?index=2</t>
  </si>
  <si>
    <t>https://alpha.midjourney.com/jobs/f14bf8bf-3033-40a6-9792-dd0d2005d4a4?index=0</t>
  </si>
  <si>
    <t>https://alpha.midjourney.com/jobs/f14bf8bf-3033-40a6-9792-dd0d2005d4a4?index=1</t>
  </si>
  <si>
    <t>https://alpha.midjourney.com/jobs/1113a14a-e98b-4368-b526-2939a08de537?index=2</t>
  </si>
  <si>
    <t>https://alpha.midjourney.com/jobs/2c70cf34-6786-4493-bc7e-731c0f15efba?index=1</t>
  </si>
  <si>
    <t>Hermit of the Horizon</t>
  </si>
  <si>
    <t>Wizard</t>
  </si>
  <si>
    <t>Crystallize: If you control a Wizard Unit, glimpse 3.</t>
  </si>
  <si>
    <t>In his lofty retreat, he communes with the winds of fate, a guardian of knowledge perched at the edge of the world.</t>
  </si>
  <si>
    <t>E, ?, ?, ?, ?, ?</t>
  </si>
  <si>
    <t>Roughlands Scourge</t>
  </si>
  <si>
    <t>Deploy: Gain Fear.</t>
  </si>
  <si>
    <t>Where its shadow falls, terror takes root, a draconic tyrant of the barren lands.</t>
  </si>
  <si>
    <t>E, ?, ?, ?</t>
  </si>
  <si>
    <t>dragon, red body, black quills with white tips, wasteland, porcupine, cruel, fierce</t>
  </si>
  <si>
    <t>https://alpha.midjourney.com/jobs/30dad8d4-0f43-43a0-b5ad-94bc8b2c85d6?index=2</t>
  </si>
  <si>
    <t>https://alpha.midjourney.com/jobs/6cad6adc-2697-4145-bdf0-efa0bf788436?index=2</t>
  </si>
  <si>
    <t>https://alpha.midjourney.com/jobs/6cad6adc-2697-4145-bdf0-efa0bf788436?index=0</t>
  </si>
  <si>
    <t>https://alpha.midjourney.com/jobs/3583175b-766d-4e6f-b226-cb8e97cd3444?index=2</t>
  </si>
  <si>
    <t>https://alpha.midjourney.com/jobs/9d3996dd-4cd9-4c61-9f0b-73b38822ab56?index=1</t>
  </si>
  <si>
    <t>https://alpha.midjourney.com/jobs/26ae93ba-7660-44de-bc98-ff1f7b0710bb?index=0</t>
  </si>
  <si>
    <t>https://alpha.midjourney.com/jobs/add90753-1409-4816-a77b-7200b76c544f?index=3</t>
  </si>
  <si>
    <t>https://alpha.midjourney.com/jobs/dc135f3d-8b66-4450-857e-ed4b64a3e949?index=1</t>
  </si>
  <si>
    <t>https://alpha.midjourney.com/jobs/f552819f-bae0-4fdc-aec9-3c948fadca96?index=0</t>
  </si>
  <si>
    <t>https://alpha.midjourney.com/jobs/93fb8cdb-1f21-49e7-be26-dc8ba099f499?index=3</t>
  </si>
  <si>
    <t>Mirrorworld Bloodseeker</t>
  </si>
  <si>
    <t>Demon Spirit</t>
  </si>
  <si>
    <t>Crystallize: Unleash &lt;V&gt;&lt;V&gt;&lt;V&gt;: Deploy this in an empty Slot. Deploy: Gain Taunt.</t>
  </si>
  <si>
    <t>Mountain Sage</t>
  </si>
  <si>
    <t>Plant Wizard</t>
  </si>
  <si>
    <t>Deploy: Draw the top Wizard of your Deck. Shuffle your Deck.</t>
  </si>
  <si>
    <t>Rooted in ancient wisdom and the earth's deep secrets, his knowledge is as vast as the mountains he embodies.</t>
  </si>
  <si>
    <t>Nimbus Claw</t>
  </si>
  <si>
    <t>Conquer: Glimpse 3.</t>
  </si>
  <si>
    <t>Lead</t>
  </si>
  <si>
    <t>Omen Firefly</t>
  </si>
  <si>
    <t>Insect</t>
  </si>
  <si>
    <t>Start of your Turn: You may bury this to obscure 2.</t>
  </si>
  <si>
    <t>Obscure</t>
  </si>
  <si>
    <t>Pixie Summoner</t>
  </si>
  <si>
    <t>Deploy: Unleash &lt;E&gt;&lt;E&gt;: Move an adjacent Unit. Gain Taunt.</t>
  </si>
  <si>
    <t>Pyretic Pet</t>
  </si>
  <si>
    <t>Ally of Wizard: You may return the Ally to your Hand to deploy a Unit from your Hand.</t>
  </si>
  <si>
    <t>"'This is why we can't have nice things,' I muttered as the tapestries turned to ashes. My dragon's purr was the only reply, pleased with its redecoration."</t>
  </si>
  <si>
    <t>Shifting Sands</t>
  </si>
  <si>
    <t>Ambush: This Turn, a Unit was deployed adjacently. Unearth: Move an adjacent Unit.</t>
  </si>
  <si>
    <t>shifting sands, mystical, ephemeral energies, dustdevil, desert elemental, whirlwind</t>
  </si>
  <si>
    <t>https://alpha.midjourney.com/jobs/8b1af36f-4004-4f76-8321-39eadf6994de?index=1</t>
  </si>
  <si>
    <t>https://alpha.midjourney.com/jobs/6b2dd4db-47bc-4351-b9cb-56165501015d?index=0</t>
  </si>
  <si>
    <t>https://alpha.midjourney.com/jobs/04b6c714-4150-4b67-bc7b-3b77d214c80e?index=1</t>
  </si>
  <si>
    <t>https://alpha.midjourney.com/jobs/fef152fe-a54f-4993-8c0b-bdc6b255ff50?index=1</t>
  </si>
  <si>
    <t>https://alpha.midjourney.com/jobs/a3b699ae-45ef-4e90-9cb6-6448c1dd6ef3?index=3</t>
  </si>
  <si>
    <t>https://alpha.midjourney.com/jobs/a3b699ae-45ef-4e90-9cb6-6448c1dd6ef3?index=2</t>
  </si>
  <si>
    <t>https://alpha.midjourney.com/jobs/f4b87c3a-3e3c-48fa-b94a-c0514613a2cd?index=3</t>
  </si>
  <si>
    <t>https://alpha.midjourney.com/jobs/cea0e01e-1930-45b5-b5c8-3ad52ddb3142?index=3</t>
  </si>
  <si>
    <t>https://alpha.midjourney.com/jobs/ca73b5bd-6fc1-4339-9285-ae03c13a5f5d?index=0</t>
  </si>
  <si>
    <t>https://alpha.midjourney.com/jobs/f43fb0f9-219d-46ea-84e7-cebd02ca67fd?index=3</t>
  </si>
  <si>
    <t>Torii Spirit</t>
  </si>
  <si>
    <t>Deploy: Unleash &lt;E&gt;&lt;E&gt;&lt;E&gt;: Gain Fear and Ward.</t>
  </si>
  <si>
    <t>torii spirit, spirit sitting ontop of a torii gate, yokai, ghost, ethereal, see-through, gentle, benevolent, cute, adorable, colorful</t>
  </si>
  <si>
    <t>https://alpha.midjourney.com/jobs/855d9ad2-60fa-4317-90d5-dde695aa3863?index=2</t>
  </si>
  <si>
    <t>https://alpha.midjourney.com/jobs/ef31c8de-f61e-4972-86e9-aa9f1831afd5?index=0</t>
  </si>
  <si>
    <t>https://alpha.midjourney.com/jobs/8785718a-3cef-4d6b-adf4-3f611a3b965e?index=2</t>
  </si>
  <si>
    <t>https://alpha.midjourney.com/jobs/f0a7e593-e8a3-49a4-9357-69927b40e0a8?index=1</t>
  </si>
  <si>
    <t>https://alpha.midjourney.com/jobs/f0a7e593-e8a3-49a4-9357-69927b40e0a8?index=0</t>
  </si>
  <si>
    <t>https://alpha.midjourney.com/jobs/677914ad-f8cb-4855-b453-f47da8640844?index=0</t>
  </si>
  <si>
    <t>https://alpha.midjourney.com/jobs/0c2fcc58-1cd5-4e2c-9953-06ae99527acc?index=3</t>
  </si>
  <si>
    <t>https://alpha.midjourney.com/jobs/cb83f03b-5441-4ab6-acd4-d6c23cfbf1b0?index=3</t>
  </si>
  <si>
    <t>https://alpha.midjourney.com/jobs/cb83f03b-5441-4ab6-acd4-d6c23cfbf1b0?index=1</t>
  </si>
  <si>
    <t>https://alpha.midjourney.com/jobs/11cea0b5-15f6-46ea-9c98-85147c5d0c1d?index=2</t>
  </si>
  <si>
    <t>Red Crusader</t>
  </si>
  <si>
    <t>Warrior</t>
  </si>
  <si>
    <t>Crusader</t>
  </si>
  <si>
    <t>Windkite Acolyte</t>
  </si>
  <si>
    <t>Deploy: You may swap this with an adjacent friendly Unit and gain +2 Power.</t>
  </si>
  <si>
    <t>Soaring on ancient breezes, this acolyte wields the wisdom of the wind.</t>
  </si>
  <si>
    <t>bhuddist monk, riding a huge kite, flying through the sky, kite attached to hís back</t>
  </si>
  <si>
    <t>https://alpha.midjourney.com/jobs/ec1fb5cf-b226-482a-9fd2-005d6f927846?index=1</t>
  </si>
  <si>
    <t>https://alpha.midjourney.com/jobs/c502c751-ced3-4cb3-aa77-ce7cf3c560d4?index=0</t>
  </si>
  <si>
    <t>https://alpha.midjourney.com/jobs/15eb18a9-adcc-4ad5-bb1a-b9ca187fa7e5?index=1</t>
  </si>
  <si>
    <t>https://alpha.midjourney.com/jobs/91bb5265-1010-4c14-8a17-c124ec7328be?index=3</t>
  </si>
  <si>
    <t>https://alpha.midjourney.com/jobs/3459e7cd-50f2-4130-be4c-42546280c0e7?index=3</t>
  </si>
  <si>
    <t>https://alpha.midjourney.com/jobs/f6913507-2389-4765-a6a4-189bde5ce495?index=1</t>
  </si>
  <si>
    <t>https://alpha.midjourney.com/jobs/f6913507-2389-4765-a6a4-189bde5ce495?index=2</t>
  </si>
  <si>
    <t>https://alpha.midjourney.com/jobs/1be84c96-df08-4398-88f9-09e5ad8ff402?index=2</t>
  </si>
  <si>
    <t>https://alpha.midjourney.com/jobs/59d1a1e1-529a-4cc6-b261-fdc197b29a2b?index=1</t>
  </si>
  <si>
    <t>https://alpha.midjourney.com/jobs/33065fbd-b99a-477c-aeda-1e82ea951a22?index=3</t>
  </si>
  <si>
    <t>Blood Moon Scarab</t>
  </si>
  <si>
    <t>Whenever a Unit in this Lane is unearthed, gain its Power.</t>
  </si>
  <si>
    <t>blood moon scarab, insect, scuttling around, ancient mountain ruins</t>
  </si>
  <si>
    <t>https://alpha.midjourney.com/jobs/f076bedf-28b1-43a4-bdf8-5e57ad378122?index=3</t>
  </si>
  <si>
    <t>https://alpha.midjourney.com/jobs/2245d2f9-6faa-4d4c-9ddb-94e018ca54af?index=0</t>
  </si>
  <si>
    <t>https://alpha.midjourney.com/jobs/2245d2f9-6faa-4d4c-9ddb-94e018ca54af?index=2</t>
  </si>
  <si>
    <t>https://alpha.midjourney.com/jobs/8c7e4ea8-e35f-4309-86b6-e6a9f1efaecb?index=1</t>
  </si>
  <si>
    <t>https://alpha.midjourney.com/jobs/8c7e4ea8-e35f-4309-86b6-e6a9f1efaecb?index=2</t>
  </si>
  <si>
    <t>https://alpha.midjourney.com/jobs/ae00d456-a481-4034-a8c2-fdb97fffe7f6?index=1</t>
  </si>
  <si>
    <t>https://alpha.midjourney.com/jobs/ae00d456-a481-4034-a8c2-fdb97fffe7f6?index=2</t>
  </si>
  <si>
    <t>https://alpha.midjourney.com/jobs/78ae5a97-8656-4c23-992f-61f8947a1950?index=3</t>
  </si>
  <si>
    <t>https://alpha.midjourney.com/jobs/78ae5a97-8656-4c23-992f-61f8947a1950?index=2</t>
  </si>
  <si>
    <t>https://alpha.midjourney.com/jobs/237ccf0b-0f9d-4e23-b6d4-df327207e61c?index=1</t>
  </si>
  <si>
    <t>Sand Witch</t>
  </si>
  <si>
    <t>Ascend: Elemental.</t>
  </si>
  <si>
    <t>Shardhorde Galewhelp</t>
  </si>
  <si>
    <t>Deploy: Unleash &lt;E&gt;&lt;E&gt;&lt;E&gt;: You may crystallize this and deploy another friendly Dragon Crystal into this Slot.</t>
  </si>
  <si>
    <t>In its youth, a mere gust; in its fury, a tempest – such is the nature of the Shardhorde's child.</t>
  </si>
  <si>
    <t>Amberlock Dragonling</t>
  </si>
  <si>
    <t>Ritual: Gain +4 Power.</t>
  </si>
  <si>
    <t>Clutched in youthful talons lies a fragment of legend, making each hunt not just a pursuit for prey, but a dance with destiny.</t>
  </si>
  <si>
    <t>amberlock dragonling, baby dragon, climbing out of a dragon egg, cute, adorable, colorful</t>
  </si>
  <si>
    <t>https://alpha.midjourney.com/jobs/31869c2e-79e0-44a2-bcb2-ef2489f226ad?index=3</t>
  </si>
  <si>
    <t>https://alpha.midjourney.com/jobs/86e09484-75c2-4d9e-b33e-31faa3d4e251?index=2</t>
  </si>
  <si>
    <t>https://alpha.midjourney.com/jobs/68e2c61d-f9ac-435e-8eb9-44ef82724758?index=1</t>
  </si>
  <si>
    <t>https://alpha.midjourney.com/jobs/02a937b0-dc30-4b61-a80a-775950a47d1e?index=0</t>
  </si>
  <si>
    <t>https://alpha.midjourney.com/jobs/f8926069-73ab-4045-b918-9cb77758a03b?index=3</t>
  </si>
  <si>
    <t>https://alpha.midjourney.com/jobs/a02f660a-1dce-436f-acb5-465e63f5bbc5?index=1</t>
  </si>
  <si>
    <t>https://alpha.midjourney.com/jobs/0e687280-8a8e-4bab-ba7e-71eecfd6f625?index=2</t>
  </si>
  <si>
    <t>https://alpha.midjourney.com/jobs/5e110d2e-a7e4-436b-bb11-4fb86e1580e9?index=3</t>
  </si>
  <si>
    <t>https://alpha.midjourney.com/jobs/5e110d2e-a7e4-436b-bb11-4fb86e1580e9?index=2</t>
  </si>
  <si>
    <t>https://alpha.midjourney.com/jobs/750ed738-29ba-42b6-8f6f-d878ddac70d4?index=1</t>
  </si>
  <si>
    <t>Dragonfire Warlock</t>
  </si>
  <si>
    <t>Ally of Dragon: Unleash &lt;E&gt;&lt;E&gt;: Bury an adjacent enemy Unit.</t>
  </si>
  <si>
    <t>With incantations smoldering on his tongue, he breathes out not words, but the fire of dragons.</t>
  </si>
  <si>
    <t>dragonfire warlock, bhuddist fire summoning warlock</t>
  </si>
  <si>
    <t>https://alpha.midjourney.com/jobs/e1671c8d-c48c-402d-addf-9a0fccad1761?index=0</t>
  </si>
  <si>
    <t>https://alpha.midjourney.com/jobs/ba533218-851c-4bf4-a8d6-1d40dd59d983?index=0</t>
  </si>
  <si>
    <t>https://alpha.midjourney.com/jobs/01e8e033-593c-490d-a32f-a166ab8baa48?index=2</t>
  </si>
  <si>
    <t>https://alpha.midjourney.com/jobs/5eca18e5-b521-4e2a-9848-bc98673ae4d2?index=0</t>
  </si>
  <si>
    <t>https://alpha.midjourney.com/jobs/914ae491-f842-47a7-972e-d9a4a84c90f6?index=0</t>
  </si>
  <si>
    <t>https://alpha.midjourney.com/jobs/50351124-cb8d-40c5-ba32-ab7ed7975d03?index=3</t>
  </si>
  <si>
    <t>https://alpha.midjourney.com/jobs/9b90030e-860f-496a-a734-a45969d1b0dd?index=1</t>
  </si>
  <si>
    <t>https://alpha.midjourney.com/jobs/54eedfaf-453e-4a49-bd5b-d4012761a293?index=1</t>
  </si>
  <si>
    <t>https://alpha.midjourney.com/jobs/6e8217f3-8ac2-45b0-8dc4-ef5352b479ea?index=2</t>
  </si>
  <si>
    <t>https://alpha.midjourney.com/jobs/12dd80f9-bb06-4d38-91d8-e146559471c0?index=0</t>
  </si>
  <si>
    <t>Dragonwind Harbinger</t>
  </si>
  <si>
    <t>Deploy: Draw the top Dragon of your Deck. Shuffle your Deck.</t>
  </si>
  <si>
    <t>In his eerie lament lies the fate of worlds, a grim herald of the dragonfire that will consume all.</t>
  </si>
  <si>
    <t>wind harbinger, fire spirit searching the essence of ember, glowing skin, ghost, ephemeral, banshee, female, primeval, translucent, primal</t>
  </si>
  <si>
    <t>https://alpha.midjourney.com/jobs/e4901e8f-dc64-4a32-8b4e-4db18f9edb34?index=2</t>
  </si>
  <si>
    <t>https://alpha.midjourney.com/jobs/792d59ef-82cf-4773-9eb4-65105c9208ec?index=2</t>
  </si>
  <si>
    <t>https://alpha.midjourney.com/jobs/61d71d29-7f19-4719-9f9d-b595a90e7eac?index=3</t>
  </si>
  <si>
    <t>https://alpha.midjourney.com/jobs/8f47bfa6-8da8-478d-aba1-dff1a5520f1c?index=0</t>
  </si>
  <si>
    <t>https://alpha.midjourney.com/jobs/841174db-5c68-41e8-819a-09fa028c5943?index=3</t>
  </si>
  <si>
    <t>https://alpha.midjourney.com/jobs/841174db-5c68-41e8-819a-09fa028c5943?index=0</t>
  </si>
  <si>
    <t>https://alpha.midjourney.com/jobs/53760255-c6fe-4c4c-ac76-95aa017993f9?index=1</t>
  </si>
  <si>
    <t>https://alpha.midjourney.com/jobs/87f09264-db69-471c-a5b1-db98d924778f?index=0</t>
  </si>
  <si>
    <t>https://alpha.midjourney.com/jobs/87f09264-db69-471c-a5b1-db98d924778f?index=3</t>
  </si>
  <si>
    <t>https://alpha.midjourney.com/jobs/b5789562-2e2e-4ceb-8443-0ae424a3c7dd?index=3</t>
  </si>
  <si>
    <t>Sparkwielder</t>
  </si>
  <si>
    <t>Deploy: Reveal the top Card with an 'Unleash' ability from your Deck. Copy its 'Unleash' ability, then draw that Card.</t>
  </si>
  <si>
    <t>Gashopper</t>
  </si>
  <si>
    <t>Deploy: For each friendly Elemental Crystal, you may put a Card from your Hand to the bottom of your Deck and draw a Card.</t>
  </si>
  <si>
    <t>Enhanced by sulfuric geysirs, each of its eyes sees another future.</t>
  </si>
  <si>
    <t>gashopper, grasshopper, insect druid, glowing eyes, energetic, bark skin, otherwordly, steaming body</t>
  </si>
  <si>
    <t>https://alpha.midjourney.com/jobs/aa3828cc-da5b-44fd-a991-7dfa8d358eca?index=1</t>
  </si>
  <si>
    <t>https://alpha.midjourney.com/jobs/bb66d639-f343-4845-af2a-5eb193006647?index=0</t>
  </si>
  <si>
    <t>https://alpha.midjourney.com/jobs/9d22a6ef-3cfd-4390-83a1-bcb607bfc60e?index=0</t>
  </si>
  <si>
    <t>https://alpha.midjourney.com/jobs/9d22a6ef-3cfd-4390-83a1-bcb607bfc60e?index=2</t>
  </si>
  <si>
    <t>https://alpha.midjourney.com/jobs/4a4fcd20-cf99-4f08-98be-e4a9a21447fd?index=2</t>
  </si>
  <si>
    <t>https://alpha.midjourney.com/jobs/edce3cff-dccc-4dd6-927a-c86b99379750?index=1</t>
  </si>
  <si>
    <t>https://alpha.midjourney.com/jobs/712bc1b1-a311-4c9e-8fd3-9084faf62db5?index=1</t>
  </si>
  <si>
    <t>https://alpha.midjourney.com/jobs/712bc1b1-a311-4c9e-8fd3-9084faf62db5?index=2</t>
  </si>
  <si>
    <t>https://alpha.midjourney.com/jobs/0ac155c4-dccd-49ea-a6ba-b70dd8d8e9a3?index=2</t>
  </si>
  <si>
    <t>https://alpha.midjourney.com/jobs/4675fbf5-6bfc-4c8a-9092-aaf4e3643f28?index=2</t>
  </si>
  <si>
    <t>Hailbringer</t>
  </si>
  <si>
    <t>Deploy: Put an adjacent enemy Unit on the bottom of your Opponent's Deck. Move the top Card of your Opponent's Deck into that Slot.</t>
  </si>
  <si>
    <t>In his grasp, the calmest breeze becomes a maelstrom, a whirlwind of chaos at his command</t>
  </si>
  <si>
    <t>Stormlash</t>
  </si>
  <si>
    <t>Dragon Hunter</t>
  </si>
  <si>
    <t>Deploy: Unleash &lt;E&gt;&lt;E&gt;&lt;E&gt;: You may move all adjacent enemy Units.</t>
  </si>
  <si>
    <t>He is the tempest incarnate, a draconic force that reshapes landscapes with the mere beat of his wings.</t>
  </si>
  <si>
    <t>Stormworn Horn</t>
  </si>
  <si>
    <t>Ally of Elemental: Draw three Cards. At the End of this Turn, put three Cards from your Hand at the bottom of your Deck.</t>
  </si>
  <si>
    <t>Rare is the sight of the horned earth-digger, a creature whose very existence challenges our understanding of the natural world. It uses its horn in a manner most ingenious, excavating the ground for hidden morsels.</t>
  </si>
  <si>
    <t>Glinteye Hoarder</t>
  </si>
  <si>
    <t>Conquer: Draw 2 Cards and bury a friendly Crystal.</t>
  </si>
  <si>
    <t>A dragon's passion for gold cast into living form.</t>
  </si>
  <si>
    <t>glinteye hoarder, golden dragon, dragon with golden scales, sitting on a pile of gems</t>
  </si>
  <si>
    <t>https://alpha.midjourney.com/jobs/8ccfe4e3-0dd5-4f9c-be98-1629ec29694f?index=0</t>
  </si>
  <si>
    <t>https://alpha.midjourney.com/jobs/8ccfe4e3-0dd5-4f9c-be98-1629ec29694f?index=2</t>
  </si>
  <si>
    <t>https://alpha.midjourney.com/jobs/47e93cbb-0e71-491a-a49b-5685172b96b1?index=2</t>
  </si>
  <si>
    <t>https://alpha.midjourney.com/jobs/c0bbf41e-da40-447a-8817-ba761c755907?index=1</t>
  </si>
  <si>
    <t>https://alpha.midjourney.com/jobs/e27864a6-cc07-4984-b181-922b584c0d96?index=3</t>
  </si>
  <si>
    <t>https://alpha.midjourney.com/jobs/0a1168a7-16a3-4022-b822-fd13a508a624?index=0</t>
  </si>
  <si>
    <t>https://alpha.midjourney.com/jobs/e30e77bd-955e-4e8e-afe4-eae7161982c4?index=3</t>
  </si>
  <si>
    <t>https://alpha.midjourney.com/jobs/eaad0536-abea-4999-883c-e3e793929cf4?index=3</t>
  </si>
  <si>
    <t>https://alpha.midjourney.com/jobs/a3874385-0194-4c0f-ba14-08b4d7628a67?index=1</t>
  </si>
  <si>
    <t>https://alpha.midjourney.com/jobs/8c585bc8-5180-439e-8adb-c3a47c0150fe?index=2</t>
  </si>
  <si>
    <t>The Culling Claw</t>
  </si>
  <si>
    <t>Demon Dragon</t>
  </si>
  <si>
    <t>Crystallize: Gain Crystalborn. Whenever a Common Unit is deployed adjacently, bury it and gain its Power.</t>
  </si>
  <si>
    <t>Thunderfox</t>
  </si>
  <si>
    <t>Start of your Turn: You may bury this to give an adjacent friendly Unit +2 Power.</t>
  </si>
  <si>
    <t>Elusive as a spark in the storm, training it as a pet is a quest akin to capturing lightning itself.</t>
  </si>
  <si>
    <t>Raijin's Familiar</t>
  </si>
  <si>
    <t>Deploy: Unleash &lt;E&gt;&lt;E&gt;&lt;E&gt;: You may move an adjacent Unit to any empty Slot on the Board.</t>
  </si>
  <si>
    <t>small chinese snake, ephemeral, made out of steam, lightning, thunderstorm, white pelt, rushing, snakelike</t>
  </si>
  <si>
    <t>https://alpha.midjourney.com/jobs/99049fea-fc5d-4752-b9db-6d8c91ccc8ae?index=2</t>
  </si>
  <si>
    <t>https://alpha.midjourney.com/jobs/a57b5b64-f263-4fdf-af6b-1b93580bfe5e?index=0</t>
  </si>
  <si>
    <t>https://alpha.midjourney.com/jobs/7fc25a68-b33f-47f1-a6ec-9553717b1c97?index=0</t>
  </si>
  <si>
    <t>https://alpha.midjourney.com/jobs/7fc25a68-b33f-47f1-a6ec-9553717b1c97?index=1</t>
  </si>
  <si>
    <t>https://alpha.midjourney.com/jobs/9f59a1ed-24af-4d99-acaa-6a2a05df2427?index=3</t>
  </si>
  <si>
    <t>https://alpha.midjourney.com/jobs/8572f917-df31-4408-8707-1d30d6ca5130?index=2</t>
  </si>
  <si>
    <t>https://alpha.midjourney.com/jobs/fb929c6c-57e6-433a-a266-d6503efa9f59?index=3</t>
  </si>
  <si>
    <t>https://alpha.midjourney.com/jobs/2ddb8064-c0f9-4c6e-bd7c-5450e649e0ba?index=1</t>
  </si>
  <si>
    <t>https://alpha.midjourney.com/jobs/2ddb8064-c0f9-4c6e-bd7c-5450e649e0ba?index=0</t>
  </si>
  <si>
    <t>https://alpha.midjourney.com/jobs/c9877abe-5367-4550-95bd-009c5ca1c395?index=2</t>
  </si>
  <si>
    <t>Twin Thundertail</t>
  </si>
  <si>
    <t>Ambush: A friendly Unit in this Lane unleashed this Turn. Unearth: Copy the 'Unleash' Ability of a friendly Unit in this Lane.</t>
  </si>
  <si>
    <t>Vengeful Gust</t>
  </si>
  <si>
    <t>Deploy: Bury a friendly Unit with the lowest Power.</t>
  </si>
  <si>
    <t>Runecursed Wyvern</t>
  </si>
  <si>
    <t>Crystalblight? Dragon Wizard</t>
  </si>
  <si>
    <t>Deploy: Bury a friendly Crystal.</t>
  </si>
  <si>
    <t>Empty Crystal</t>
  </si>
  <si>
    <t>runecursed wyvern, blind, no eyes, black faceplate, drawing energy from the earth, burning runes etched into its scales</t>
  </si>
  <si>
    <t>https://alpha.midjourney.com/jobs/304afcfd-7894-408f-9075-b9665b0da9bb?index=1</t>
  </si>
  <si>
    <t>https://alpha.midjourney.com/jobs/3f700745-93e9-491e-b302-0f3b8129cd3a?index=3</t>
  </si>
  <si>
    <t>https://alpha.midjourney.com/jobs/efc96ed0-d87b-4d29-bb86-f29795728bf8?index=2</t>
  </si>
  <si>
    <t>https://alpha.midjourney.com/jobs/b6935539-efed-401f-850a-d485cb53a209?index=2</t>
  </si>
  <si>
    <t>https://alpha.midjourney.com/jobs/b1f8f3d5-445f-4c75-8c69-dc3c00dd6a2a?index=3</t>
  </si>
  <si>
    <t>https://alpha.midjourney.com/jobs/b1f8f3d5-445f-4c75-8c69-dc3c00dd6a2a?index=1</t>
  </si>
  <si>
    <t>Skulloath Lootclaimer</t>
  </si>
  <si>
    <t>Deploy: Bury a Crystal.</t>
  </si>
  <si>
    <t>human mongolian raider, skull-oath, looting, raiding, stealing gold</t>
  </si>
  <si>
    <t>https://alpha.midjourney.com/jobs/b782234a-ae27-4ab3-a874-11519512ecce?index=1</t>
  </si>
  <si>
    <t>https://alpha.midjourney.com/jobs/bace0219-18ab-4fad-b1cf-6dd7f636ba09?index=3</t>
  </si>
  <si>
    <t>https://alpha.midjourney.com/jobs/bace0219-18ab-4fad-b1cf-6dd7f636ba09?index=1</t>
  </si>
  <si>
    <t>https://alpha.midjourney.com/jobs/48fb748c-ced1-4a11-b902-08569b23ea3e?index=3</t>
  </si>
  <si>
    <t>https://alpha.midjourney.com/jobs/648f33e0-f155-4776-b3ef-cb6a2da47ad2?index=0</t>
  </si>
  <si>
    <t>https://alpha.midjourney.com/jobs/88722dbd-81e5-4a88-b7b1-4d119407e4eb?index=2</t>
  </si>
  <si>
    <t>https://alpha.midjourney.com/jobs/ac379b8f-0976-49e8-9984-afd4fa85d72d?index=2</t>
  </si>
  <si>
    <t>https://alpha.midjourney.com/jobs/ac379b8f-0976-49e8-9984-afd4fa85d72d?index=0</t>
  </si>
  <si>
    <t>https://alpha.midjourney.com/jobs/ce81bdef-692d-43ea-9dce-a4b313702bd0?index=2</t>
  </si>
  <si>
    <t>https://alpha.midjourney.com/jobs/92e4fd9a-ec61-456e-ae1a-ccf89544238d?index=1</t>
  </si>
  <si>
    <t>Spell Cat</t>
  </si>
  <si>
    <t>Whenever a friendly Wizard is deployed adjacently, swap this with that Unit and give that Unit +2 Power.</t>
  </si>
  <si>
    <t>Even a sorcerer's cold heart can't escape the affection of a black furball.</t>
  </si>
  <si>
    <t>spell cat, wizard cat sitting infront of a burning bookcase, magical cat, eyes reflecting fire</t>
  </si>
  <si>
    <t>https://alpha.midjourney.com/jobs/23c28003-cb9d-4252-b47e-eb31b79c4746?index=3</t>
  </si>
  <si>
    <t>https://alpha.midjourney.com/jobs/c014fa78-9b56-4e92-9380-05f3c1bc63f2?index=3</t>
  </si>
  <si>
    <t>https://alpha.midjourney.com/jobs/c014fa78-9b56-4e92-9380-05f3c1bc63f2?index=0</t>
  </si>
  <si>
    <t>https://alpha.midjourney.com/jobs/ea69db27-0094-46a2-957d-df9c6587cd8f?index=1</t>
  </si>
  <si>
    <t>https://alpha.midjourney.com/jobs/d8a56be5-0fe5-434b-a77a-b6146873ea1a?index=3</t>
  </si>
  <si>
    <t>https://alpha.midjourney.com/jobs/d8a56be5-0fe5-434b-a77a-b6146873ea1a?index=0</t>
  </si>
  <si>
    <t>Vermillion Firebird</t>
  </si>
  <si>
    <t>When this gets buried, you may bury a friendly Crystal to unearth this.</t>
  </si>
  <si>
    <t>In its mystical flight, neither blade nor spell can quench its eternal fire.</t>
  </si>
  <si>
    <t>E, E, E, ?, ?</t>
  </si>
  <si>
    <t>vermillion firebird, aflame, on fire</t>
  </si>
  <si>
    <t>https://alpha.midjourney.com/jobs/855584b6-ff81-449c-bfc8-776b89e2e1b6?index=2</t>
  </si>
  <si>
    <t>https://alpha.midjourney.com/jobs/855584b6-ff81-449c-bfc8-776b89e2e1b6?index=3</t>
  </si>
  <si>
    <t>https://alpha.midjourney.com/jobs/8267de13-464b-4475-8b89-635cac0d70bd?index=0</t>
  </si>
  <si>
    <t>https://alpha.midjourney.com/jobs/855584b6-ff81-449c-bfc8-776b89e2e1b6?index=0</t>
  </si>
  <si>
    <t>https://alpha.midjourney.com/jobs/ce13cd47-a205-4d28-96b0-bdf906fae89f?index=0</t>
  </si>
  <si>
    <t>https://alpha.midjourney.com/jobs/a18746cf-975e-483a-9c0c-94c134cf6af2?index=3</t>
  </si>
  <si>
    <t>https://alpha.midjourney.com/jobs/a18746cf-975e-483a-9c0c-94c134cf6af2?index=1</t>
  </si>
  <si>
    <t>Oasisdweller</t>
  </si>
  <si>
    <t>Deploy: You may return a friendly Spirit or Warrior to your hand. If you do, draw a Card.</t>
  </si>
  <si>
    <t>oasis dweller, giant spirit sand winged gazelle lizard, ephemeral, ghostly, ghastly, phantom, ghost, sandstorm, calm, peaceful, protective spirit, light green</t>
  </si>
  <si>
    <t>https://alpha.midjourney.com/jobs/64365801-a467-48b5-80fe-b2e14b46c622?index=3</t>
  </si>
  <si>
    <t>https://alpha.midjourney.com/jobs/edfa0ecc-62fe-4e23-8bad-51f3f37c3e52?index=0</t>
  </si>
  <si>
    <t>https://alpha.midjourney.com/jobs/90b1ef17-1840-43a4-a96b-9d42245755e5?index=2</t>
  </si>
  <si>
    <t>https://alpha.midjourney.com/jobs/4529965a-161b-46fc-84ef-11b6aa6505c0?index=1</t>
  </si>
  <si>
    <t>https://alpha.midjourney.com/jobs/0c3b1178-de16-46bc-a164-f1739f41cd16?index=0</t>
  </si>
  <si>
    <t>https://alpha.midjourney.com/jobs/ebc002b1-7bb9-479e-a1ce-ea1c8ddf987b?index=1</t>
  </si>
  <si>
    <t>https://alpha.midjourney.com/jobs/fcedc117-8f07-44fd-9b27-38403dc905eb?index=2</t>
  </si>
  <si>
    <t>https://alpha.midjourney.com/jobs/fcedc117-8f07-44fd-9b27-38403dc905eb?index=1</t>
  </si>
  <si>
    <t>https://alpha.midjourney.com/jobs/61c81789-079d-4284-bc11-8f18bf858e7a?index=0</t>
  </si>
  <si>
    <t>https://alpha.midjourney.com/jobs/54179720-6bdf-4c71-8029-954ac967324e?index=2</t>
  </si>
  <si>
    <t>Portalrunner</t>
  </si>
  <si>
    <t>Elemental Mortal</t>
  </si>
  <si>
    <t>Deploy: You may swap this with another friendly Wizard Unit. Both gain +2 Power.</t>
  </si>
  <si>
    <t>Master of spatial rifts, he strides through worlds unseen, his power a dance with the fabric of reality.</t>
  </si>
  <si>
    <t>E, M, ?, ?</t>
  </si>
  <si>
    <t>Cinderguard Irregulars</t>
  </si>
  <si>
    <t>In the ember's glow, hooded rebels rise, defying orders with fire in their eyes.</t>
  </si>
  <si>
    <t>cinderguard irregulars, heavily tattoed mexican gang members, red hood, ancient bandit</t>
  </si>
  <si>
    <t>https://alpha.midjourney.com/jobs/9abdcae0-7389-454b-bde3-fb534aec9fa4?index=1</t>
  </si>
  <si>
    <t>https://alpha.midjourney.com/jobs/21aae87c-bcf0-4967-94c8-66c12bd2dd5f?index=2</t>
  </si>
  <si>
    <t>https://alpha.midjourney.com/jobs/ff085a28-2be3-400f-b0aa-dfbaad7ad260?index=3</t>
  </si>
  <si>
    <t>https://alpha.midjourney.com/jobs/7daae98b-96af-490a-abb0-c40d53d449c6?index=1</t>
  </si>
  <si>
    <t>https://alpha.midjourney.com/jobs/7dd032d6-0ed5-4d3f-926c-322526d5acea?index=3</t>
  </si>
  <si>
    <t>https://alpha.midjourney.com/jobs/78be4041-6983-4fec-ac2f-158748bc0f07?index=1</t>
  </si>
  <si>
    <t>https://alpha.midjourney.com/jobs/081fdde2-8231-41d5-aa5c-be3ff2f37b5d?index=2</t>
  </si>
  <si>
    <t>https://alpha.midjourney.com/jobs/e641b986-4bf2-46ee-bff1-f15abfe257b6?index=0</t>
  </si>
  <si>
    <t>https://alpha.midjourney.com/jobs/7f7e7244-f70d-4340-bc00-db8ba5869d51?index=0</t>
  </si>
  <si>
    <t>https://alpha.midjourney.com/jobs/fe6e9b6c-1cca-4a3d-b1ff-7bb7fd6ebc36?index=0</t>
  </si>
  <si>
    <t>Steelclaw Veterans</t>
  </si>
  <si>
    <t>Dragon Warrior</t>
  </si>
  <si>
    <t>Conquer: Bury another Unit with the lowest Power in each of these Lanes.</t>
  </si>
  <si>
    <t>Clad in scars and armor alike, these dragonborn define the fine line between ferocity and valor.</t>
  </si>
  <si>
    <t>E, E, M, M, ?, ?</t>
  </si>
  <si>
    <t>Crazed Hermit</t>
  </si>
  <si>
    <t>Elemental Nature</t>
  </si>
  <si>
    <t>Human Plant</t>
  </si>
  <si>
    <t>Deploy: Copy the 'Crystallize' ability of a friendly Crystal.</t>
  </si>
  <si>
    <t>A hermit no longer just a man, but a part of the forest's soul, understanding every rustle, every ripple, every breath of the wild.</t>
  </si>
  <si>
    <t>E, N, N, ?</t>
  </si>
  <si>
    <t>Galeweaver</t>
  </si>
  <si>
    <t>Deploy: Swap an adjacent friendly Unit with the top Card of your Deck.</t>
  </si>
  <si>
    <t>As guardian of the gales, her touch is both a soothing balm and a tempest's fury, a spirit as unpredictable as the wind.</t>
  </si>
  <si>
    <t>galeweaver, wind spirit, fujin, kazakame, kamaitachi</t>
  </si>
  <si>
    <t>https://alpha.midjourney.com/jobs/ded5b3c8-a989-40e4-8be3-5ac67cf41736?index=0</t>
  </si>
  <si>
    <t>https://alpha.midjourney.com/jobs/7f5227db-8efa-4198-aad8-a7303c4834f9?index=0</t>
  </si>
  <si>
    <t>https://alpha.midjourney.com/jobs/affa39b4-9e17-48c4-8895-78b1f433b9f7?index=0</t>
  </si>
  <si>
    <t>https://alpha.midjourney.com/jobs/5b8a0ee5-409e-4609-8aba-0c49858830f9?index=3</t>
  </si>
  <si>
    <t>https://alpha.midjourney.com/jobs/5b8a0ee5-409e-4609-8aba-0c49858830f9?index=0</t>
  </si>
  <si>
    <t>https://alpha.midjourney.com/jobs/436c6169-6856-4831-9b5e-36c538fafa7c?index=3</t>
  </si>
  <si>
    <t>https://alpha.midjourney.com/jobs/658a4dd0-bf6d-47e7-86d8-52ee52a8f214?index=2</t>
  </si>
  <si>
    <t>https://alpha.midjourney.com/jobs/7bb8e808-62d2-41bb-8749-200a9089a3e9?index=2</t>
  </si>
  <si>
    <t>https://alpha.midjourney.com/jobs/4ccb8031-ae89-47b6-a633-e16eac63166b?index=3</t>
  </si>
  <si>
    <t>https://alpha.midjourney.com/jobs/7f81eb9e-f062-46de-9105-f93730a4e7fb?index=0</t>
  </si>
  <si>
    <t>Lurking Canopystomper</t>
  </si>
  <si>
    <t>Dinosaur Warrior</t>
  </si>
  <si>
    <t>Deploy: If there is no adjacent friendly Unit with 5 or more Power, bury this.</t>
  </si>
  <si>
    <t>E, N, ?, ?, ?</t>
  </si>
  <si>
    <t>Resourceful Poacher</t>
  </si>
  <si>
    <t>Ally of Animal, Dinosaur or Dragon: Return an adjacent Unit to its Owner's Hand and draw a Card.</t>
  </si>
  <si>
    <t>Dinosaurs</t>
  </si>
  <si>
    <t>E, E, N, ?, ?</t>
  </si>
  <si>
    <t>Infernoblight</t>
  </si>
  <si>
    <t>Deploy: Gain Fear. Whenever a friendly Dragon Unit is deployed adjacently, gain +1 Power, and draw a Card</t>
  </si>
  <si>
    <t>In the whispers of night, they speak of Infernoblight, a fiery doom awaiting at time's edge, a scorching conclusion to all stories.</t>
  </si>
  <si>
    <t>Infernoblight, an ancient evil dragon burning down a roman city, hydra, giant, primeval, majestic</t>
  </si>
  <si>
    <t>https://alpha.midjourney.com/jobs/33f7cc2c-e93d-4e2c-9b65-000f7fec5b4d?index=3</t>
  </si>
  <si>
    <t>https://alpha.midjourney.com/jobs/d85c9fc4-fcbf-4427-9461-c7d69924fd22?index=3</t>
  </si>
  <si>
    <t>https://alpha.midjourney.com/jobs/ded1343a-822d-4000-b96d-307220437a47?index=3</t>
  </si>
  <si>
    <t>https://alpha.midjourney.com/jobs/7b986382-842d-4894-bfa5-8f3a13c28048?index=2</t>
  </si>
  <si>
    <t>https://alpha.midjourney.com/jobs/7b986382-842d-4894-bfa5-8f3a13c28048?index=1</t>
  </si>
  <si>
    <t>https://alpha.midjourney.com/jobs/3ece9766-fbca-4a9f-b43c-ceacdfd34356?index=0</t>
  </si>
  <si>
    <t>https://alpha.midjourney.com/jobs/23146584-f12d-4df7-9044-bc3fddd5aed1?index=2</t>
  </si>
  <si>
    <t>https://alpha.midjourney.com/jobs/e7c5e4fe-638b-4178-857e-6623f117ac1e?index=3</t>
  </si>
  <si>
    <t>https://alpha.midjourney.com/jobs/d1d4e43a-6294-4cca-b9e9-a8a9b7c14773?index=2</t>
  </si>
  <si>
    <t>https://alpha.midjourney.com/jobs/1b37b6ab-c626-42c3-a564-3b3f1a292370?index=3</t>
  </si>
  <si>
    <t>The Skyshrieker</t>
  </si>
  <si>
    <t>Deploy: Gain Fear. You may move an adjacent Unit.</t>
  </si>
  <si>
    <t>In times of crisis, his cry pierces the heavens, a sound that spells relief for the endangered and doom for their foes.</t>
  </si>
  <si>
    <t>Mistborn Serpent</t>
  </si>
  <si>
    <t>Bringer of Bad Omens</t>
  </si>
  <si>
    <t>Elemental Void</t>
  </si>
  <si>
    <t>Deploy: Obscure 2. Glimpse 2.</t>
  </si>
  <si>
    <t>E, V</t>
  </si>
  <si>
    <t>Gaunt Visitation</t>
  </si>
  <si>
    <t>Undead Spirit</t>
  </si>
  <si>
    <t>Ambush: A Spirit Unit was deployed adjacently this Turn. Unearth: Adjacent friendly Spirit Units gain +2 Power and Fear.</t>
  </si>
  <si>
    <t>Spirits</t>
  </si>
  <si>
    <t>E, V, ?, ?, ?</t>
  </si>
  <si>
    <t>Lightning Manticore</t>
  </si>
  <si>
    <t>Ritual: Bury an enemy Crystal.</t>
  </si>
  <si>
    <t>It prowls the storm-laden skies, a beast of electric dread, its allegiance as dark as the clouds it rides.</t>
  </si>
  <si>
    <t>E, E, V, ?, ?, ?</t>
  </si>
  <si>
    <t>Featherfrost Harpy</t>
  </si>
  <si>
    <t>Human Spirit</t>
  </si>
  <si>
    <t>Raging Minotaur</t>
  </si>
  <si>
    <t>Animal Demon</t>
  </si>
  <si>
    <t>Whenever an enemy Unit is deployed adjacently, gain +2 Power. Deploy: Gain Taunt.</t>
  </si>
  <si>
    <t>Trapped between man and monster, his every step is a thunder of rage against a fate he never chose.</t>
  </si>
  <si>
    <t>Raijin</t>
  </si>
  <si>
    <t>Deploy: Copy the 'Unleash' ability of each Unit.</t>
  </si>
  <si>
    <t>Where black clouds gather, his presence is near, the air crackling with the energy of his blue lightning.</t>
  </si>
  <si>
    <t>E, E, E, ?, ?, ?</t>
  </si>
  <si>
    <t>chinese dragon, ephemeral, made out of steam, cloud being, shapeless, gaseous, lightning, thunderstorm, white pelt, rushing, snakelike</t>
  </si>
  <si>
    <t>https://alpha.midjourney.com/jobs/1c379fb0-c7fe-4bce-a2e2-c1046dca0a59?index=3</t>
  </si>
  <si>
    <t>https://alpha.midjourney.com/jobs/1c379fb0-c7fe-4bce-a2e2-c1046dca0a59?index=1</t>
  </si>
  <si>
    <t>https://alpha.midjourney.com/jobs/1c379fb0-c7fe-4bce-a2e2-c1046dca0a59?index=0</t>
  </si>
  <si>
    <t>https://alpha.midjourney.com/jobs/032d003e-cfc5-416a-b659-1bdded298c0e?index=1</t>
  </si>
  <si>
    <t>https://alpha.midjourney.com/jobs/de56f839-6491-46cf-880d-6d928a2517da?index=0</t>
  </si>
  <si>
    <t>https://alpha.midjourney.com/jobs/83e9cfe5-7b3e-4733-9009-d3e420db215a?index=1</t>
  </si>
  <si>
    <t>https://alpha.midjourney.com/jobs/5764c6a2-ac2a-45d1-bd44-3056e5b71fde?index=3</t>
  </si>
  <si>
    <t>https://alpha.midjourney.com/jobs/dabe2c88-7609-4d23-9be4-b6d03f5043ec?index=2</t>
  </si>
  <si>
    <t>https://alpha.midjourney.com/jobs/22f743bd-9c45-49eb-bcae-584391aba2aa?index=1</t>
  </si>
  <si>
    <t>https://alpha.midjourney.com/jobs/16ee0dc4-08e6-49e0-be6c-5041c7b5d4f9?index=1</t>
  </si>
  <si>
    <t>Venomshade Lamia</t>
  </si>
  <si>
    <t>Animal Warrior</t>
  </si>
  <si>
    <t>Conquer: Draw Cards until you have as many Cards in Hand as your Opponent.</t>
  </si>
  <si>
    <t>In the shadow of her coils, lies a toxic allure, as deadly as it is beguiling.</t>
  </si>
  <si>
    <t>Volcano Embodiment</t>
  </si>
  <si>
    <t>Born from molten fury, it stands as both creator and destroyer of lands.</t>
  </si>
  <si>
    <t>volcano embodiment, volcano elemental, made of lava and obsidian, dynamic, action shot</t>
  </si>
  <si>
    <t>https://alpha.midjourney.com/jobs/b3f1d5b4-d271-4bb7-9615-dec247ec2937?index=0</t>
  </si>
  <si>
    <t>https://alpha.midjourney.com/jobs/13f74e45-15bf-4673-a15e-3672c00526da?index=2</t>
  </si>
  <si>
    <t>https://alpha.midjourney.com/jobs/710d0cf8-ce38-4aa4-b3f2-876f350c95e5?index=1</t>
  </si>
  <si>
    <t>https://alpha.midjourney.com/jobs/670cd204-5704-4f12-9125-5eb354177f5f?index=2</t>
  </si>
  <si>
    <t>https://alpha.midjourney.com/jobs/7ab22aed-daaa-486c-bcb0-51549f984fe3?index=0</t>
  </si>
  <si>
    <t>https://alpha.midjourney.com/jobs/22bb3e8d-5c52-4c44-8587-02c99977f143?index=0</t>
  </si>
  <si>
    <t>https://alpha.midjourney.com/jobs/eca24b96-706c-4dc3-98e0-b7e7167890f1?index=1</t>
  </si>
  <si>
    <t>https://alpha.midjourney.com/jobs/c01595f3-8df5-40fb-ad79-c4ab3f4993bf?index=3</t>
  </si>
  <si>
    <t>https://alpha.midjourney.com/jobs/c57f1fec-7402-4dfa-a0da-3df1bc5a18a7?index=2</t>
  </si>
  <si>
    <t>https://alpha.midjourney.com/jobs/89af2c6d-773c-4b37-a02a-c29797ab5507?index=2</t>
  </si>
  <si>
    <t>Shardhorde Leviathan</t>
  </si>
  <si>
    <t>Rising from oceanic depths, its crystalline form is a monolith of untamed power, a behemoth that knows no bounds.</t>
  </si>
  <si>
    <t>E, E, E, ?, ?, ?, ?</t>
  </si>
  <si>
    <t>shardhorde leviathan, lavender colored, giant gemstone crusted dragon, bellowing, towering mountains, wingless, serpentine, piercing through clouds, foggy</t>
  </si>
  <si>
    <t>https://alpha.midjourney.com/jobs/f04b4fbf-83ad-4f50-9c3a-68843e69ef11?index=2</t>
  </si>
  <si>
    <t>https://alpha.midjourney.com/jobs/23732ab2-74d0-4739-baaf-5e6c23e8873a?index=0</t>
  </si>
  <si>
    <t>https://alpha.midjourney.com/jobs/cb44e85d-870b-4bc6-8948-450c772daf5c?index=0</t>
  </si>
  <si>
    <t>https://alpha.midjourney.com/jobs/258f8be4-8fc8-47e9-9423-4d7e9f7e209b?index=0</t>
  </si>
  <si>
    <t>https://alpha.midjourney.com/jobs/97987280-b216-408a-9bcb-dd348cfcb803?index=1</t>
  </si>
  <si>
    <t>https://alpha.midjourney.com/jobs/736a8fe4-c031-4266-a180-8d5fa8d7a20c?index=3</t>
  </si>
  <si>
    <t>https://alpha.midjourney.com/jobs/f4364281-c341-4325-823b-cc159f62e3fa?index=3</t>
  </si>
  <si>
    <t>https://alpha.midjourney.com/jobs/f4364281-c341-4325-823b-cc159f62e3fa?index=1</t>
  </si>
  <si>
    <t>https://alpha.midjourney.com/jobs/3ffc8199-7676-44a0-b357-0e6a826b2531?index=1</t>
  </si>
  <si>
    <t>https://alpha.midjourney.com/jobs/c0768680-bd4c-4545-846f-002afd6a854b?index=0</t>
  </si>
  <si>
    <t>Tectonic Shifter</t>
  </si>
  <si>
    <t>Demon Dinosaur</t>
  </si>
  <si>
    <t>Deploy: Gain Fear. Return an adjacent Unit to its Owner's Hand.</t>
  </si>
  <si>
    <t>tectonic shifter, groudon</t>
  </si>
  <si>
    <t>https://alpha.midjourney.com/jobs/04e07353-17ab-4846-84bc-818bc402f09d?index=1</t>
  </si>
  <si>
    <t>https://alpha.midjourney.com/jobs/e8e96f76-94bd-41ae-b1bd-4ca96aebdd1e?index=3</t>
  </si>
  <si>
    <t>https://alpha.midjourney.com/jobs/ee08debf-6dfa-4c1a-b68d-af2815e27ecd?index=0</t>
  </si>
  <si>
    <t>https://alpha.midjourney.com/jobs/a5b23374-c9e0-4cc3-ac9e-7cc693ab07b6?index=1</t>
  </si>
  <si>
    <t>https://alpha.midjourney.com/jobs/da48772a-b4d4-44f8-8d55-428c4b7750df?index=1</t>
  </si>
  <si>
    <t>Bastion Architect</t>
  </si>
  <si>
    <t>Mortal</t>
  </si>
  <si>
    <t>Deploy: A friendly Construct Unit in this Lane gains Ward, Taunt, and +2 Power.</t>
  </si>
  <si>
    <t>From his mind, mighty bastions rise and formidable siege engines emerge, playing both sides of war's relentless dance.</t>
  </si>
  <si>
    <t>M, ?, ?</t>
  </si>
  <si>
    <t>Drägen</t>
  </si>
  <si>
    <t xml:space="preserve">Deploy: </t>
  </si>
  <si>
    <t>Mega Ultra Chicken</t>
  </si>
  <si>
    <t>Blue Crusader</t>
  </si>
  <si>
    <t>Whenever an enemy non-Mortal Unit is deployed adjacently, gain +1 Power.</t>
  </si>
  <si>
    <t>M, ?</t>
  </si>
  <si>
    <t>Venom-Dew</t>
  </si>
  <si>
    <t>Insect Spirit</t>
  </si>
  <si>
    <t>Conquer: You may deploy a friendly Insect Crystal.</t>
  </si>
  <si>
    <t>Golemsaurus</t>
  </si>
  <si>
    <t>Dinosaur Construct</t>
  </si>
  <si>
    <t>Slumbering Cavedrake</t>
  </si>
  <si>
    <t>Ambush: Condition. Unearth: Gain Fear and +3 Power.</t>
  </si>
  <si>
    <t>E, E</t>
  </si>
  <si>
    <t>Eagle of the Legion</t>
  </si>
  <si>
    <t>Animal Human</t>
  </si>
  <si>
    <t>Start of your Turn: A friendly Human Unit gains Fear or Taunt.</t>
  </si>
  <si>
    <t>"See her soar above the battle? That's not just any bird – that's ours, that is. And as long as she's flying, we're winning."</t>
  </si>
  <si>
    <t>Dragon Rider</t>
  </si>
  <si>
    <t>Human Dragon</t>
  </si>
  <si>
    <t>Deploy: Copy the Ability of an adjacent Dragon Unit or Human Unit.</t>
  </si>
  <si>
    <t>Together, they redefine the possible, her spirit and his fire entwined in flight.</t>
  </si>
  <si>
    <t>female dragon rider, red sash, asian medieval pirate, sitting on a saddle, huge chinese dragon crane</t>
  </si>
  <si>
    <t>https://alpha.midjourney.com/jobs/f29821d3-a78b-46a9-ab7b-9b476d6ecfd7?index=1</t>
  </si>
  <si>
    <t>https://alpha.midjourney.com/jobs/7f15e033-4d9d-48a2-9a39-7197c3b9bf07?index=3</t>
  </si>
  <si>
    <t>https://alpha.midjourney.com/jobs/a6b8108d-1bb5-42d2-a7a0-28095eb3d2c2?index=2</t>
  </si>
  <si>
    <t>https://alpha.midjourney.com/jobs/60403217-9653-4c7f-8bd1-52389abddd0b?index=2</t>
  </si>
  <si>
    <t>https://alpha.midjourney.com/jobs/35a72dcd-bf6d-4211-a3ec-b4a56e9266de?index=3</t>
  </si>
  <si>
    <t>https://alpha.midjourney.com/jobs/64811c7a-9306-4518-8d43-b94ca602125b?index=2</t>
  </si>
  <si>
    <t>https://alpha.midjourney.com/jobs/4f36ce57-0d46-485b-824d-f5324b716d84?index=1</t>
  </si>
  <si>
    <t>https://alpha.midjourney.com/jobs/b7fa891c-92aa-4309-9f37-1140cd8df7b3?index=2</t>
  </si>
  <si>
    <t>https://alpha.midjourney.com/jobs/64a2413c-9261-4124-ba7d-e64c2319aae0?index=0</t>
  </si>
  <si>
    <t>https://alpha.midjourney.com/jobs/95d4bd24-c3f9-417f-be00-e2b02341a172?index=0</t>
  </si>
  <si>
    <t>Starfall Shaman</t>
  </si>
  <si>
    <t xml:space="preserve">Ritual: Glimpse 2 and draw 2 Cards. </t>
  </si>
  <si>
    <t>Guided by ancient constellations, he beckons knowledge from the heavens, a nod to the legendary magic of old.</t>
  </si>
  <si>
    <t>E, E, M, ?, ?</t>
  </si>
  <si>
    <t>starfall shaman, aztec, mesoamerican, summoning a meteor, on an aztec pyramid, purple, colorful feather headdress</t>
  </si>
  <si>
    <t>https://alpha.midjourney.com/jobs/0d462342-adfb-4bc1-8852-2f568fbc9684?index=2</t>
  </si>
  <si>
    <t>https://alpha.midjourney.com/jobs/eb6b6ed8-09d8-4cb7-8e72-89daeeb5ad45?index=1</t>
  </si>
  <si>
    <t>https://alpha.midjourney.com/jobs/0bfb1ddb-5317-44ca-ac28-18bec4484bb2?index=2</t>
  </si>
  <si>
    <t>https://alpha.midjourney.com/jobs/fc65d230-0b7a-4bbd-9653-6fa105e5bcec?index=3</t>
  </si>
  <si>
    <t>https://alpha.midjourney.com/jobs/48703433-d069-4669-a233-4fb736b88afa?index=2</t>
  </si>
  <si>
    <t>https://alpha.midjourney.com/jobs/48703433-d069-4669-a233-4fb736b88afa?index=0</t>
  </si>
  <si>
    <t>https://alpha.midjourney.com/jobs/3500932c-0e0c-496e-8393-7f54603731c9?index=3</t>
  </si>
  <si>
    <t>https://alpha.midjourney.com/jobs/888400b6-fc24-4382-9b4f-cb536d1c6259?index=2</t>
  </si>
  <si>
    <t>Gem Merchant</t>
  </si>
  <si>
    <t>Ambush: A Unit was deployed in this Lane this Turn. Unearth: Another friendly Unit in this Lane gains +2 Power.</t>
  </si>
  <si>
    <t>M, M, ?, ?</t>
  </si>
  <si>
    <t>Gladehost Shotmaster</t>
  </si>
  <si>
    <t>Crystallize: Unleash &lt;N&gt;&lt;N&gt;: Bury an enemy Unit adjacent to a friendly Hunter.</t>
  </si>
  <si>
    <t>In her hands, the bow is not just a weapon, but an extension of the forest's will, precise and deadly.</t>
  </si>
  <si>
    <t>Cinderguard Flamebearer</t>
  </si>
  <si>
    <t>Bannerbearer Human Warrior</t>
  </si>
  <si>
    <t>Armed with a blade of searing flame, his every strike ignites the battleground, a beacon of fiery determination.</t>
  </si>
  <si>
    <t>E, M</t>
  </si>
  <si>
    <t>cinderguard emberblade, red hood roman, banner-bearer, bannerbearer, banner bearer, carrying a banner</t>
  </si>
  <si>
    <t>https://alpha.midjourney.com/jobs/ad69563e-8c74-41b0-8e13-8b39afa3b3cf?index=3</t>
  </si>
  <si>
    <t>https://alpha.midjourney.com/jobs/ce3cd5be-146d-4747-a725-96d02fce6988?index=3</t>
  </si>
  <si>
    <t>https://alpha.midjourney.com/jobs/e1308eb5-a0fa-420c-983e-4f03c2e8e1b1?index=3</t>
  </si>
  <si>
    <t>https://alpha.midjourney.com/jobs/0c8ecc9c-0eba-4e1f-88ef-eb8a6b5bb902?index=0</t>
  </si>
  <si>
    <t>https://alpha.midjourney.com/jobs/915e002d-0994-4e3b-9b5b-10849e3c35ad?index=2</t>
  </si>
  <si>
    <t>https://alpha.midjourney.com/jobs/eea88919-f1b3-40c0-9f43-d0e3f3705e14?index=2</t>
  </si>
  <si>
    <t>https://alpha.midjourney.com/jobs/727e14da-bc4a-4671-9e13-4f06e7007152?index=0</t>
  </si>
  <si>
    <t>https://alpha.midjourney.com/jobs/24410310-250b-4dfc-957c-f04fe0d1851b?index=0</t>
  </si>
  <si>
    <t>https://alpha.midjourney.com/jobs/49af1a65-37b2-43e7-abfb-fec1ef5ae6d3?index=2</t>
  </si>
  <si>
    <t>https://alpha.midjourney.com/jobs/c49fa673-bcd1-49dc-a65d-b262aa8d349c?index=3</t>
  </si>
  <si>
    <t>Tidecrasher</t>
  </si>
  <si>
    <t>Deploy: Gain Fear and +1 Power for each adjacent empty Slot.</t>
  </si>
  <si>
    <t>He glides beneath the waves, a leviathan of legend, the subject of sailors' prayers and tales.</t>
  </si>
  <si>
    <t>tidecrasher, sea serpent made of water, sea-slug, seafoam green, boiling sea, serpent made out of water</t>
  </si>
  <si>
    <t>https://alpha.midjourney.com/jobs/b85e9529-2c1c-43be-8887-f8653d2daa3e?index=1</t>
  </si>
  <si>
    <t>https://alpha.midjourney.com/jobs/cbc1003a-54e1-4023-a949-d6248d86958a?index=1</t>
  </si>
  <si>
    <t>https://alpha.midjourney.com/jobs/14907b72-ac7b-441a-89c1-206aa74ae3cc?index=3</t>
  </si>
  <si>
    <t>https://alpha.midjourney.com/jobs/da05031f-b161-4dbf-82ed-34f56ec60f8b?index=3</t>
  </si>
  <si>
    <t>https://alpha.midjourney.com/jobs/da05031f-b161-4dbf-82ed-34f56ec60f8b?index=0</t>
  </si>
  <si>
    <t>https://alpha.midjourney.com/jobs/36f45aba-7dd3-4234-a291-4a6bd6317f10?index=2</t>
  </si>
  <si>
    <t>https://alpha.midjourney.com/jobs/36f45aba-7dd3-4234-a291-4a6bd6317f10?index=0</t>
  </si>
  <si>
    <t>https://alpha.midjourney.com/jobs/cb5ae9cc-bb0c-4b23-93f2-9aba3eead611?index=0</t>
  </si>
  <si>
    <t>https://alpha.midjourney.com/jobs/5346acfb-9c48-4258-a97e-45266d64b6d2?index=3</t>
  </si>
  <si>
    <t>https://alpha.midjourney.com/jobs/89be5e2a-6702-40e7-bb2c-87dce748f051?index=0</t>
  </si>
  <si>
    <t>Imperial Tyrant</t>
  </si>
  <si>
    <t>Crystallize, Deploy and Conquer: Draw a Card if you are leading in Lanes.</t>
  </si>
  <si>
    <t>Eons-old Dragon</t>
  </si>
  <si>
    <t>Deploy: All other Elemental Unit and Nature Units in this Lane gain +3 Power.</t>
  </si>
  <si>
    <t>In its slumber, time weaved the wilderness around it, a dragon as ancient as the forest it now embodies.</t>
  </si>
  <si>
    <t>E, E, N, N, ?, ?</t>
  </si>
  <si>
    <t>dragon dryad, forest dragon, pale red and pale green, blind pale scales, massively scarred, eons old, wise, gentle, venerable, ancient, resting on a mountain</t>
  </si>
  <si>
    <t>https://alpha.midjourney.com/jobs/ade40824-39ca-4001-a6f9-b17abaa7f8c9?index=2</t>
  </si>
  <si>
    <t>https://alpha.midjourney.com/jobs/237069bf-4281-4ab7-875e-331a4121cc5c?index=2</t>
  </si>
  <si>
    <t>https://alpha.midjourney.com/jobs/b817370e-a391-4a6b-9688-f381c88b69b0?index=2</t>
  </si>
  <si>
    <t>https://alpha.midjourney.com/jobs/1147f4d1-0ebc-4af6-a726-d02c68d60b73?index=0</t>
  </si>
  <si>
    <t>https://alpha.midjourney.com/jobs/1147f4d1-0ebc-4af6-a726-d02c68d60b73?index=2</t>
  </si>
  <si>
    <t>https://alpha.midjourney.com/jobs/aad8229e-1d42-48dd-8179-36ff489b78e3?index=2</t>
  </si>
  <si>
    <t>https://alpha.midjourney.com/jobs/01a4f043-f235-41b9-8d46-7b35d6f18030?index=2</t>
  </si>
  <si>
    <t>https://alpha.midjourney.com/jobs/c0cf7df8-c1a5-454a-bfd0-19b8243d58cc?index=1</t>
  </si>
  <si>
    <t>https://alpha.midjourney.com/jobs/16ae4b70-d224-42db-b6b6-ecf2124ed295?index=0</t>
  </si>
  <si>
    <t>https://alpha.midjourney.com/jobs/4623ba22-8900-4ec0-baf7-811a3eacf3be?index=1</t>
  </si>
  <si>
    <t>Shardhorde Crystalfang</t>
  </si>
  <si>
    <t>Animal Bannerbearer Hunter</t>
  </si>
  <si>
    <t>Emerging from the heart of the earth, its malachite form gleams, a predator sculpted from nature's deepest treasures.</t>
  </si>
  <si>
    <t>E, N</t>
  </si>
  <si>
    <t>green crystal sabretooth-tiger, made of crystals, prowling through jungle, magical, banner bearer, banner strapped to its back</t>
  </si>
  <si>
    <t>https://alpha.midjourney.com/jobs/16b422f4-9fd2-4bb1-9674-585e0409a383?index=3</t>
  </si>
  <si>
    <t>https://alpha.midjourney.com/jobs/ce917096-e668-418b-8741-693ddbec1b5e?index=3</t>
  </si>
  <si>
    <t>https://alpha.midjourney.com/jobs/dce6223e-4d4d-4a94-b8ed-94d249a1b876?index=2</t>
  </si>
  <si>
    <t>https://alpha.midjourney.com/jobs/993d4901-e479-4c23-8e37-374cc886632f?index=0</t>
  </si>
  <si>
    <t>https://alpha.midjourney.com/jobs/44b8a171-093e-48a9-b7dd-0eb68cf31160?index=0</t>
  </si>
  <si>
    <t>https://alpha.midjourney.com/jobs/c6262938-a0bb-4c14-a59f-2cd741aebb5d?index=2</t>
  </si>
  <si>
    <t>https://alpha.midjourney.com/jobs/2d36ed03-9eb8-4873-a6b6-490fa41bd145?index=2</t>
  </si>
  <si>
    <t>https://alpha.midjourney.com/jobs/64fe4f62-cd24-4b28-8008-3a9184077878?index=1</t>
  </si>
  <si>
    <t>Legion of the Moonspear</t>
  </si>
  <si>
    <t>Deploy: If you are leading in Units, deploy a friendly Warrior Crystal.</t>
  </si>
  <si>
    <t>Each step echoes their oath, each breath a testament to their unyielding resolve in the face of darkness.</t>
  </si>
  <si>
    <t>Makeshift Militia</t>
  </si>
  <si>
    <t>Whenever a friendly Common Unit is deployed adjacently, give it +1 Power.</t>
  </si>
  <si>
    <t>From farmers to fools, all stand together when peril knocks.</t>
  </si>
  <si>
    <t>M</t>
  </si>
  <si>
    <t>Master Strategist</t>
  </si>
  <si>
    <t>Conquer: Obscure for each friendly Unit in the conquered Lane.</t>
  </si>
  <si>
    <t>M, ?, ?, ?, ?</t>
  </si>
  <si>
    <t>Moonspear Wraithknight</t>
  </si>
  <si>
    <t>Crystallize: This Turn, if you conquered a Lane, you may deploy this.</t>
  </si>
  <si>
    <t>No longer a man, but a phantom of duty, he haunts the battlefield, eternally loyal to his chapter's cause.</t>
  </si>
  <si>
    <t>Mountblade Squire</t>
  </si>
  <si>
    <t>Conquer: Gain +3 Power.</t>
  </si>
  <si>
    <t>???</t>
  </si>
  <si>
    <t>Pyroclastic Zombie</t>
  </si>
  <si>
    <t>Undead</t>
  </si>
  <si>
    <t>Ambush: The Opponent conquered this Lane this Turn.</t>
  </si>
  <si>
    <t>Born from flames and madness, he lumbers through the shadows, an urban legend made flesh and fire.</t>
  </si>
  <si>
    <t>pyroclastic zombie, made out of magma, glowing from within</t>
  </si>
  <si>
    <t>https://alpha.midjourney.com/jobs/66f83bd6-353d-4924-b469-c22fdaf65162?index=2</t>
  </si>
  <si>
    <t>https://alpha.midjourney.com/jobs/21d93227-da2e-4a58-8af8-8d84f202d465?index=1</t>
  </si>
  <si>
    <t>https://alpha.midjourney.com/jobs/de56e6d6-8aad-4bd2-87f9-f0c5f1ec9d8d?index=0</t>
  </si>
  <si>
    <t>https://alpha.midjourney.com/jobs/57f88d60-31a2-4dbc-a2ac-7dd5f12faad2?index=1</t>
  </si>
  <si>
    <t>https://alpha.midjourney.com/jobs/2148c090-768e-48c9-837a-fed7af76f1c3?index=1</t>
  </si>
  <si>
    <t>https://alpha.midjourney.com/jobs/59597b80-8b3f-4d4b-806c-dcf5365bda0f?index=2</t>
  </si>
  <si>
    <t>Old Fisherman</t>
  </si>
  <si>
    <t>Deploy: Gain Taunt. Whenever an Rare Unit is deployed adjacently, gain +3 Power.</t>
  </si>
  <si>
    <t>Ayo, son! Look at that catch!</t>
  </si>
  <si>
    <t>Wasteland Overlord</t>
  </si>
  <si>
    <t>Deploy: Gain Fear. Whenever you deploy a Unit adjacently, that Unit gains Fear.</t>
  </si>
  <si>
    <t>A dragon reborn as a demon of wrath, his rampage carves a path of desolation, unstoppable and unguided.</t>
  </si>
  <si>
    <t>E, V, ?, ?</t>
  </si>
  <si>
    <t>bone winged drake, flying, wasteland dragon</t>
  </si>
  <si>
    <t>https://alpha.midjourney.com/jobs/721910bd-16ac-4a72-aa68-a72421d90c86?index=1</t>
  </si>
  <si>
    <t>https://alpha.midjourney.com/jobs/e4ab81e9-3fd7-4319-9c94-67577b4742fc?index=1</t>
  </si>
  <si>
    <t>https://alpha.midjourney.com/jobs/672168db-d4c7-464a-9a08-3f0b7300f117?index=0</t>
  </si>
  <si>
    <t>Pinwheel Illusionist</t>
  </si>
  <si>
    <t>Deploy: You may copy the 'Deploy' ability of a friendly Mortal Unit in this Lane.</t>
  </si>
  <si>
    <t>With each gesture, he captures the essence of another, a spectral echo of their abilities becoming his own.</t>
  </si>
  <si>
    <t>Skulloath Marauder</t>
  </si>
  <si>
    <t>Bannerbearer Undead Warrior</t>
  </si>
  <si>
    <t>Bound by dark pacts and whispered curses, he plunders, leaving only desolation in his wake.</t>
  </si>
  <si>
    <t>boneoath marauder, mongol, bronze skull mask, banner bearer, carrying a banner</t>
  </si>
  <si>
    <t>https://alpha.midjourney.com/jobs/9837fc27-5358-46a5-b2d5-4b2eccd5199c?index=0</t>
  </si>
  <si>
    <t>https://alpha.midjourney.com/jobs/1611e437-755b-410f-b205-ccef721ff7ae?index=1</t>
  </si>
  <si>
    <t>https://alpha.midjourney.com/jobs/1611e437-755b-410f-b205-ccef721ff7ae?index=2</t>
  </si>
  <si>
    <t>https://alpha.midjourney.com/jobs/d0513e19-1ac0-4d65-b7d1-c084eaa39eb1?index=1</t>
  </si>
  <si>
    <t>https://alpha.midjourney.com/jobs/cb5a0d7d-cfdf-4743-8f88-5b4c20641ec8?index=0</t>
  </si>
  <si>
    <t>https://alpha.midjourney.com/jobs/0e38f1ce-471e-455b-890a-7a46d67a8c3c?index=3</t>
  </si>
  <si>
    <t>https://alpha.midjourney.com/jobs/651c5e10-daa8-4734-8d9e-45e6e71afe5e?index=3</t>
  </si>
  <si>
    <t>https://alpha.midjourney.com/jobs/b305aa77-1f10-402e-b176-99e909abfb9d?index=3</t>
  </si>
  <si>
    <t>https://alpha.midjourney.com/jobs/3f1e36e7-8385-4701-8ad1-a8a145d654d4?index=2</t>
  </si>
  <si>
    <t>https://alpha.midjourney.com/jobs/05ead972-45fd-4d93-b3b6-736da52e9d68?index=1</t>
  </si>
  <si>
    <t>Alchemist's Incense</t>
  </si>
  <si>
    <t>Ally Wizard: Glimpse 2.</t>
  </si>
  <si>
    <t>In his vials swirl the future of medicine and perhaps the key to untold power.</t>
  </si>
  <si>
    <t>plant human hybrid, holding burning incense in hand</t>
  </si>
  <si>
    <t>https://alpha.midjourney.com/jobs/acb30613-f9af-4a64-81e9-e6b568cba824?index=2</t>
  </si>
  <si>
    <t>https://alpha.midjourney.com/jobs/f8601415-70ff-4ce2-aed0-f550f9d08f3d?index=0</t>
  </si>
  <si>
    <t>https://alpha.midjourney.com/jobs/f8601415-70ff-4ce2-aed0-f550f9d08f3d?index=1</t>
  </si>
  <si>
    <t>https://alpha.midjourney.com/jobs/f8601415-70ff-4ce2-aed0-f550f9d08f3d?index=2</t>
  </si>
  <si>
    <t>https://alpha.midjourney.com/jobs/2a292725-24e5-4da2-ae58-2f0eadedb275?index=2</t>
  </si>
  <si>
    <t>https://alpha.midjourney.com/jobs/3b50b5d8-08a1-4b97-8366-8e40ccb84ae0?index=3</t>
  </si>
  <si>
    <t>Quadriga of Triumph</t>
  </si>
  <si>
    <t>Crystallize: Gain Crystalborn. Conquer: All friendly Units in the conquered Lane gain +1 Power.</t>
  </si>
  <si>
    <t>From the thunder of war to the silence of memory, this monument bears the legacy of an empire's greatest triumphs.</t>
  </si>
  <si>
    <t>Ambrosia Bee</t>
  </si>
  <si>
    <t>Whenever a friendly Mortal Unit is deployed adjacently, gain +2 Power.</t>
  </si>
  <si>
    <t>From flower to hive, it crafts a honey so divine, battles are waged over mere droplets of its golden essence.</t>
  </si>
  <si>
    <t>bee, fuzzy, ambrosia, fantasy</t>
  </si>
  <si>
    <t>https://alpha.midjourney.com/jobs/86b3223b-25b2-49c4-9ba0-56eef1eedbbf?index=1</t>
  </si>
  <si>
    <t>https://alpha.midjourney.com/jobs/aea064ae-88ea-47ba-a280-c9e470d12b69?index=2</t>
  </si>
  <si>
    <t>https://alpha.midjourney.com/jobs/8e48c3ce-1b90-4253-abcc-2da0b25ad425?index=1</t>
  </si>
  <si>
    <t>https://alpha.midjourney.com/jobs/64dbf7d3-51d9-49d7-826e-908e3f7f1760?index=1</t>
  </si>
  <si>
    <t>https://alpha.midjourney.com/jobs/64dbf7d3-51d9-49d7-826e-908e3f7f1760?index=0</t>
  </si>
  <si>
    <t>https://alpha.midjourney.com/jobs/3f24055e-e0a2-47c1-8470-64c33d0f6866?index=2</t>
  </si>
  <si>
    <t>https://alpha.midjourney.com/jobs/7ebb9929-e2ad-442f-b9a8-ea6f82e7e006?index=3</t>
  </si>
  <si>
    <t>Recruiting Officer</t>
  </si>
  <si>
    <t>Deploy: Draw the top Card of your Deck that shares a Type with an adjacent friendly Unit. Shuffle your deck.</t>
  </si>
  <si>
    <t>More than a mere selector, he is a sculptor of potential, molding the empire's greatest asset – its warriors.</t>
  </si>
  <si>
    <t>Remnant of the Quiet Springs</t>
  </si>
  <si>
    <t>Crystallize: A friendly Animal Unit gets +1 Power for each adjacent free Slot.</t>
  </si>
  <si>
    <t>With every gentle hop, it weaves enchantment, protecting a spring whose whispers speak of ageless mysteries.</t>
  </si>
  <si>
    <t>Sandring Pridemane</t>
  </si>
  <si>
    <t>Deploy: Gain Fear. If you are Leading in Lanes, gain +4 Power.</t>
  </si>
  <si>
    <t>M, M, ?</t>
  </si>
  <si>
    <t>Filthy Peasant</t>
  </si>
  <si>
    <t>In the shadow of grand coliseums and marble halls, he toils, an eternal cog in the city's endless sprawl.</t>
  </si>
  <si>
    <t>filthy peasant, ancient roman farmer, in the field, golden hour</t>
  </si>
  <si>
    <t>https://alpha.midjourney.com/jobs/8681b697-3ab5-4ab3-8d4d-13ada408b719?index=2</t>
  </si>
  <si>
    <t>https://alpha.midjourney.com/jobs/ef758448-e6c6-4375-a43a-ca7ef038fb25?index=0</t>
  </si>
  <si>
    <t>https://alpha.midjourney.com/jobs/4ebf7027-ca2f-44a2-9f30-1afa66999935?index=3</t>
  </si>
  <si>
    <t>https://alpha.midjourney.com/jobs/49574fbd-fd5a-42b4-ba67-f1956f3a5a0d?index=1</t>
  </si>
  <si>
    <t>https://alpha.midjourney.com/jobs/460856be-5a5a-4e01-880f-a9cc4ae12568?index=3</t>
  </si>
  <si>
    <t>https://alpha.midjourney.com/jobs/b950d7fe-0373-44bc-876b-60878bbaa0ab?index=1</t>
  </si>
  <si>
    <t>https://alpha.midjourney.com/jobs/284a6f4c-c46f-4a01-9341-585d947f44bd?index=1</t>
  </si>
  <si>
    <t>https://alpha.midjourney.com/jobs/cb3ef15b-833e-4f93-9735-f5e82d3fc66a?index=0</t>
  </si>
  <si>
    <t>https://alpha.midjourney.com/jobs/1c7bdaca-4cf8-4915-ae8e-aacfc7c209d2?index=3</t>
  </si>
  <si>
    <t>Scapegoat</t>
  </si>
  <si>
    <t>When a friendly Unit with a 'Ritual' ability is deployed, you may bury this to copy that Unit's 'Ritual' ability.</t>
  </si>
  <si>
    <t>Ritual</t>
  </si>
  <si>
    <t>Ironstride Courser</t>
  </si>
  <si>
    <t>Deploy: Choose one: - Each other friendly Unit in this Lane gets +1 Power. - Gain +3 Power.</t>
  </si>
  <si>
    <t>In the tumult of war, some tasks demand the relentless charge of reinforced steel.</t>
  </si>
  <si>
    <t>M, M, ?, ?, ?, ?</t>
  </si>
  <si>
    <t>horse made out of rusted swords, living metal, unreal fog, glowing from within</t>
  </si>
  <si>
    <t>https://alpha.midjourney.com/jobs/8d1657bf-8d7f-4836-b474-5c1cff1916c0?index=2</t>
  </si>
  <si>
    <t>https://alpha.midjourney.com/jobs/fdf1b8f9-ccc0-4aaa-8191-4fab233512d4?index=0</t>
  </si>
  <si>
    <t>https://alpha.midjourney.com/jobs/54b00b16-65a7-4baa-b8e3-37fd71f85d8f?index=3</t>
  </si>
  <si>
    <t>https://alpha.midjourney.com/jobs/a70a1341-a55b-41e0-af0e-c975f47bf9b4?index=0</t>
  </si>
  <si>
    <t>https://alpha.midjourney.com/jobs/81588d14-ce8b-416b-ab7d-351ff14b045b?index=1</t>
  </si>
  <si>
    <t>Pocket Dragon</t>
  </si>
  <si>
    <t>Deploy: Choose one: - You may move an adjacent friendly Unit. - Draw a Card.</t>
  </si>
  <si>
    <t>In the tranquility of his mundane home, this tiny dragon frolics, a creature more akin to playful pet than fearsome beast.</t>
  </si>
  <si>
    <t>pocket drake, tiny dragon, cute small blue baby dragon sitting in a shattered amphora</t>
  </si>
  <si>
    <t>https://alpha.midjourney.com/jobs/4ff343f0-4546-4f8f-bb97-7214850f4953?index=1</t>
  </si>
  <si>
    <t>https://alpha.midjourney.com/jobs/4ff343f0-4546-4f8f-bb97-7214850f4953?index=3</t>
  </si>
  <si>
    <t>https://alpha.midjourney.com/jobs/f73f0149-0f46-4732-a763-e53b93a1af4c?index=2</t>
  </si>
  <si>
    <t>https://alpha.midjourney.com/jobs/c05760f1-f3cd-41ec-8511-d7268f2ece64?index=3</t>
  </si>
  <si>
    <t>https://alpha.midjourney.com/jobs/c05760f1-f3cd-41ec-8511-d7268f2ece64?index=0</t>
  </si>
  <si>
    <t>https://alpha.midjourney.com/jobs/c05760f1-f3cd-41ec-8511-d7268f2ece64?index=2</t>
  </si>
  <si>
    <t>https://alpha.midjourney.com/jobs/14c4af69-8e71-4174-ab81-7b2daa2c165f?index=3</t>
  </si>
  <si>
    <t>Prime Golem</t>
  </si>
  <si>
    <t>Deploy: Move a friendly Construct Unit in this Lane.</t>
  </si>
  <si>
    <t>From the world's earliest tales, this colossal guardian emerges, embodying the enduring legacy of its first creators.</t>
  </si>
  <si>
    <t>M, ?, ?, ?</t>
  </si>
  <si>
    <t>prime stone magical being, orange eyes, stocky rocky stone, rough shape</t>
  </si>
  <si>
    <t>https://alpha.midjourney.com/jobs/60b4cdd1-0eb4-42fa-9e84-240b001d2af7?index=1</t>
  </si>
  <si>
    <t>https://alpha.midjourney.com/jobs/ffb1e104-375b-4f63-8128-521e20f32108?index=3</t>
  </si>
  <si>
    <t>https://alpha.midjourney.com/jobs/cd68eca5-b2a0-4c1c-8754-be10ef5594c4?index=2</t>
  </si>
  <si>
    <t>https://alpha.midjourney.com/jobs/cd68eca5-b2a0-4c1c-8754-be10ef5594c4?index=0</t>
  </si>
  <si>
    <t>https://alpha.midjourney.com/jobs/2627db62-ac7f-48d3-8657-931ef0586217?index=0</t>
  </si>
  <si>
    <t>Siegebreaker</t>
  </si>
  <si>
    <t>Deploy: If you have another Warrior Unit, gain Ward.</t>
  </si>
  <si>
    <t>An unstoppable juggernaut under the Empire's banner.</t>
  </si>
  <si>
    <t>M, M, M, ?</t>
  </si>
  <si>
    <t>Siege breaker, armored war rhino, ancient roman, on all fours</t>
  </si>
  <si>
    <t>https://alpha.midjourney.com/jobs/9978fdf6-d358-4abc-9d71-d32a8d78e40a?index=1</t>
  </si>
  <si>
    <t>https://alpha.midjourney.com/jobs/0e512ffb-8345-4946-84e7-5131a9bbf7ae?index=2</t>
  </si>
  <si>
    <t>https://alpha.midjourney.com/jobs/0e512ffb-8345-4946-84e7-5131a9bbf7ae?index=0</t>
  </si>
  <si>
    <t>https://alpha.midjourney.com/jobs/71ad0300-4ba1-428b-8822-b9eb4533ed5b?index=2</t>
  </si>
  <si>
    <t>https://alpha.midjourney.com/jobs/f1e95a77-2ca1-473a-a951-6d24ac381780?index=0</t>
  </si>
  <si>
    <t>https://alpha.midjourney.com/jobs/f1e95a77-2ca1-473a-a951-6d24ac381780?index=1</t>
  </si>
  <si>
    <t>Surly Donkey</t>
  </si>
  <si>
    <t>Deploy: Gain Taunt. Another friendly Mortal Unit with the lowest Power in this Lane gets +2 Power.</t>
  </si>
  <si>
    <t>A grumbling companion on many a journey, its stubbornness is as legendary as its burden-bearing resilience.</t>
  </si>
  <si>
    <t>The Grand Ruiner</t>
  </si>
  <si>
    <t>Deploy: Gain Ward. Whenever a friendly Unit ascends, that Unit gains +4 Power.</t>
  </si>
  <si>
    <t>Snow Crane</t>
  </si>
  <si>
    <t>Deploy: Draw a Card.</t>
  </si>
  <si>
    <t>Its elegant presence blesses the new year with hopes of prosperity and vitality.</t>
  </si>
  <si>
    <t>M, M</t>
  </si>
  <si>
    <t>snow crane, bird</t>
  </si>
  <si>
    <t>https://alpha.midjourney.com/jobs/f49f8020-8320-4fdc-ae76-8030c07ee2b5?index=0</t>
  </si>
  <si>
    <t>https://alpha.midjourney.com/jobs/7f3fc151-552c-4fdc-8562-e0fb8c45fd4e?index=1</t>
  </si>
  <si>
    <t>https://alpha.midjourney.com/jobs/2d0e2890-33fe-48d4-b23e-7e57b1b55461?index=3</t>
  </si>
  <si>
    <t>https://alpha.midjourney.com/jobs/c4613f86-a57d-47d7-a262-96719837ce9c?index=1</t>
  </si>
  <si>
    <t>https://alpha.midjourney.com/jobs/2d0e2890-33fe-48d4-b23e-7e57b1b55461?index=2</t>
  </si>
  <si>
    <t>Trading Post Camel</t>
  </si>
  <si>
    <t>Ascend: Mortal.</t>
  </si>
  <si>
    <t>Stormforged Recruit</t>
  </si>
  <si>
    <t>Ally of Mortal: Gain +3 Power.</t>
  </si>
  <si>
    <t>Baptized in rain and thunder, from the chaos of war emerged a true hero.</t>
  </si>
  <si>
    <t>stormforged recruit, young knave walking through hailstorm, lost, determined</t>
  </si>
  <si>
    <t>https://alpha.midjourney.com/jobs/1c4b3aa0-24ce-4b0d-932d-a4ef2357ffd3?index=3</t>
  </si>
  <si>
    <t>https://alpha.midjourney.com/jobs/f7f3688f-3853-44d1-bca6-d995d6876cc0?index=3</t>
  </si>
  <si>
    <t>https://alpha.midjourney.com/jobs/a7bc418c-0990-4a3f-bc7d-3afbdf436f51?index=3</t>
  </si>
  <si>
    <t>https://alpha.midjourney.com/jobs/e18914ea-b88b-4850-b270-9a974e0f9c38?index=3</t>
  </si>
  <si>
    <t>https://alpha.midjourney.com/jobs/cad89887-2107-4a4a-a838-1f9e91e99c08?index=3</t>
  </si>
  <si>
    <t>https://alpha.midjourney.com/jobs/cad89887-2107-4a4a-a838-1f9e91e99c08?index=0</t>
  </si>
  <si>
    <t>https://alpha.midjourney.com/jobs/4472fa6e-c6fb-4157-b854-c8e1d2b42995?index=3</t>
  </si>
  <si>
    <t>Supply Camel</t>
  </si>
  <si>
    <t>Deploy: A friendly Animal or Warrior in this Lane gains +3 Power.</t>
  </si>
  <si>
    <t>Carrying the weight of war, one step at a time.</t>
  </si>
  <si>
    <t>supply camel, camel loaded with goods</t>
  </si>
  <si>
    <t>https://alpha.midjourney.com/jobs/c9d4bd01-17d8-4d2f-9739-b9d56ab0d774?index=2</t>
  </si>
  <si>
    <t>https://alpha.midjourney.com/jobs/c9d4bd01-17d8-4d2f-9739-b9d56ab0d774?index=0</t>
  </si>
  <si>
    <t>https://alpha.midjourney.com/jobs/1896af7e-08b8-4744-8b7a-ffb98cf9d3de?index=1</t>
  </si>
  <si>
    <t>https://alpha.midjourney.com/jobs/6a68bc3e-bd7f-4880-954d-ff357e0580c0?index=2</t>
  </si>
  <si>
    <t>https://alpha.midjourney.com/jobs/8300a565-8179-4b9c-9445-18cd11e30feb?index=2</t>
  </si>
  <si>
    <t>Trusty Companion</t>
  </si>
  <si>
    <t>Ally of Human: Draw a Card and gain Fear.</t>
  </si>
  <si>
    <t>At a soldier's side, steadfast and brave, this canine heart knows no fear, only loyalty.</t>
  </si>
  <si>
    <t>trusty companion, ancient roman bulldog, animal, armored, determined</t>
  </si>
  <si>
    <t>https://alpha.midjourney.com/jobs/7953e818-8128-4a30-b696-521dc3af66e0?index=2</t>
  </si>
  <si>
    <t>https://alpha.midjourney.com/jobs/8eec2fb9-6cc5-4526-b1b2-63f80ac65f95?index=1</t>
  </si>
  <si>
    <t>Bloodfleet Raider</t>
  </si>
  <si>
    <t>Whenever a friendly Unit is deployed adjacently, gain Taunt.</t>
  </si>
  <si>
    <t>With a laugh in the face of danger and a toast to the thrill of the sea, he raids under the Bloodfleet's flag, where freedom is the greatest treasure.</t>
  </si>
  <si>
    <t>bloodfleet raider, determined, asian pirate, red sash, torch</t>
  </si>
  <si>
    <t>https://alpha.midjourney.com/jobs/aa227e04-65dd-48c2-abfd-6e6fa6008da2?index=0</t>
  </si>
  <si>
    <t>https://alpha.midjourney.com/jobs/aa227e04-65dd-48c2-abfd-6e6fa6008da2?index=3</t>
  </si>
  <si>
    <t>https://alpha.midjourney.com/jobs/b4c3f4b0-05dc-4917-a882-3e522fb1d744?index=3</t>
  </si>
  <si>
    <t>https://alpha.midjourney.com/jobs/b4c3f4b0-05dc-4917-a882-3e522fb1d744?index=1</t>
  </si>
  <si>
    <t>https://alpha.midjourney.com/jobs/af6bbace-c1a5-4a89-859d-e260f362a5a4?index=2</t>
  </si>
  <si>
    <t>https://alpha.midjourney.com/jobs/18828197-cdfc-419a-ae08-acae2277df70?index=1</t>
  </si>
  <si>
    <t>https://alpha.midjourney.com/jobs/18828197-cdfc-419a-ae08-acae2277df70?index=0</t>
  </si>
  <si>
    <t>Caring Mother</t>
  </si>
  <si>
    <t>Crystallize and Deploy: Another friendly Human Unit gains +2 Power.</t>
  </si>
  <si>
    <t>Her gentle lullabies echo promises of greatness, cradled in the heart of the city's forgotten streets.</t>
  </si>
  <si>
    <t>caring mother, ancient roman woman holding her child in arms</t>
  </si>
  <si>
    <t>https://alpha.midjourney.com/jobs/058ca6a3-cba6-4255-a098-e15d86ecc1d3?index=3</t>
  </si>
  <si>
    <t>https://alpha.midjourney.com/jobs/a770b241-fcb3-4872-830b-d7c0ffd5ae73?index=3</t>
  </si>
  <si>
    <t>https://alpha.midjourney.com/jobs/1702a29f-fe1f-40f0-aeb3-2892a3f1c0bc?index=2</t>
  </si>
  <si>
    <t>Wayward Automaton</t>
  </si>
  <si>
    <t>Construct Hunter</t>
  </si>
  <si>
    <t>Deploy: Glimpse equal to the number of buried Units.</t>
  </si>
  <si>
    <t>Every arrow it loosed flew awry, a spectacle of failed ambition. Now, it walks the battlefield, an arsenal on legs, indispensable in its own way.</t>
  </si>
  <si>
    <t>Battle Ant Dreadnought</t>
  </si>
  <si>
    <t>Mortal Nature</t>
  </si>
  <si>
    <t>Insect Warrior</t>
  </si>
  <si>
    <t>Deploy and Start of your Turn: Randomly gain either Ward, Taunt, Fear.</t>
  </si>
  <si>
    <t>M, N, N, ?, ?, ?</t>
  </si>
  <si>
    <t>Dojo Drill Instructor</t>
  </si>
  <si>
    <t>Deploy: Draw the top Warrior from your Deck. Shuffle your Deck.</t>
  </si>
  <si>
    <t>Its gears and circuits teach more than combat; they instill discipline that outlasts steel.</t>
  </si>
  <si>
    <t>dojo drill instructor, ancient japanese robot</t>
  </si>
  <si>
    <t>https://alpha.midjourney.com/jobs/ce889b3b-91f9-4ff2-add2-e60285c57b17?index=1</t>
  </si>
  <si>
    <t>https://alpha.midjourney.com/jobs/b2dbb6cd-e386-4a06-bf27-555adcb9d763?index=2</t>
  </si>
  <si>
    <t>https://alpha.midjourney.com/jobs/7de8364c-0f5a-4d7b-b841-1f453c148129?index=0</t>
  </si>
  <si>
    <t>Rune Whisperer</t>
  </si>
  <si>
    <t>Deploy: You may return a friendly Crystal to your Hand to crystallize a Card from your Hand.</t>
  </si>
  <si>
    <t>With each ethereal touch, it awakens the ancient scripts, a bridge between the Shards and the arcane truths they hold.</t>
  </si>
  <si>
    <t>M, N, ?, ?</t>
  </si>
  <si>
    <t>Ironclad Jailwalker</t>
  </si>
  <si>
    <t>Conquer: Your Opponent buries one of their Units in the conquered Lane.</t>
  </si>
  <si>
    <t>Neither walls nor bars, but a walking prison, relentless in its pursuit of order.</t>
  </si>
  <si>
    <t>Ironclad jailwalker, ancient mech, walking jailcell, action shot, huge robot, prisoner imprisoned in belly behind prison bars</t>
  </si>
  <si>
    <t>https://alpha.midjourney.com/jobs/8cc237fc-a571-4903-b553-94f9efeddb14?index=1</t>
  </si>
  <si>
    <t>https://alpha.midjourney.com/jobs/8cc237fc-a571-4903-b553-94f9efeddb14?index=2</t>
  </si>
  <si>
    <t>https://alpha.midjourney.com/jobs/1ba85f4c-e36a-405c-84dd-450c9b836a2a?index=0</t>
  </si>
  <si>
    <t>https://alpha.midjourney.com/jobs/d8f42a0c-63c6-40cf-9275-6ffc2157f99f?index=1</t>
  </si>
  <si>
    <t>https://alpha.midjourney.com/jobs/e6884d89-a8ec-43ec-85a8-dcc30ca69669?index=3</t>
  </si>
  <si>
    <t>The Holy Chicken</t>
  </si>
  <si>
    <t>Crystallize: Choose a Realm. Until end of your Turn, all your Crystals also become Crystals of that Realm.</t>
  </si>
  <si>
    <t>M, N, ?</t>
  </si>
  <si>
    <t>The Life Tree</t>
  </si>
  <si>
    <t>Plant</t>
  </si>
  <si>
    <t>Start of your Turn: An adjacent Unit with lower Power than this gains +1 Power.</t>
  </si>
  <si>
    <t>Rampart Shellback</t>
  </si>
  <si>
    <t>Conquer: Double the Power of an adjacent friendly Unit.</t>
  </si>
  <si>
    <t>Ankylosaurus</t>
  </si>
  <si>
    <t>ankylosaurus, bronze scales</t>
  </si>
  <si>
    <t>https://alpha.midjourney.com/jobs/beade48b-dfc3-4b0d-a7b3-e813a507b363?index=0</t>
  </si>
  <si>
    <t>https://alpha.midjourney.com/jobs/aff786fd-7fc1-4a2d-9343-59060d86249f?index=0</t>
  </si>
  <si>
    <t>https://alpha.midjourney.com/jobs/3a69abc9-4dbb-4de3-8916-1f75f4991dac?index=3</t>
  </si>
  <si>
    <t>https://alpha.midjourney.com/jobs/5c6c381c-6392-4f21-a9e1-c5126a4d283d?index=2</t>
  </si>
  <si>
    <t>https://alpha.midjourney.com/jobs/9782e556-bad6-4ad2-9833-8d831131a5eb?index=1</t>
  </si>
  <si>
    <t>https://alpha.midjourney.com/jobs/939e6242-52c0-48ac-b399-3e52fec2a04a?index=0</t>
  </si>
  <si>
    <t>https://alpha.midjourney.com/jobs/b1d61053-bd99-4609-9c8c-ba7d1af8873a?index=2</t>
  </si>
  <si>
    <t>https://alpha.midjourney.com/jobs/cbeba22e-057c-463e-8a6c-d84fec4e4147?index=0</t>
  </si>
  <si>
    <t>Zodiac Samurai</t>
  </si>
  <si>
    <t>Deploy: Gain Ward. Gain +1 Power for each Animal.</t>
  </si>
  <si>
    <t>Bearing the might of the zodiac's beasts, his swordplay echoes the patterns written in the night sky.</t>
  </si>
  <si>
    <t>Scalehide Trapper</t>
  </si>
  <si>
    <t>Ambush: An enemy Unit with 6 or more Power was deployed adjacently this Turn. Unearth: Bury an adjacent enemy Unit.</t>
  </si>
  <si>
    <t>Against the backdrop of roaring giants, his silent patience weaves the web that brings titans to their knees.</t>
  </si>
  <si>
    <t>ancient roman hunter with a mantle made of lizard scales, hiding in ambush with his giant petmagical ice lizard, in the snowy mountains, kneeling</t>
  </si>
  <si>
    <t>https://alpha.midjourney.com/jobs/2ba47d27-dbef-49be-8e14-890b895409a3?index=2</t>
  </si>
  <si>
    <t>https://alpha.midjourney.com/jobs/c6991389-b3bd-41f0-94f8-3a128fa5ced1?index=3</t>
  </si>
  <si>
    <t>https://alpha.midjourney.com/jobs/5bd0ca22-a83a-414a-9139-c2092a485671?index=1</t>
  </si>
  <si>
    <t>https://alpha.midjourney.com/jobs/22a8f992-981f-46f6-9814-6acd4fd78883?index=2</t>
  </si>
  <si>
    <t>https://alpha.midjourney.com/jobs/e9ced58e-d729-4c3b-b959-01736c8f312f?index=1</t>
  </si>
  <si>
    <t>https://alpha.midjourney.com/jobs/a40c6919-d2e2-4cdd-a1de-4ce6a532def9?index=3</t>
  </si>
  <si>
    <t>https://alpha.midjourney.com/jobs/9d1c0ad9-d7ac-48b5-8887-39cdbcde27cd?index=2</t>
  </si>
  <si>
    <t>https://alpha.midjourney.com/jobs/08e98d57-c82d-41bf-974e-2594723e8387?index=3</t>
  </si>
  <si>
    <t>https://alpha.midjourney.com/jobs/8edd484f-1cb1-4f1f-933e-b6506442c848?index=1</t>
  </si>
  <si>
    <t>https://alpha.midjourney.com/jobs/cd0955a7-8a85-43d7-97b8-c639bd21502c?index=3</t>
  </si>
  <si>
    <t>Crescent Oracle</t>
  </si>
  <si>
    <t>Mortal Void</t>
  </si>
  <si>
    <t>Deploy: Choose one: You may bury a Crystal. - You may unearth a Crystal.</t>
  </si>
  <si>
    <t>M, V, ?, ?</t>
  </si>
  <si>
    <t>Trapmaster</t>
  </si>
  <si>
    <t>Deploy: Copy the 'Unearth' ability of a friendly Unit.</t>
  </si>
  <si>
    <t>In the game of predator and prey, she crafts her cunning into every snare, her ambition as boundless as the wilds.</t>
  </si>
  <si>
    <t>blind ancient mongolian hunter female crime boss with embroided cloth covering her eyes wearing pelts flanked by her two magical ice mastiff dogs with blue glowing eyes, in the snowy mountains, action shot, holding a spear</t>
  </si>
  <si>
    <t>https://alpha.midjourney.com/jobs/2a3b4bb4-107d-4a0e-82e5-32c1dc607528?index=0</t>
  </si>
  <si>
    <t>https://alpha.midjourney.com/jobs/1b7457f5-ab2d-4751-b1f3-3957be5a28c2?index=2</t>
  </si>
  <si>
    <t>https://alpha.midjourney.com/jobs/d5d7a3d8-bc57-4d5e-9030-e092ef28934d?index=1</t>
  </si>
  <si>
    <t>https://alpha.midjourney.com/jobs/d75ae876-16de-4a4f-80fb-098c3204e2e3?index=2</t>
  </si>
  <si>
    <t>https://alpha.midjourney.com/jobs/834cdaa2-b2f5-4156-998e-506a5ca68984?index=2</t>
  </si>
  <si>
    <t>https://alpha.midjourney.com/jobs/104896b4-1644-44c0-97cb-a115a5a27f3b?index=0</t>
  </si>
  <si>
    <t>https://alpha.midjourney.com/jobs/d04ef1e9-013f-4c58-8d1d-7d6410f55644?index=3</t>
  </si>
  <si>
    <t>https://alpha.midjourney.com/jobs/b1a05e1b-d3e7-4c3b-8a21-e208cfcab472?index=0</t>
  </si>
  <si>
    <t>https://alpha.midjourney.com/jobs/32c69796-a1fc-4d40-86e1-8b215a05bb23?index=0</t>
  </si>
  <si>
    <t>Gemcrazed Clown</t>
  </si>
  <si>
    <t>Demon Wizard</t>
  </si>
  <si>
    <t>Deploy: You may unearth a Crystal to draw a Card.</t>
  </si>
  <si>
    <t>M, V, ?</t>
  </si>
  <si>
    <t>Augur of the Moonspear</t>
  </si>
  <si>
    <t>Crystallize: A friendly Unit becomes a Warrior Unit until end of turn. Deploy: Gain +1 Power for each adjacent Warrior.</t>
  </si>
  <si>
    <t>augur wearing laquered blue shoulderplates with soothsaying, blue haze spirit energy</t>
  </si>
  <si>
    <t>https://alpha.midjourney.com/jobs/f708086f-145d-4ad0-9476-e5c3de78f661?index=3</t>
  </si>
  <si>
    <t>https://alpha.midjourney.com/jobs/ca45b97d-ac28-459d-8fb9-5efff2a635e4?index=0</t>
  </si>
  <si>
    <t>https://alpha.midjourney.com/jobs/ca45b97d-ac28-459d-8fb9-5efff2a635e4?index=1</t>
  </si>
  <si>
    <t>https://alpha.midjourney.com/jobs/aee22cf0-e1c9-45a5-a846-dba786d16a8c?index=2</t>
  </si>
  <si>
    <t>https://alpha.midjourney.com/jobs/80b0da3a-75e9-4521-9a8a-d80a02376aef?index=3</t>
  </si>
  <si>
    <t>https://alpha.midjourney.com/jobs/6449d263-572c-48fd-abea-49b336ed533e?index=0</t>
  </si>
  <si>
    <t>https://alpha.midjourney.com/jobs/6aaaa00b-e42b-42c5-ba0e-45f3ec7aae7e?index=2</t>
  </si>
  <si>
    <t>https://alpha.midjourney.com/jobs/6aaaa00b-e42b-42c5-ba0e-45f3ec7aae7e?index=1</t>
  </si>
  <si>
    <t>Sanguine Student</t>
  </si>
  <si>
    <t>Ally of Void: Bury an adjacent enemy Common Unit.</t>
  </si>
  <si>
    <t>Once a scion of privilege, now a student of the night, he sharpens his fangs on the unsuspecting, building his dark legacy.</t>
  </si>
  <si>
    <t>Shade in the Alley</t>
  </si>
  <si>
    <t>Demon Human</t>
  </si>
  <si>
    <t>Ambush: This Turn, your Opponent conquered this Lane. Unearth: Bury an enemy Unit with the lowest Power in this Lane.</t>
  </si>
  <si>
    <t>M, V, ?, ?, ?</t>
  </si>
  <si>
    <t>Vindictive Forsaken</t>
  </si>
  <si>
    <t>Whenever a Common Unit is deployed adjacently, bury a friendly Crystal.</t>
  </si>
  <si>
    <t>M, V, V, ?, ?, ?</t>
  </si>
  <si>
    <t>Willing Sacrifice</t>
  </si>
  <si>
    <t>Start of your Turn: You may bury this to draw the top Rare Unit from your Deck. Shuffle your Deck.</t>
  </si>
  <si>
    <t>M, V</t>
  </si>
  <si>
    <t>Bloodfleet Harpooneer</t>
  </si>
  <si>
    <t>Deploy: Gain Fear. Bury an adjacent Unit.</t>
  </si>
  <si>
    <t>A terror of the deep, he and his leviathan companion embody the ruthless spirit of the sea's most notorious pirates.</t>
  </si>
  <si>
    <r>
      <rPr>
        <rFont val="&quot;DM Sans&quot;, system-ui, -apple-system, BlinkMacSystemFont, &quot;Segoe UI&quot;, Roboto, &quot;Helvetica Neue&quot;, Arial, &quot;Noto Sans&quot;, sans-serif, &quot;Apple Color Emoji&quot;, &quot;Segoe UI Emoji&quot;, &quot;Segoe UI Symbol&quot;, &quot;Noto Color Emoji&quot;"/>
        <color rgb="FF000000"/>
        <sz val="11.0"/>
      </rPr>
      <t>bloodfleet harponeer, ancient asian pirate, red sash, holding an iron spear with a jagged tip</t>
    </r>
  </si>
  <si>
    <t>https://alpha.midjourney.com/jobs/51236e4b-aa09-40de-ae37-9c9b9cd7e7e5?index=2</t>
  </si>
  <si>
    <t>https://alpha.midjourney.com/jobs/51236e4b-aa09-40de-ae37-9c9b9cd7e7e5?index=0</t>
  </si>
  <si>
    <t>https://alpha.midjourney.com/jobs/615b65df-6059-4623-9a52-ba6e23fd19a8?index=3</t>
  </si>
  <si>
    <t>https://alpha.midjourney.com/jobs/615b65df-6059-4623-9a52-ba6e23fd19a8?index=0</t>
  </si>
  <si>
    <t>https://alpha.midjourney.com/jobs/615b65df-6059-4623-9a52-ba6e23fd19a8?index=1</t>
  </si>
  <si>
    <t>Gold Colibri</t>
  </si>
  <si>
    <t>Deploy: Every friendly Crystal becomes all Realms until the end of your next Turn.</t>
  </si>
  <si>
    <t>A mechanical marvel, blending art and whimsy in its flight.</t>
  </si>
  <si>
    <r>
      <rPr>
        <rFont val="&quot;DM Sans&quot;, system-ui, -apple-system, BlinkMacSystemFont, &quot;Segoe UI&quot;, Roboto, &quot;Helvetica Neue&quot;, Arial, &quot;Noto Sans&quot;, sans-serif, &quot;Apple Color Emoji&quot;, &quot;Segoe UI Emoji&quot;, &quot;Segoe UI Symbol&quot;, &quot;Noto Color Emoji&quot;"/>
        <color rgb="FF000000"/>
        <sz val="11.0"/>
      </rPr>
      <t>golden colibri, mechanical metallic bird</t>
    </r>
  </si>
  <si>
    <t>https://alpha.midjourney.com/jobs/4b96f219-952d-4629-9ea5-07d8b6625b64?index=3</t>
  </si>
  <si>
    <t>https://alpha.midjourney.com/jobs/9a06b103-b5a9-4d2f-a06c-f2a3692244cc?index=0</t>
  </si>
  <si>
    <t>https://alpha.midjourney.com/jobs/b697235d-58dc-46a5-852e-9cf127307d53?index=2</t>
  </si>
  <si>
    <t>https://alpha.midjourney.com/jobs/fbd01acd-ec46-450e-a41b-df9c33a118ab?index=1</t>
  </si>
  <si>
    <t>Greedy Senator</t>
  </si>
  <si>
    <t>Deploy: Bury each friendly Unit in this Lane to gain its Power.</t>
  </si>
  <si>
    <t>For personal gain, he'd unbalance the scales of power.</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</si>
  <si>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greedy senator, ancient roman, holding an emotional speech, cruel, brutal, mean</t>
    </r>
  </si>
  <si>
    <t>https://alpha.midjourney.com/jobs/88e3f9b4-074b-4645-969f-b36b4a03b283?index=0</t>
  </si>
  <si>
    <t>https://alpha.midjourney.com/jobs/48ee5064-30f0-4f2f-bf04-ffa46a4af4b3?index=2</t>
  </si>
  <si>
    <t>https://alpha.midjourney.com/jobs/1712423c-8247-4d89-938a-b7a8f72676d3?index=3</t>
  </si>
  <si>
    <t>https://alpha.midjourney.com/jobs/52110149-5889-41ad-8d65-2ed05aed8c38?index=3</t>
  </si>
  <si>
    <t>https://alpha.midjourney.com/jobs/83be14db-adaf-4786-aeef-ad19b39bd2ca?index=2</t>
  </si>
  <si>
    <t>https://alpha.midjourney.com/jobs/12fada4d-5aaf-4322-b3d3-24be5496e64d?index=3</t>
  </si>
  <si>
    <t>Armordillo</t>
  </si>
  <si>
    <t>Nature</t>
  </si>
  <si>
    <t>Ascend: Nature. Deploy: Gain Taunt and +3 Power.</t>
  </si>
  <si>
    <t>N, ?</t>
  </si>
  <si>
    <t>Paragon of Conquest</t>
  </si>
  <si>
    <t>Conquer: If you have Units with a total Power of 40 or more in this Lane, you win the Game.</t>
  </si>
  <si>
    <t>M, M, M, ?, ?, ?</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</si>
  <si>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alexander the great, young, on a horse, commanding</t>
    </r>
  </si>
  <si>
    <t>https://alpha.midjourney.com/jobs/dc99fa2e-811a-4134-88e2-76ee3a711eec?index=3</t>
  </si>
  <si>
    <t>https://alpha.midjourney.com/jobs/c4a83c37-4d6d-4f59-96bb-5d38ce1a9de6?index=3</t>
  </si>
  <si>
    <t>https://alpha.midjourney.com/jobs/bdf467d6-4699-4676-a6f9-39e3cbb899e5?index=0</t>
  </si>
  <si>
    <t>https://alpha.midjourney.com/jobs/47bd8a99-96cc-4b41-bc50-6ab93ee3369d?index=0</t>
  </si>
  <si>
    <t>https://alpha.midjourney.com/jobs/a1a13900-c801-42e6-af4f-64055214e78b?index=2</t>
  </si>
  <si>
    <t>https://alpha.midjourney.com/jobs/26cf6a40-ae53-40b8-b6e8-cf911b9a91a6?index=3</t>
  </si>
  <si>
    <t>https://alpha.midjourney.com/jobs/bb65025a-3646-4b47-89da-e109c9da39f9?index=2</t>
  </si>
  <si>
    <t>Tilling Yoke Beast</t>
  </si>
  <si>
    <t>Whenever you crystallize a Mortal Crystal, another friendly Unit gains +2 Power.</t>
  </si>
  <si>
    <t>Ordinary beasts cause only an ordinary harvest.</t>
  </si>
  <si>
    <t>https://alpha.midjourney.com/jobs/1ee1739c-f460-4f92-977f-b926ed62b9c9?index=2</t>
  </si>
  <si>
    <t>https://alpha.midjourney.com/jobs/210e4748-4c39-4d6d-84d6-16b05dcaab37?index=1</t>
  </si>
  <si>
    <t>Blossombeast</t>
  </si>
  <si>
    <t>Animal Plant</t>
  </si>
  <si>
    <t>Deploy: If you have 12 or fewer Cards in your Deck, gain +3 Power. If you have more than 6 Crystals, gain +3 Power. If you have more than 4 Cards in Hand, gain +3 Power.</t>
  </si>
  <si>
    <t>N, N, ?, ?</t>
  </si>
  <si>
    <t>Bug Curator</t>
  </si>
  <si>
    <t>Deploy: Draw the top Insect from your Deck. Shuffle your Deck.</t>
  </si>
  <si>
    <t>In his care, the smallest creatures find grand purpose, each insect a piece in his ever-growing collection.</t>
  </si>
  <si>
    <t>N, ?, ?</t>
  </si>
  <si>
    <t>Buzzing Hivetitan</t>
  </si>
  <si>
    <t>Dinosaur Insect</t>
  </si>
  <si>
    <t>Crystallize: Unleash &lt;?&gt;&lt;?&gt;&lt;?&gt;: You may deploy an Insect from your Hand.</t>
  </si>
  <si>
    <t>Insects</t>
  </si>
  <si>
    <t>N, N, ?, ?, ?, ?</t>
  </si>
  <si>
    <t>Caleidoscope Spider</t>
  </si>
  <si>
    <t>Insect Hunter</t>
  </si>
  <si>
    <t>Ambush: An enemy Unit moved or gained Power this Turn. Unearth: Cleanse an enemy Unit.</t>
  </si>
  <si>
    <t>Cinderguard Emberblade</t>
  </si>
  <si>
    <t>Deploy: Choose a friendly Warrior Unit. You may bury an enemy Unit adjacent to the chosen if that Unit has lower Power than the Warrior.</t>
  </si>
  <si>
    <t>Senatorial Phalanx</t>
  </si>
  <si>
    <t>Conquer: Draw the top two Humans of your Deck that do not share a Realm. Then, shuffle your Deck.</t>
  </si>
  <si>
    <t>Ferromancer</t>
  </si>
  <si>
    <t>Deploy and Ally of Construct: You may copy the ability of a friendly Construct.</t>
  </si>
  <si>
    <t>https://alpha.midjourney.com/jobs/a407a34c-2a7a-47d2-858a-c385875cdc0c?index=0</t>
  </si>
  <si>
    <t>Frontier Centurion</t>
  </si>
  <si>
    <t>Beyond the empire's walls, his blade draws the line.</t>
  </si>
  <si>
    <t>frontier centurion, rough, scarred</t>
  </si>
  <si>
    <t>https://alpha.midjourney.com/jobs/e9cfddb2-74e8-4821-93ef-db5a57e9c0e6?index=1</t>
  </si>
  <si>
    <t>https://alpha.midjourney.com/jobs/3bf3147f-0874-4e69-a5cf-babf4744fc51?index=3</t>
  </si>
  <si>
    <t>https://alpha.midjourney.com/jobs/37b0498c-4b19-4c10-b0ef-756203163b3f?index=2</t>
  </si>
  <si>
    <t>https://alpha.midjourney.com/jobs/7f83f9df-7679-4c80-af2f-aaa0f9a41c1e?index=0</t>
  </si>
  <si>
    <t>https://alpha.midjourney.com/jobs/b4e6f87d-bee5-4e2c-bc71-25002b90cf7b?index=3</t>
  </si>
  <si>
    <t>https://alpha.midjourney.com/jobs/b4e6f87d-bee5-4e2c-bc71-25002b90cf7b?index=2</t>
  </si>
  <si>
    <t>https://alpha.midjourney.com/jobs/22a34a29-1762-4b99-a1b7-f4960f0961b3?index=0</t>
  </si>
  <si>
    <t>Cinderguard Saboteur</t>
  </si>
  <si>
    <t>Underneath the red hood lies a will that cannot be extinguished.</t>
  </si>
  <si>
    <t>cinderguard saboteur, antiquity, heavily tattooed mexican, red hood, hiding, starting a fire in a roman house, arsonist, holding a torch</t>
  </si>
  <si>
    <t>https://alpha.midjourney.com/jobs/82cf010f-86e1-4c76-bba4-1f5a5c122086?index=2</t>
  </si>
  <si>
    <t>https://alpha.midjourney.com/jobs/82cf010f-86e1-4c76-bba4-1f5a5c122086?index=3</t>
  </si>
  <si>
    <t>https://alpha.midjourney.com/jobs/2be582e5-299d-470b-9cbc-a89027a4991d?index=3</t>
  </si>
  <si>
    <t>https://alpha.midjourney.com/jobs/a3f9b0a5-cf95-46d6-b2ad-b875e23a9b7b?index=3</t>
  </si>
  <si>
    <t>https://alpha.midjourney.com/jobs/a3f9b0a5-cf95-46d6-b2ad-b875e23a9b7b?index=2</t>
  </si>
  <si>
    <t>https://alpha.midjourney.com/jobs/a3f9b0a5-cf95-46d6-b2ad-b875e23a9b7b?index=1</t>
  </si>
  <si>
    <t>https://alpha.midjourney.com/jobs/b446efd1-d0f0-46e6-bb05-0789f08d931d?index=1</t>
  </si>
  <si>
    <t>https://alpha.midjourney.com/jobs/b446efd1-d0f0-46e6-bb05-0789f08d931d?index=3</t>
  </si>
  <si>
    <t>https://alpha.midjourney.com/jobs/74ae0134-7c5f-4b5f-b25f-6d6412423dc0?index=1</t>
  </si>
  <si>
    <t>Rustblood</t>
  </si>
  <si>
    <t>Insect Construct</t>
  </si>
  <si>
    <t>Fairgrove Dryad</t>
  </si>
  <si>
    <t>Ascend: Plant. When this ascends, draw the top Plant of your Deck. Shuffle your Deck.</t>
  </si>
  <si>
    <t>Fairy Fountain</t>
  </si>
  <si>
    <t>Spirit Construct</t>
  </si>
  <si>
    <t>Crystallize: Gain Crystalborn. Each Player draws 2 Cards.</t>
  </si>
  <si>
    <t>A hidden glade where the water whispers ancient spells, and the air shimmers with pixie dust.</t>
  </si>
  <si>
    <t>Harvest Sanctifier</t>
  </si>
  <si>
    <t>Goliath Beetle</t>
  </si>
  <si>
    <t>With strength unrivaled, it moves with ease, crushing canopy and forest beneath its mighty carapace.</t>
  </si>
  <si>
    <t>N, N, ?, ?, ?, ?, ?</t>
  </si>
  <si>
    <t>Green Crusader</t>
  </si>
  <si>
    <t>Crusader Warrior</t>
  </si>
  <si>
    <t>Grizzly Trap</t>
  </si>
  <si>
    <t>Ambush: This Turn, your Opponent conquered this Lane. Unearth: Bury an enemy Unit with the highest Power in this Lane.</t>
  </si>
  <si>
    <t>No wild monster can escape its iron jaws, be it bear or behemoth.</t>
  </si>
  <si>
    <t>Volatile Battlemage</t>
  </si>
  <si>
    <t>Warrior Wizard</t>
  </si>
  <si>
    <t>Deploy: Gain Taunt. Unleash &lt;D&gt;&lt;E&gt;&lt;N&gt;&lt;V&gt;: Gain +4 Power.</t>
  </si>
  <si>
    <t>Ordinary Flower Pot</t>
  </si>
  <si>
    <t>Deploy and Crystallize: You may bury this to draw the top Plant of your Deck.</t>
  </si>
  <si>
    <t>Ancient Scholar</t>
  </si>
  <si>
    <t>Little Lamb</t>
  </si>
  <si>
    <t>Ascend: Animal. Whenever a friendly Animal Unit is deployed adjacently, gain +1 Power.</t>
  </si>
  <si>
    <t>Weaponized Pest</t>
  </si>
  <si>
    <t>Grashüpfer mit Rasierklingen</t>
  </si>
  <si>
    <t>M, ?, ?, ?, ?, ?, ?</t>
  </si>
  <si>
    <t>Beastcaster</t>
  </si>
  <si>
    <t>Ally of Animal: Gain +2 Power. You may move an adjacent friendly Animal to any free Slot.</t>
  </si>
  <si>
    <t>Trained War Elephant</t>
  </si>
  <si>
    <t>Deploy: Gain +1 Power for each friendly Mortal Crystal.</t>
  </si>
  <si>
    <t>A titan among soldiers, its tusks carve a path of destruction, turning enemy lines into mere memories.</t>
  </si>
  <si>
    <t>M, M, N, ?</t>
  </si>
  <si>
    <t>Starborne Basilisk</t>
  </si>
  <si>
    <t>Animal Dragon</t>
  </si>
  <si>
    <t>Deploy: Take an additional Turn.</t>
  </si>
  <si>
    <t>Eclipsing suns and moons in its flight, the Starborne Basilisk weaves the future and past into the tapestry of the present.</t>
  </si>
  <si>
    <t>M, M, N, N, ?, ?, ?</t>
  </si>
  <si>
    <t>Gladehost Kyudo Master</t>
  </si>
  <si>
    <t>Bannerbearer Human Hunter</t>
  </si>
  <si>
    <t>Within the silent woods, his arrow flies true, a dance of precision and harmony with nature's rhythm.</t>
  </si>
  <si>
    <t>M, N</t>
  </si>
  <si>
    <t>Chalice Bloodbrewer</t>
  </si>
  <si>
    <t>Angel Undead</t>
  </si>
  <si>
    <t>Deploy: Bury a friendly Mortal Crystal and gain its Power.</t>
  </si>
  <si>
    <t>In her ancient veins flows the command of night's children, her will bending the undead to her dark desires.</t>
  </si>
  <si>
    <t>M, V, V, ?</t>
  </si>
  <si>
    <t>Packhunting Crystalbeast</t>
  </si>
  <si>
    <t>Dinosaur Hunter</t>
  </si>
  <si>
    <t>Ally of Dinosaur: You may return an adjacent Unit to its Owner's Hand.</t>
  </si>
  <si>
    <t>N, N, ?, ?, ?</t>
  </si>
  <si>
    <t>Pebble Gekko</t>
  </si>
  <si>
    <t>Crystallize: A friendly Unit gains Fear.</t>
  </si>
  <si>
    <t>Its stony eyes hold a timeless curse, turning the living to monuments of their last moments.</t>
  </si>
  <si>
    <t>Platinum Ladybug</t>
  </si>
  <si>
    <t>Deploy: Draw the top Nature Unit with 5 or more Power. Shuffle your Deck.</t>
  </si>
  <si>
    <t>In its gleaming flight, the secrets of the wild are revealed, a tiny harbinger of nature's forces.</t>
  </si>
  <si>
    <t>Necromancer</t>
  </si>
  <si>
    <t>Deploy: Deploy a friendly Spirit Crystal or friendly Undead Crystal adjacently.</t>
  </si>
  <si>
    <t>In the forgotten corners of the realm, he crafts his rebellion, an army born of death and bound to his dark will.</t>
  </si>
  <si>
    <t>M, M, V, ?, ?</t>
  </si>
  <si>
    <t>Pollen Buzz</t>
  </si>
  <si>
    <t>Insect Plant</t>
  </si>
  <si>
    <t>Deploy: For each friendly Nature Crystal, the friendly Unit with the lowest Power gains +1 Power.</t>
  </si>
  <si>
    <t>The outstanding blooming beauty of the Selen flower fields are the outcome of yet another one of nature's happy accidents.</t>
  </si>
  <si>
    <t>Primal Horde</t>
  </si>
  <si>
    <t>Crystallize: Unleash &lt;?&gt;&lt;?&gt;&lt;?&gt;&lt;?&gt;: Deploy the top Animal of your Deck. Your Opponent draws a Card.</t>
  </si>
  <si>
    <t>To this day, seekers of truth and hunters of legend traverse the ends of the earth, hoping to catch but a glimpse of the Crystal Behemoth. For it is said that to look upon it is to grasp the threads that weave the fabric of existence itself.</t>
  </si>
  <si>
    <t>N, N, N, ?, ?, ?</t>
  </si>
  <si>
    <t>Prowling Puma</t>
  </si>
  <si>
    <t>Ally of Animal: Deploy the top Animal with 3 or less Power of your Deck adjacently.</t>
  </si>
  <si>
    <t>Raider of the Crystal Catacombs</t>
  </si>
  <si>
    <t>Conquer: Crystallize the top three Cards of your Deck.</t>
  </si>
  <si>
    <t>Traps? Curses? Just a regular day for him in the hunt for relics better left buried.</t>
  </si>
  <si>
    <t>N, N, ?</t>
  </si>
  <si>
    <t>Forsaken Aristocrat</t>
  </si>
  <si>
    <t>Bannerbearer Human Undead</t>
  </si>
  <si>
    <t>Once adored in grand halls, now lurking in shadowed corners, thirsting for more than just respect.</t>
  </si>
  <si>
    <t>Roar from the Past</t>
  </si>
  <si>
    <t>Dinosaur Spirit</t>
  </si>
  <si>
    <t>Start of your Turn: A friendly Nature Crystal gains Crystalborn. Whenever you deploy a Dinosaur from your Crystal Zone, it gains +2 Power.</t>
  </si>
  <si>
    <t>Beneath the earth, it stirred, the first to rise; a colossus in crystal, calling its kin from age-old slumber. 'Awaken,' it roared, and the ground obeyed.</t>
  </si>
  <si>
    <t>Rootseed Snapscale</t>
  </si>
  <si>
    <t>Ally of 6+ Cost: Gain Taunt and +3 Power.</t>
  </si>
  <si>
    <t>"Der Hurensohn"</t>
  </si>
  <si>
    <t>N, ?, ?, ?</t>
  </si>
  <si>
    <t>Alpha of the Stampede</t>
  </si>
  <si>
    <t>Deploy: Move a friendly Dinosaur Unit into an adjacent empty Slot.</t>
  </si>
  <si>
    <t>Amethyst Argosaurus</t>
  </si>
  <si>
    <t>Crystallize: A friendly Dinosaur Crystal gains Crystalborn.</t>
  </si>
  <si>
    <t>Veined with amethyst shards, its massive form pulsates with raw, unbridled energy.</t>
  </si>
  <si>
    <t>Astral Unicorn</t>
  </si>
  <si>
    <t>Deploy: Gain +1 Power for each Realm of friendly Crystals.</t>
  </si>
  <si>
    <t>Bathed in starlight, it roams the world, a mystical beacon in the vastness of the night sky.</t>
  </si>
  <si>
    <t>Spectra Stick Bug</t>
  </si>
  <si>
    <t>Ally of Insect: You may deploy an Insect from your Hand.</t>
  </si>
  <si>
    <t>Among the greenery, it thrives as nature's artful imitator, a spectral insect hiding in plain sight.</t>
  </si>
  <si>
    <t>Calming Apparition</t>
  </si>
  <si>
    <t>Bathed in an otherworldly glow, it guides lost souls through the cold, a beacon of peace in the hushed wilderness.</t>
  </si>
  <si>
    <t>N</t>
  </si>
  <si>
    <t>Sylvan Gamekeeper</t>
  </si>
  <si>
    <t>Hunter Plant</t>
  </si>
  <si>
    <t>Ritual of Hunter: Up to three friendly Units with the lowest Powers gain +1 Power.</t>
  </si>
  <si>
    <t>Tainted Jade Monstrosity</t>
  </si>
  <si>
    <t>Dinosaur Plant</t>
  </si>
  <si>
    <t>Deploy: Crystallize the top two Cards of your Deck. Each Player buries three Crystals.</t>
  </si>
  <si>
    <t>A creature of both life and decay, it embodies the Tainted Jade's perilous dance with nature's hidden forces.</t>
  </si>
  <si>
    <t>N, N, N, ?, ?, ?, ?</t>
  </si>
  <si>
    <t>Tainted Jade Mycomancer</t>
  </si>
  <si>
    <t>Ally of Insect or Plant: You may bury this to deploy a friendly Insect or Plant Crystal adjacently.</t>
  </si>
  <si>
    <t>From his vials emerge not just elixirs, but legions of insects, bred for battle's chaotic dance.</t>
  </si>
  <si>
    <t>Caring Matriarch</t>
  </si>
  <si>
    <t>Deploy: You may crystallize the top Card of your Deck.</t>
  </si>
  <si>
    <t>Beneath a caring guise, ferocity lurks; woe to those who threaten her brood in the wild depths.</t>
  </si>
  <si>
    <t>Trickster Sprite</t>
  </si>
  <si>
    <t>Deploy: You may return an adjacent friendly Unit to your Hand to gain +3 Power.</t>
  </si>
  <si>
    <t>Venomleaf Croaker</t>
  </si>
  <si>
    <t xml:space="preserve">Deploy: Gains +1 Power for each adjacent Plant. </t>
  </si>
  <si>
    <t>Leafy and lethal, a true monarch of the underbrush.</t>
  </si>
  <si>
    <t>Darkwood Tracker</t>
  </si>
  <si>
    <t>Ambush: This Turn, an Enemy Unit was deployed in this Lane. Unearth: Draw the top Hunter of your Deck.</t>
  </si>
  <si>
    <t>Where the forest's embrace tightens into a snare, her guidance is a gentle reprieve, her aim true against threats unseen.</t>
  </si>
  <si>
    <t>Verdant Sakura Tree</t>
  </si>
  <si>
    <t>Crystallize: All friendly Plants gain +1 Power.</t>
  </si>
  <si>
    <t>Atop the mountains, where life was thought to wither, it stands as a testament to nature's enduring beauty, a bloom eternal.</t>
  </si>
  <si>
    <t>Forgotten Ancient</t>
  </si>
  <si>
    <t>Nature Void</t>
  </si>
  <si>
    <t>Dinosaur Undead</t>
  </si>
  <si>
    <t>Ambush: This Turn, your Opponent conquered this Lane. Unearth: Unearth all adjacent Units.</t>
  </si>
  <si>
    <t>Life leads to Death, and Death calls back Life.</t>
  </si>
  <si>
    <t>N, N, V, V, ?, ?, ?</t>
  </si>
  <si>
    <t>Locust Swarm</t>
  </si>
  <si>
    <t>Demon Insect</t>
  </si>
  <si>
    <t xml:space="preserve">Deploy: You may deploy an Insect from your Hand. </t>
  </si>
  <si>
    <t>In their buzzing, a grim prophecy fulfilled; fields and hopes alike are consumed beneath their dark cloud.</t>
  </si>
  <si>
    <t>N, V, ?, ?</t>
  </si>
  <si>
    <t>Emerald Fang Cobra</t>
  </si>
  <si>
    <t>Ambush: An enemy Crystal was crystallized this Turn.</t>
  </si>
  <si>
    <t>Its venomous fangs gleam like emeralds in the shadows, a silent harbinger of nature's treacherous beauty.</t>
  </si>
  <si>
    <t>Entwining Creeper</t>
  </si>
  <si>
    <t>Ritual of Plant: Gain +4 Power. Ritual of Insect: Draw a Card.</t>
  </si>
  <si>
    <t>Jeweled Triceratops</t>
  </si>
  <si>
    <t xml:space="preserve">Deploy: Unleash &lt;N&gt;&lt;N&gt;&lt;N&gt;: Glimpse 1 and crystallize the top Card of your Deck. </t>
  </si>
  <si>
    <t>Imbued with crystalline power, its every charge shimmers with the energy of the shattered cosmos.</t>
  </si>
  <si>
    <t>Jolly Tamarin</t>
  </si>
  <si>
    <t>Ambush: This Turn, you glimpsed. Unearth: Draw a Card.</t>
  </si>
  <si>
    <t>Among the treetops, its laughter echoes, a sprightly trickster with treasures hidden in the green vaults above.</t>
  </si>
  <si>
    <t>Leech Dragonfly</t>
  </si>
  <si>
    <t>Deploy: Move all Tokens from an adjacent Unit to a friendly Insect Unit.</t>
  </si>
  <si>
    <t>In its swift flight lies a deadly purpose, a tiny terror with the power to fell giants.</t>
  </si>
  <si>
    <t>Nurseplant</t>
  </si>
  <si>
    <t>Ally of Plant: Draw a Card.</t>
  </si>
  <si>
    <t>In the heart of the forest's embrace, it stands as a healer and guardian.</t>
  </si>
  <si>
    <t>Bloodthrone Familiar</t>
  </si>
  <si>
    <t>Void</t>
  </si>
  <si>
    <t>Crystallize: Unleash &lt;?&gt;&lt;?&gt;&lt;?&gt;&lt;?&gt;&lt;?&gt;: Unearth a friendly Undead Unit. When this gets buried, obscure 2.</t>
  </si>
  <si>
    <t>Soaring through the night, it gathers whispers and secrets, loyal only to its vampiric sovereign.</t>
  </si>
  <si>
    <t>V</t>
  </si>
  <si>
    <t>Nurturing Rootsaurus</t>
  </si>
  <si>
    <t>Deploy: Unleash &lt;N&gt;&lt;N&gt;&lt;N&gt;: +4 Power.</t>
  </si>
  <si>
    <t>Among the ancient ferns, it reigns as a guardian of growth.</t>
  </si>
  <si>
    <t>Carnage Hornet</t>
  </si>
  <si>
    <t>Hunter Insect</t>
  </si>
  <si>
    <t xml:space="preserve">Ambush: A Unit was deployed adjacently this Turn. Unearth: You may bury an adjacent friendly Unit to gain its Power. </t>
  </si>
  <si>
    <t>In the buzz of its wings, one hears the whispers of merciless destruction.</t>
  </si>
  <si>
    <t>V, V, ?, ?, ?</t>
  </si>
  <si>
    <t>Champion from Hell</t>
  </si>
  <si>
    <t>Demon Warrior</t>
  </si>
  <si>
    <t>Deploy: Your Opponent buries all of their adjacent Units except one.</t>
  </si>
  <si>
    <t>How can your meager mortal minds not grasp the concept of 'one versus one'?</t>
  </si>
  <si>
    <t>V, V, ?, ?, ?, ?, ?</t>
  </si>
  <si>
    <t>Colorgorger</t>
  </si>
  <si>
    <t>Demon</t>
  </si>
  <si>
    <t>Crystallize: If you control a Demon Unit, bury an enemy Crystal.</t>
  </si>
  <si>
    <t>It nibbles away at colors, sapping strength from the very essence of its prey.</t>
  </si>
  <si>
    <t>V, ?, ?</t>
  </si>
  <si>
    <t>Dark Spoon</t>
  </si>
  <si>
    <t>Deploy: Your Opponent puts a Card from their Hand beneath their Deck.</t>
  </si>
  <si>
    <t>Beware the kitchenware that whispers secrets of chaos.</t>
  </si>
  <si>
    <t>V, ?</t>
  </si>
  <si>
    <t>Dawnbreak Wendigo</t>
  </si>
  <si>
    <t>Deploy: If you are trailing in Lanes, draw a card.</t>
  </si>
  <si>
    <t>trail</t>
  </si>
  <si>
    <t>Depthdragger</t>
  </si>
  <si>
    <t>Deploy: Put any number of Cards from your Hand at the Bottom of your Deck and draw that many plus one.</t>
  </si>
  <si>
    <t>Artifact</t>
  </si>
  <si>
    <t>Discarded Abomination</t>
  </si>
  <si>
    <t>Deploy: Gain Fear. Crystallize: Obscure 2 for each Lane you trail by.</t>
  </si>
  <si>
    <t>V, ?, ?, ?, ?</t>
  </si>
  <si>
    <t>Doomgaze Overlord</t>
  </si>
  <si>
    <t>Start of your Turn: Randomly obscure 1 or gain +2 Power.</t>
  </si>
  <si>
    <t>V, V, V, ?, ?, ?</t>
  </si>
  <si>
    <t>Dread Cryptlord</t>
  </si>
  <si>
    <t>Deploy: If you are trailing in Lanes, all friendly Undead Unit gain +2 Power.</t>
  </si>
  <si>
    <t>Nutrient Nexus</t>
  </si>
  <si>
    <t>Deploy: Adjacent friendly Plant Units gain +2 Power.</t>
  </si>
  <si>
    <t>Roots deep in ancient soil, it weaves life into every leaf and vine, a pulse of growth in the wilderness.</t>
  </si>
  <si>
    <t>Fatepeek Imp</t>
  </si>
  <si>
    <t>Deploy: Obscure once.</t>
  </si>
  <si>
    <t>One Eyed Dread</t>
  </si>
  <si>
    <t>Dinosaur Demon</t>
  </si>
  <si>
    <t>Crystallize: Gain Crystalborn. Deploy: Gain Fear.</t>
  </si>
  <si>
    <t>The jungle quivers under its cyclopean stare.</t>
  </si>
  <si>
    <t>N, N, N, ?, ?</t>
  </si>
  <si>
    <t>Plunderpillar</t>
  </si>
  <si>
    <t>Deploy: Move a Token from an adjacent Unit to a friendly Insect.</t>
  </si>
  <si>
    <t>As it devours the ambient energy, the enigma of its final form keeps all who witness it guessing, a tiny creature with boundless potential.</t>
  </si>
  <si>
    <t>Raptor Pack</t>
  </si>
  <si>
    <t>Ambush: This Turn, your Opponent crystallized and controls six or more Crystals.</t>
  </si>
  <si>
    <t>Their coordinated strikes are as fearsome as they are efficient, a terror to all who tread their domain.</t>
  </si>
  <si>
    <t>Saurian Wraith</t>
  </si>
  <si>
    <t>Deploy: Gain +3 Power if you have a Dinosaur Crystal.</t>
  </si>
  <si>
    <t>Echoing from ancient times, its ghostly form strikes terror, a spectral predator from a forgotten age.</t>
  </si>
  <si>
    <t>Gravebound Ghoul</t>
  </si>
  <si>
    <t>When this gets buried, an adjacent friendly Unit gains Power equal to this Unit's Power.</t>
  </si>
  <si>
    <t>In the echo of a necromancer's neglect, it haunts, forever confined to its unintended crypt.</t>
  </si>
  <si>
    <t>Graverobber</t>
  </si>
  <si>
    <t>Deploy: You may return a friendly Construct Unit to your Hand.</t>
  </si>
  <si>
    <t>In the dead of night, where tombstones loom, he finds kin amidst the gloom.</t>
  </si>
  <si>
    <t>V, V, ?, ?, ?, ?</t>
  </si>
  <si>
    <t>Greedspawn</t>
  </si>
  <si>
    <t>Deploy: Gain +2 Power for each Rare Unit.</t>
  </si>
  <si>
    <t>Every precious artifact, every rare jewel, amplifies its ravenous strength.</t>
  </si>
  <si>
    <t>Grim Titan</t>
  </si>
  <si>
    <t>Ally of Demon: Crystallize the top two Cards of your Deck and bury them.</t>
  </si>
  <si>
    <t>V, V, ?, ?</t>
  </si>
  <si>
    <t>Shadowpounce Panther</t>
  </si>
  <si>
    <t>Ambush: An enemy Unit was deployed adjacently this Turn. Unearth: You may move this.</t>
  </si>
  <si>
    <t>Master of the jungle's dark heart, its every step is a silent threat, a hunter cloaked in near-invisible menace.</t>
  </si>
  <si>
    <t>Shardtooth</t>
  </si>
  <si>
    <t>Ambush: A Unit was deployed this Turn. Unearth: An adjacent friendly Unit gains Ward.</t>
  </si>
  <si>
    <t>Hungry Shambler</t>
  </si>
  <si>
    <t>Crystalblight Undead</t>
  </si>
  <si>
    <t>Deploy: Each Player buries one of their Crystals.</t>
  </si>
  <si>
    <t>In its relentless shuffle, there's but one thought: feed, feed, feed.</t>
  </si>
  <si>
    <t>Sunflower Sprite</t>
  </si>
  <si>
    <t>Plant Spirit</t>
  </si>
  <si>
    <t>Whenever a friendly Nature Unit is deployed adjacently, gain +2 Power.</t>
  </si>
  <si>
    <t>As the sun's warmth bathes the world, it spreads its wings of harmony, a sprite that nurtures unity among nature's children.</t>
  </si>
  <si>
    <t>Tiger Matriarch</t>
  </si>
  <si>
    <t>Deploy: Another friendly Nature Unit in this Lane gains +2 Power and Ward.</t>
  </si>
  <si>
    <t>Sovereign of stripes and fangs, she embodies the jungle's heart, fierce and nurturing in her dominion.</t>
  </si>
  <si>
    <t>Meekbone Soldier</t>
  </si>
  <si>
    <t xml:space="preserve">Start of Turn: If you are trailing in Lanes, gain +1 Power. </t>
  </si>
  <si>
    <t>Monarch of Shadows</t>
  </si>
  <si>
    <t>Start of Turn: Gain +1 Power for each buried Unit.</t>
  </si>
  <si>
    <t>Each secret interred feeds his dark dominion; for him, every grave is a fount of power.</t>
  </si>
  <si>
    <t>Venus Flytrap</t>
  </si>
  <si>
    <t>Ambush: An enemy Unit was deployed adjacently this Turn. Unearth: Bury an adjacent enemy Unit with 4 or less Power.</t>
  </si>
  <si>
    <t>What appears a mere plant masks a deadly trap, capable of snapping shut on much more than flies.</t>
  </si>
  <si>
    <t>Arcane Gorgosaur</t>
  </si>
  <si>
    <t>Dinosaur Wizard</t>
  </si>
  <si>
    <t>Deploy and Crystallize: Unleash &lt;N&gt;&lt;N&gt;&lt;N&gt;&lt;N&gt;: Deploy the top Card of your Deck.</t>
  </si>
  <si>
    <t>A behemoth of prehistoric mysticism, it commands the elements, sculpting the world as it has for eons.</t>
  </si>
  <si>
    <t>N, N</t>
  </si>
  <si>
    <t>Bloodclaw</t>
  </si>
  <si>
    <t>Deploy: Each Player crystallizes the top Card of their Deck.</t>
  </si>
  <si>
    <t>In its monstrous stride, the ground trembles, heralding a primal horror from the depths of damnation.</t>
  </si>
  <si>
    <t>Duke of the Grove</t>
  </si>
  <si>
    <t>Deploy: Deploy a friendly Plant Crystal adjacently.</t>
  </si>
  <si>
    <t>In his verdant realm, he summons life with a mere thought, master of the green and growing.</t>
  </si>
  <si>
    <t>Omenshadow</t>
  </si>
  <si>
    <t>Crystallize: Obscure 2.</t>
  </si>
  <si>
    <t>Once ignored, her prophecies lingered in the air like mist—unseen, unheard, unwelcome. Now, she weaves the future with her own hands, a dark tapestry to force the eyes of the world wide open.</t>
  </si>
  <si>
    <t>Mantis Queen</t>
  </si>
  <si>
    <t>Deploy: Unearth a friendly Unit with Ambush. Draw a Card for each other friendly Hunter Unit.</t>
  </si>
  <si>
    <t>The air thrums with the wings of her swarm. The Mantis Queen, a silent empress, orchestrates the chaos into a symphony. I am, against my better judgment, in awe.</t>
  </si>
  <si>
    <t>Purple Crusader</t>
  </si>
  <si>
    <t>With every swing of his blade, he sought to cleave the dark. But the void is patient; it seeped into his will, transforming his resolve into the very essence of what he once vanquished.</t>
  </si>
  <si>
    <t>Reborn Stargazer</t>
  </si>
  <si>
    <t>Start of your Turn: You may bury this to glimpse 3. Unearth: Obscure 3.</t>
  </si>
  <si>
    <t>Once a herald of dawn, now a specter of dusk, it yearns for the light it has lost.</t>
  </si>
  <si>
    <t>Relentless Guardian</t>
  </si>
  <si>
    <t>Construct Crystalblight Undead</t>
  </si>
  <si>
    <t>When this gets buried, unearth it and bury a friendly Crystal.</t>
  </si>
  <si>
    <t>"Warn...ing: Bl-blight, it creeps... I-I, still s-stand. Fight, must keep... Dark, d-deep. Not... give in."</t>
  </si>
  <si>
    <t>V, ?, ?, ?</t>
  </si>
  <si>
    <t>Runic Arachnid</t>
  </si>
  <si>
    <t>Ambush: An enemy Unit was deployed adjacently this Turn. Unearth: Copy the 'Deploy' ability of an adjacent enemy Unit and return that Unit to its Owners Hand.</t>
  </si>
  <si>
    <t>Its webs drip with ancient curses, a trap not just for the flesh, but for the essence of magic itself.</t>
  </si>
  <si>
    <t>Sanguine Teapot</t>
  </si>
  <si>
    <t>Deploy: Your Opponent buries two Crystals.</t>
  </si>
  <si>
    <t>"Item #0871: One (1) teapot, ceramic, seemingly benign but reputedly infused with malevolent energies. Note: Handle with care (and perhaps a prayer). Recommend storage: Restricted section, far from any actual tea ceremonies."</t>
  </si>
  <si>
    <t>Sun Crystal Saurus</t>
  </si>
  <si>
    <t>Crystallize: Crystallize a friendly Unit, then deploy a Crystal with lower Costs than that Unit.</t>
  </si>
  <si>
    <t>N, N, N, ?</t>
  </si>
  <si>
    <t>Sandsilk Fox</t>
  </si>
  <si>
    <t>sandsilk fox, desert fox, sandstorm, spirit elemental magical being, animal</t>
  </si>
  <si>
    <t>https://alpha.midjourney.com/jobs/d32d623f-8304-4652-a723-5e08c4834598?index=1</t>
  </si>
  <si>
    <t>https://alpha.midjourney.com/jobs/d32d623f-8304-4652-a723-5e08c4834598?index=0</t>
  </si>
  <si>
    <t>Living Thicket</t>
  </si>
  <si>
    <t>Amidst the emerald canopy, the heart of the forest is beating.</t>
  </si>
  <si>
    <t>Shrouded Trickster</t>
  </si>
  <si>
    <t>Crystalblight Demon</t>
  </si>
  <si>
    <t>Crystallize: Until end of turn, all buried Crystals become all Realms.</t>
  </si>
  <si>
    <t>The demon, in its naïve malice, delights in the havoc of the blight, oblivious to the fact that it is but a pawn in a game played by shadows far deeper than its own dark whims.</t>
  </si>
  <si>
    <t>Advocate of the Grove</t>
  </si>
  <si>
    <t>N, ?, ?, ?, ?</t>
  </si>
  <si>
    <t>Slumbering Fiend</t>
  </si>
  <si>
    <t>Unearth: Gain +6 Power.</t>
  </si>
  <si>
    <t>They mourned him, as is the way of the living, until the grave unbound him. There he stood again among them, a presence both familiar and unsettling, marked by the passage through death's own door.</t>
  </si>
  <si>
    <t>Invigorating Lotus Bloom</t>
  </si>
  <si>
    <t>Ally of Dinosaur or Animal: Bury this to give all friendly Dinosaurs and Animals its Power.</t>
  </si>
  <si>
    <t>A rare flower that only shows its true beauty within a single night.</t>
  </si>
  <si>
    <t>Photosynthaurus</t>
  </si>
  <si>
    <t>Ally of Dinosaur: A friendly Dinosaur gains Fear. Ally of Plant: A friendly Plant gains Taunt.</t>
  </si>
  <si>
    <t>Southern Reach Bulwark</t>
  </si>
  <si>
    <t>Deploy: Crystallize the top Card of your Deck. Gain +4 Power if it is a Animal or Dinosaur. If it is not, draw 2 Cards.</t>
  </si>
  <si>
    <t>Thoughtfeaster</t>
  </si>
  <si>
    <t>Deploy: Gain Fear. Obscure once. Reveal the bottom Card of your Opponent's Deck and gain Power equal to its Power.</t>
  </si>
  <si>
    <t>"Day 25: Another night, another visitation. Demon plays with us, a game of cat and mouse. It's there one moment, eyes gleaming and all, and then nothing but shadows. Men are on edge, their dreams poisoned by its taunting laughter."</t>
  </si>
  <si>
    <t>Tombstone Carver</t>
  </si>
  <si>
    <t>Deploy: Deploy the top Undead of your Deck buried adjacently. Shuffle your Deck.</t>
  </si>
  <si>
    <t>In each chiseled line, a story ends.</t>
  </si>
  <si>
    <t>Umbral Nexus</t>
  </si>
  <si>
    <t>Plant Undead</t>
  </si>
  <si>
    <t>Deploy: Gain Taunt. Ascend: Void.</t>
  </si>
  <si>
    <t>To the unsuspecting eye, it's merely flora, yet its roots delve deep, siphoning malice from the earth. Its pollen whispers dark thoughts to those who wander too close.</t>
  </si>
  <si>
    <t>Voidkiss Siren</t>
  </si>
  <si>
    <t>Demon Hunter</t>
  </si>
  <si>
    <t xml:space="preserve">Ascend: Demon. Deploy: Your Opponent puts a Card from their Hand at the Bottom of their Deck. When this ascends, draw two Cards. </t>
  </si>
  <si>
    <t>Her summoners are granted the boon of her power, but at the cost of witnessing her unfettered vengeance upon any slight, real or imagined, leaving them in silent horror at the chaos wrought in their name.</t>
  </si>
  <si>
    <t>Rootstrosity</t>
  </si>
  <si>
    <t>Plant Warrior</t>
  </si>
  <si>
    <t>Deploy: Gain Fear. Gain +3 Power for each adjacent enemy Unit or friendly Plant.</t>
  </si>
  <si>
    <t>Voodoo Doctor</t>
  </si>
  <si>
    <t>Undead Wizard</t>
  </si>
  <si>
    <t xml:space="preserve">Whenever a Common Unit is deployed adjacently, obscure once. </t>
  </si>
  <si>
    <t>By the light of a jade flame, the ritual unfolds, a macabre spectacle of devotion. The cultists seek not salvation, but the embrace of a power so ancient, its name has been swallowed by the mists of time.</t>
  </si>
  <si>
    <t>Whispering Tome</t>
  </si>
  <si>
    <t>Deploy: Search your Deck for a Card and draw it. Shuffle your Deck.</t>
  </si>
  <si>
    <t>Decimus's folly was believing he could master the tome's ancient power without consequence. With every incantation learned, his essence was siphoned away, replaced by a darkness eager to spread beyond the confines of its pages.</t>
  </si>
  <si>
    <t>Choking Vines</t>
  </si>
  <si>
    <t>Crystalblight Plant</t>
  </si>
  <si>
    <t>Deploy: Bury a friendly Crystal to glimpse 1.</t>
  </si>
  <si>
    <t>The forests whisper of a creeping doom, one that leeches the vitality from the very soil, rendering the land barren of its arcane gifts.</t>
  </si>
  <si>
    <t>?</t>
  </si>
  <si>
    <t>Heathborn Protector</t>
  </si>
  <si>
    <t>N, ?, ?, ?, ?, ?</t>
  </si>
  <si>
    <t>Crusader of the Wastelands</t>
  </si>
  <si>
    <t>Amidst the desolation of the wasteland, every drop of water is bloodshed, and every shelter is a battleground, contested by the land's savage inheritors.</t>
  </si>
  <si>
    <t>?, ?, ?</t>
  </si>
  <si>
    <t>Crystalbane Glutton</t>
  </si>
  <si>
    <t>Deploy: Bury three friendly Crystals to draw a Card.</t>
  </si>
  <si>
    <t>The Crystalblight, an arcane affliction, devours the land's magic, turning sanctuaries into silent tombs and vibrant forests into graveyards of petrified wood.</t>
  </si>
  <si>
    <t>?, ?, ?, ?, ?, ?</t>
  </si>
  <si>
    <t>Crystalline Parasite</t>
  </si>
  <si>
    <t>Crystalblight Insect</t>
  </si>
  <si>
    <t>Deploy: Bury two friendly Crystals to crystallize the top Card of your Deck.</t>
  </si>
  <si>
    <t>Where once there was an abundance of arcane energy, now lies a thirsting emptiness, a testament to the ravages of a silent, unseen hunger.</t>
  </si>
  <si>
    <t>?, ?, ?, ?</t>
  </si>
  <si>
    <t>Fortune's Favorite</t>
  </si>
  <si>
    <t>Ascend.</t>
  </si>
  <si>
    <t>He walks the earth lightly, for he belongs not to this world but to the ether, where ascension awaits the pure of heart.</t>
  </si>
  <si>
    <t>Gigantic Terrormaw</t>
  </si>
  <si>
    <t>From the depths of the mangroves, devastation awoke.</t>
  </si>
  <si>
    <t>Null Ghost</t>
  </si>
  <si>
    <t>Crystalblight Spirit</t>
  </si>
  <si>
    <t>Deploy: Gain +2 Power for each friendly empty Crystal.</t>
  </si>
  <si>
    <t>Bear Cub</t>
  </si>
  <si>
    <t>Necroconut Crab</t>
  </si>
  <si>
    <t>Deploy: Gain +1 Power for each buried Unit, then gain an additional +1 Power for each Unit with Ambush.</t>
  </si>
  <si>
    <t>Giant Demon Coconut Crab</t>
  </si>
  <si>
    <t>N, N, V, ?</t>
  </si>
  <si>
    <t>Rotting Alicorn</t>
  </si>
  <si>
    <t>Deploy: You may copy the Ability of another Unit.</t>
  </si>
  <si>
    <t>Once pure, now tainted, it mirrors the darkest magics, twisting them with its own corruption.</t>
  </si>
  <si>
    <t>N, V, V, ?</t>
  </si>
  <si>
    <t>Tainted Jade Initiate</t>
  </si>
  <si>
    <t>Bannerbearer Plant Undead</t>
  </si>
  <si>
    <t>Embracing the jungle's forbidden elixirs, he communes with spirits unseen, a disciple of mysteries dark and profound.</t>
  </si>
  <si>
    <t>N, V</t>
  </si>
  <si>
    <t>Cryptroach</t>
  </si>
  <si>
    <t>Insect Undead</t>
  </si>
  <si>
    <t>Ambush: Your Opponent conquers this Lane. Unearth: Swap the positions of this and another Unit.</t>
  </si>
  <si>
    <t>Its tunnels were once used by ancient kings and pharaohs to guard their eternal rest.</t>
  </si>
  <si>
    <t>V, V, ?</t>
  </si>
  <si>
    <t>crypt roach, insect, animal, climbing up wall, pest, skittering, ancient egyptian, undead, lapislazuli plated</t>
  </si>
  <si>
    <t>https://alpha.midjourney.com/jobs/b6b028b1-6920-4dde-9694-73d589c7969e?index=1</t>
  </si>
  <si>
    <t>Abyssal Silencer</t>
  </si>
  <si>
    <t>Deploy: Bury an adjacent enemy Unit with equal or lower Power than this.</t>
  </si>
  <si>
    <t>An assassin cloaked in the stillness of the abyss, where space bends to his will.</t>
  </si>
  <si>
    <t>Blightcoven Puppeteer</t>
  </si>
  <si>
    <t>Deploy: You may unearth an adjacent friendly Unit.</t>
  </si>
  <si>
    <t>Every pull, every twitch, an orchestrated horror; the dance of the damned begins.</t>
  </si>
  <si>
    <t>Bloodthrone Ambassador</t>
  </si>
  <si>
    <t>Ritual: You may play an additional Unit this Turn.</t>
  </si>
  <si>
    <t>Bloodthrone Sovereign</t>
  </si>
  <si>
    <t>Hunter Undead</t>
  </si>
  <si>
    <t>Ritual: Gain +4 Power. Ritual: Gain +4 Power.</t>
  </si>
  <si>
    <t>Her throne, a monument to eternal night; her will, an unyielding dominion over darkness.</t>
  </si>
  <si>
    <t>Emissary of Darkness</t>
  </si>
  <si>
    <t>Deploy: Draw the top Demon of your Deck. Shuffle your Deck.</t>
  </si>
  <si>
    <t>Beneath a starless sky, the Emissary's incantations echo, as demons heed his silent call.</t>
  </si>
  <si>
    <t>Forsaken Chronicler</t>
  </si>
  <si>
    <t>When this gets buried, draw a Card.</t>
  </si>
  <si>
    <t>His quill dips in secrets as dark as blood, chronicling the silent reign of the Forsaken over the city's heart.</t>
  </si>
  <si>
    <t>Forsaken Serenader</t>
  </si>
  <si>
    <t>Deploy: Glimpse twice for each adjacent Void Unit.</t>
  </si>
  <si>
    <t>In the dim light, his fingers dance across ivory, each note a whisper of timeless longing.</t>
  </si>
  <si>
    <t>Foul Corruptor</t>
  </si>
  <si>
    <t>Ritual: All friendly Void Units gain +1 Power.</t>
  </si>
  <si>
    <t>In her gaze lies the downfall of purity; in her touch, the rot of empires.</t>
  </si>
  <si>
    <t>Ghoulflesh Devourer</t>
  </si>
  <si>
    <t>Whenever an enemy Unit with less Power is deployed adjacently, gain +1 Power.</t>
  </si>
  <si>
    <t>Feasting on the meek, it grows ever stronger, a monstrous amalgam of death and dragon might.</t>
  </si>
  <si>
    <t>Grinning Amphora</t>
  </si>
  <si>
    <t>Deploy: Draw two Cards.</t>
  </si>
  <si>
    <t>Its grin speaks of boundless greed, yet none truly know its purpose.</t>
  </si>
  <si>
    <t>Intrusive Advisor</t>
  </si>
  <si>
    <t xml:space="preserve">Deploy: Draw two Cards, then put two Cards from your Hand to the bottom of the Deck. </t>
  </si>
  <si>
    <t>A demon's counsel is a double-edged sword; one edge cuts through lies, the other through the listener.</t>
  </si>
  <si>
    <t>Guardian of Heaven</t>
  </si>
  <si>
    <t>Angel, Warrior</t>
  </si>
  <si>
    <t>Deploy: If you are trailing by 2 or more Units, gain +3 Power, Ward and Fear.</t>
  </si>
  <si>
    <t>Bringer of Pestilence</t>
  </si>
  <si>
    <t>Insect, Undead</t>
  </si>
  <si>
    <t>Start of your Turn: You may bury a friendly Unit to give this +2 Power and Taunt.</t>
  </si>
  <si>
    <t>V, V, V, ?</t>
  </si>
  <si>
    <t>Crazed Acolyte</t>
  </si>
  <si>
    <t>Deploy: Corrupt.</t>
  </si>
  <si>
    <t>Haze Hermit</t>
  </si>
  <si>
    <t>Channel: Glimpse 5.</t>
  </si>
  <si>
    <t>Ancient Lamp</t>
  </si>
  <si>
    <t>Construct, Demon, Spirit</t>
  </si>
  <si>
    <t>Deploy: Corrupt yourself.</t>
  </si>
  <si>
    <t>E, D, ?</t>
  </si>
  <si>
    <t>Oblivion</t>
  </si>
  <si>
    <t>Crystalblight, Spirit</t>
  </si>
  <si>
    <t>Deploy: Corrupt for each friendly buried Crystal and each friendly Crystalblight.</t>
  </si>
  <si>
    <t>D, V, ?, ?, ?, ?, ?</t>
  </si>
  <si>
    <t>Sovereign of the Rejuvenating Springs</t>
  </si>
  <si>
    <t>Animal, Plant</t>
  </si>
  <si>
    <t>Deploy and Crystallize: Exhausted: Draw a Card.</t>
  </si>
  <si>
    <t>Pegasus</t>
  </si>
  <si>
    <t>Deploy: Gain Winged 2.</t>
  </si>
  <si>
    <t>Blinking Onyxion</t>
  </si>
  <si>
    <t>Dragon, Wizard</t>
  </si>
  <si>
    <t>Channel: Give a Unit +2 Power.</t>
  </si>
  <si>
    <t>Dragon Queen Thalis</t>
  </si>
  <si>
    <t>Human, Warrior</t>
  </si>
  <si>
    <t>Ally of Dragon: All friendly Dragons gain Winged 1 and +1 Power.</t>
  </si>
  <si>
    <t>E, M, M</t>
  </si>
  <si>
    <t>Fuming Fukuisaur</t>
  </si>
  <si>
    <t>Demon, Dinosaur</t>
  </si>
  <si>
    <t>Deploy: Corrupt. Corrupt.</t>
  </si>
  <si>
    <t>Spreading Spore</t>
  </si>
  <si>
    <t>Deploy: Exhausted: Three friendly Units gain +1 Power.</t>
  </si>
  <si>
    <t>Nightmare Creeper</t>
  </si>
  <si>
    <t>Demon, Insect</t>
  </si>
  <si>
    <t>Deploy: Gain Fear. Channel: Corrupt and obscure 2.</t>
  </si>
  <si>
    <t>Chapel Watcher</t>
  </si>
  <si>
    <t>Mortal Divine</t>
  </si>
  <si>
    <t>Crystallize: A friendly Unit gains Winged 1.</t>
  </si>
  <si>
    <t>M, D, ?</t>
  </si>
  <si>
    <t>Luring Flametooth</t>
  </si>
  <si>
    <t>Dragon, Hunter</t>
  </si>
  <si>
    <t>Deploy: Gain Taunt and Winged 1.</t>
  </si>
  <si>
    <t>Shardsplosion</t>
  </si>
  <si>
    <t>Ambush: When a Unit was played adjacently this Turn and adjacent Units have a total of 15 or more Power. Unearth: Bury all adjacent Units.</t>
  </si>
  <si>
    <t>Dragoncaller</t>
  </si>
  <si>
    <t>Human, Wizard</t>
  </si>
  <si>
    <t>When your Opponent conquers this Lane, you may deploy a friendly Dragon Crystal adjacently.</t>
  </si>
  <si>
    <t>Stalagmite Twin</t>
  </si>
  <si>
    <t>Crystallize: Gain Crystalborn. Deploy: Gain Ward. Conquer: Deploy the top Construct of your Deck adjacently.</t>
  </si>
  <si>
    <t>Undead, Hunter</t>
  </si>
  <si>
    <t>Desert Mirage</t>
  </si>
  <si>
    <t>Ambush: A Unit was deployed this Turn and there are empty adjacent Slots. Unearth: You may swap this with another friendly Unit.</t>
  </si>
  <si>
    <t>Heavenbound Heka-Mage</t>
  </si>
  <si>
    <t>Angel, Wizard</t>
  </si>
  <si>
    <t>Deploy: Gain Winged 1.</t>
  </si>
  <si>
    <t>Twilight Sorceress</t>
  </si>
  <si>
    <t>Deploy: Gain Ward. Whenever a friendly Unit with a "Choose one" ability is deployed, you can use both abilities.</t>
  </si>
  <si>
    <t>Twinfang Huntcaller</t>
  </si>
  <si>
    <t>Crystallize: Whenever a Unit unleashes this Turn, copy its 'Unleash' ability.</t>
  </si>
  <si>
    <t>Vanguard Diviner</t>
  </si>
  <si>
    <t>Deploy: Ward. Ally of Mortal: Glimpse equal to an adjacent friendly Unit's Power.</t>
  </si>
  <si>
    <t xml:space="preserve">When this is a Crystal and gets buried, </t>
  </si>
  <si>
    <t>Deploy: If you control two Angels and two Demons,</t>
  </si>
  <si>
    <t>Behemoth Guider</t>
  </si>
  <si>
    <t>Deploy: Gain Power equal to a friendly Crystal with the lowest Power.</t>
  </si>
  <si>
    <t>All Units cost &lt;?&gt; more.</t>
  </si>
  <si>
    <t>The Yesterknight</t>
  </si>
  <si>
    <t>All friendly Crusaders</t>
  </si>
  <si>
    <t>Young Alchemist</t>
  </si>
  <si>
    <t>Mirrorkin</t>
  </si>
  <si>
    <t>Ambush: An enemy Unit is deployed adjacently. Unearth: Gain Power equal to an adjacent enemy Unit's Power.</t>
  </si>
  <si>
    <t>Irgendirgendwas Ägypten Einbalsamierung (Take control of Unit???)</t>
  </si>
  <si>
    <t>Bannerbearer Tribal</t>
  </si>
  <si>
    <t>Ally of Nature: ... Ally of Divine: ... Ally of Elemental: ....</t>
  </si>
  <si>
    <t>Ticking Tick</t>
  </si>
  <si>
    <t>Construct, Insect</t>
  </si>
  <si>
    <t>Start of Turn: You may bury this to return an adjacent Unit to its owner's hand.</t>
  </si>
  <si>
    <t>Whenever a non-Dragon Unit gains Power, gain +1 Power.</t>
  </si>
  <si>
    <t>Blue Sucker</t>
  </si>
  <si>
    <t>Crystalblight</t>
  </si>
  <si>
    <t>Deploy: Bury any number of friendly Mortal Crystals. Gain +2 Power for each.</t>
  </si>
  <si>
    <t>Green Sucker</t>
  </si>
  <si>
    <t>Deploy: Bury any number of friendly Nature Crystals. Gain +2 Power for each.</t>
  </si>
  <si>
    <t>Yellow Sucker</t>
  </si>
  <si>
    <t>Deploy: Bury any number of friendly Divine Crystals. Gain +2 Power for each.</t>
  </si>
  <si>
    <t>Purple Sucker</t>
  </si>
  <si>
    <t>Deploy: Bury any number of friendly Void Crystals. Gain +2 Power for each.</t>
  </si>
  <si>
    <t>Red Sucker</t>
  </si>
  <si>
    <t>Deploy: Bury any number of friendly Elemental Crystals. Gain +2 Power for each.</t>
  </si>
  <si>
    <t>Twilight Conduit</t>
  </si>
  <si>
    <t>Unleash &lt;D&gt;&lt;D&gt;&lt;V&gt;&lt;V&gt;: Draw a Card.</t>
  </si>
  <si>
    <t>When this gets buried: Christallize and unearth this.</t>
  </si>
  <si>
    <t>Shaman of the Scale</t>
  </si>
  <si>
    <t>When your Opponent conquers this Lane, you may deploy (a friendly Dragon Crystal | the top Dragon of your Deck) adjacently.</t>
  </si>
  <si>
    <t>Nethersilk Moth</t>
  </si>
  <si>
    <t>Whenever a friendly Void Unit is deployed adjacently, gain +2 Power.</t>
  </si>
  <si>
    <t>Drawn to the void's cold embrace, each nearby shadow fuels its ghostly wings.</t>
  </si>
  <si>
    <t>Nightmare Penguin</t>
  </si>
  <si>
    <t>What was whispered as a tale to scare children skulks in the darkness, a terrifying truth behind the fable.</t>
  </si>
  <si>
    <t>Possessed Vermin Brood</t>
  </si>
  <si>
    <t>Ambush: An enemy Unit was deployed adjacently this Turn. Unearth: Gain Taunt.</t>
  </si>
  <si>
    <t>A swarm tainted by darkness, their numbers are as endless as their hunger.</t>
  </si>
  <si>
    <t>Shadowsting Scorpion</t>
  </si>
  <si>
    <t>Ambush: An enemy Unit was deployed adjacently this Turn. Unearth: Return an adjacent Unit to its owner's Hand.</t>
  </si>
  <si>
    <t>Death's whisper on eight silent legs.</t>
  </si>
  <si>
    <t>Shiverskull</t>
  </si>
  <si>
    <t>Deploy: All friendly Void Units gain Fear.</t>
  </si>
  <si>
    <t>His every step is a reminder of mortality's cruel jest; his blade, a sharp retort.</t>
  </si>
  <si>
    <t>https://alpha.midjourney.com/jobs/5531e7cf-23f3-4725-986f-2de126d022b2?index=2</t>
  </si>
  <si>
    <t>Skull Crow</t>
  </si>
  <si>
    <t>Deploy: Your Opponent buries one of their Units.</t>
  </si>
  <si>
    <t>With eyes like ghostly lanterns, the guardian of the graveyards watches from above.</t>
  </si>
  <si>
    <t>Symbiotic Crawler</t>
  </si>
  <si>
    <t>Demon Plant</t>
  </si>
  <si>
    <t>Deploy: Another friendly Void Unit in this Lane gains +1 Power and Fear.</t>
  </si>
  <si>
    <t>In the shadow of its tendrils, life withers, feeding this sinister, parasitic growth.</t>
  </si>
  <si>
    <t>Nightreaper</t>
  </si>
  <si>
    <t>Deploy: Gain Fear. Bury a friendly Unit and a friendly Crystal.</t>
  </si>
  <si>
    <t>Cloaked in midnight, he reaps souls with a blade that slices through fate and time, an eternal arbiter of the inevitable.</t>
  </si>
  <si>
    <t>The Forsaken King</t>
  </si>
  <si>
    <t>Angel Demon</t>
  </si>
  <si>
    <t xml:space="preserve">Ritual of Angel: Gain +2 Power, Taunt and Ward. Ritual of Demon: Draw 3 Cards. </t>
  </si>
  <si>
    <t>In his fall, a kingdom was born, straddling the blurred lines between redemption and ruin.</t>
  </si>
  <si>
    <t>Gorgon Serpentress</t>
  </si>
  <si>
    <t>Deploy: Crystallize another friendly Unit, then bury an enemy Unit with equal or lower Crystal Cost.</t>
  </si>
  <si>
    <t>Ill-Tempered Imp</t>
  </si>
  <si>
    <t>Within its volatile gaze lies a mischief only the brave dare to decipher.</t>
  </si>
  <si>
    <t>Nightbloom Owl</t>
  </si>
  <si>
    <t>Shroom Behemoth</t>
  </si>
  <si>
    <t>A colossal fusion of fungus and might, looming large from the forest's hidden depths.</t>
  </si>
  <si>
    <t>Hellblade</t>
  </si>
  <si>
    <t>Forged in the deepest fires, sheathed in eternal darkness.</t>
  </si>
  <si>
    <t>Eclipse Dragon</t>
  </si>
  <si>
    <t>Mikazuki no Yaiba Type Beat</t>
  </si>
  <si>
    <t>Scythe Abomination</t>
  </si>
  <si>
    <t>Rotten Stalker</t>
  </si>
  <si>
    <t>Demon Undead</t>
  </si>
  <si>
    <t>V, ?, ?, ?, ?, ?</t>
  </si>
  <si>
    <t>Wringing Wyvern</t>
  </si>
  <si>
    <t>Ritual of Void: Your Opponent bottoms a Card and you draw a Card.</t>
  </si>
  <si>
    <t>Clawing Centipede</t>
  </si>
  <si>
    <t>Ambush: Your Opponent conquers any Lane. Unearth: All friendly adjacent Insect or Void Units gain +2 Power.</t>
  </si>
  <si>
    <t>Voidsinger</t>
  </si>
  <si>
    <t>Deploy: Choose one: - Your opponent shuffles 2 Cards from their Hand into their Deck. - Draw two Cards.</t>
  </si>
  <si>
    <t>A serenade from the abyss, its melody fractures reality.</t>
  </si>
  <si>
    <t>Graverobbing Robot</t>
  </si>
  <si>
    <t>Ritual and Unearth: Draw the top Undead or Construct of your Deck.</t>
  </si>
  <si>
    <t>Bandage Beetle</t>
  </si>
  <si>
    <t>Crystallize: You may return a friendly Undead Unit or buried Unit to your Hand to deploy this in that Unit's spot.</t>
  </si>
  <si>
    <t>Death is an eternal business.</t>
  </si>
  <si>
    <t>Deadfield Tiller</t>
  </si>
  <si>
    <t>Deploy: Unearth up to 2 Units. For each enemy Unit, you draw and for each friendly Unit unearthed this way, your opponent draws a Card.</t>
  </si>
  <si>
    <t>V, V, V</t>
  </si>
  <si>
    <t>Frightweaver</t>
  </si>
  <si>
    <t>Ritual Animal or Human: Return a friendly buried Unit to your Hand, draw a Card, gain Fear.</t>
  </si>
  <si>
    <t>Neither man nor beast can dare to withstand the terror that is exudes this being.</t>
  </si>
  <si>
    <t>Mini Golem</t>
  </si>
  <si>
    <t>Carved from the smallest rocks, yet its resolve stands as tall as the mountains.</t>
  </si>
  <si>
    <t>Clocktower Drake</t>
  </si>
  <si>
    <t>Ticking gears and whirring cogs give life to this marvel; a testament to mortal genius soaring high in the sky.</t>
  </si>
  <si>
    <t>?, ?, ?, ?, ?, ?, ?</t>
  </si>
  <si>
    <t>Roaming Cherub</t>
  </si>
  <si>
    <t>Deploy: Unleash&lt;D&gt;&lt;D&gt;&lt;D&gt;: Gain +3 Power.</t>
  </si>
  <si>
    <t>Old Bessy</t>
  </si>
  <si>
    <t>Deploy: Unleash &lt;E&gt;&lt;D&gt;&lt;M&gt;&lt;N&gt;&lt;V&gt;: Double the Power of all adjacent friendly Units.</t>
  </si>
  <si>
    <t>Ancient eyes, a witness to empires' rise and fall.</t>
  </si>
  <si>
    <t>Realmshifter</t>
  </si>
  <si>
    <t>This Card always has all Realms.</t>
  </si>
  <si>
    <t>To shift between worlds is to master the dance of existence.</t>
  </si>
  <si>
    <t>?, ?</t>
  </si>
  <si>
    <t>Shapeshifter</t>
  </si>
  <si>
    <t>This Card always has all Types.</t>
  </si>
  <si>
    <t>One moment a whisper, the next a roar. Who will he be today?</t>
  </si>
  <si>
    <t>Big Dino Boy</t>
  </si>
  <si>
    <t>Whenever you crystallize a Card, gain +3 Power.</t>
  </si>
  <si>
    <t>Middle Dino Boy</t>
  </si>
  <si>
    <t>Deploy: If there are no adjacent Units, gain Fear and +3 Power.</t>
  </si>
  <si>
    <t>Voting Code</t>
  </si>
  <si>
    <t>Shren</t>
  </si>
  <si>
    <t>eyJUdWlueEwiOnsiMCI6IkNxMUdmIiwiMSI6Im1PYmdHIiwiYyI6IlVHL3IifSwiaThtZ2ptIjp7IjAiOiJBdjVaaiIsIjEiOiI3T2FYYyIsIjIiOiJFaEZ3TCIsImMiOiJWR0NzIn0sIkRvaWdOSyI6eyIwIjoiLzJwM2UiLCIxIjoicFYwaksiLCJjIjoiamZrcCJ9LCJjQndWdkciOnsiMCI6IkozUGZCIiwiMSI6IncvMGhqIiwiMiI6IlJNT2ppIiwiYyI6InBOdmMifSwiYks2NThoIjp7IjAiOiJRM1M1NyIsIjEiOiJ0S09xWCIsImMiOiJ2TWhUIn0sIkdZQUFYNiI6eyIwIjoiREJhUS8iLCIxIjoiQ1o3Q1EiLCIyIjoidTgwY3EiLCJjIjoiM21nVCJ9LCJseHFLaTYiOnsiMCI6IlBNRmtuIiwiMSI6IkMxQUpPIiwiMiI6ImdzV0xkIiwiYyI6ImxKSS8ifSwiQkh3TW1CIjp7IjAiOiJyQ0dtayIsIjEiOiJJK09zKyIsIjIiOiJHTkw3dSIsImMiOiI3YkdKIn0sIlR1VEpNRiI6eyIwIjoiTzd0cHciLCIxIjoiYkxKOUciLCIyIjoiV1Qxc2EiLCJjIjoiY3dKZCJ9LCI2WVNVT04iOnsiMCI6IlNVZTFKIiwiMSI6InJSQkRrIiwiMiI6IjYyWGpBIiwiYyI6Imloa1IifSwiT2lGVVdtIjp7IjAiOiIxTDgySCIsIjEiOiJVWVc1TyIsIjIiOiJuS2xkMiIsImMiOiIwVnFuIn0sIlVSdUxKciI6eyIwIjoiZlRhY3UiLCIxIjoidzlmalAiLCIyIjoiUmttYU8iLCJjIjoiQUJlZiJ9LCJaOGVTSGsiOnsiMCI6IlZUZ25vIiwiMSI6InV5N1hhIiwiMiI6Ind0ekl2IiwiYyI6IjZUMlEifSwibDQ4L2N3Ijp7IjAiOiJkRnB2YSIsIjEiOiJnbWtVeCIsIjIiOiJjYkUwSyIsImMiOiJjVnhBIn0sImEvSlZFaCI6eyIwIjoiWXJlSHEiLCIxIjoieWEwYlAiLCIyIjoiSHM0UG0iLCJjIjoiWUxJMCJ9LCJlakp3M3AiOnsiMCI6Iks0ZWM5IiwiMSI6IlpvSld4IiwiMiI6ImpJNVlPIiwiYyI6IlNYSzkifSwia3JwRXVjIjp7IjAiOiJ2UHdOdCIsIjEiOiJLYXM2MyIsIjIiOiJ3VnNVTSIsImMiOiJ4U25IIn0sImxFcE9FbiI6eyIwIjoiTUltT2YiLCIxIjoiSCtMM0giLCIyIjoiZ3Fra3giLCJjIjoiUjZMdCJ9LCJuQUF6NmgiOnsiMCI6IjhsdEdhIiwiMSI6IjZXMklVIiwiMiI6IkdYTGdsIiwiYyI6Ik5FczMifSwiYlhkMjMwIjp7IjAiOiJ6YnlsRSIsIjEiOiJ3VE5zViIsIjIiOiJ1TnJmbCIsImMiOiJQN0t2In0sImtWaU5rWiI6eyIwIjoiYys1UkUiLCIxIjoiUXpvTW0iLCIyIjoiODBWaUEiLCJjIjoiWElvdiJ9LCJOOG5jd3oiOnsiMCI6Inc0TkxiIiwiMSI6Im1FMUlzIiwiMiI6IjJXVnJmIiwiYyI6IjIyLzIifSwiVm9CQW5uIjp7IjAiOiJRRjRaNSIsIjEiOiJsTzgvdSIsIjIiOiI4Z3VBUSIsImMiOiJRQlpuIn0sImQ4emdyayI6eyIwIjoiWHluZm8iLCIxIjoiWjl1RGsiLCIyIjoiSzdpU1EiLCJjIjoiL0wvRSJ9LCJ4VkNYS2kiOnsiMCI6IlhKY1RQIiwiMSI6IlJKMFFyIiwiMiI6IitFYWRyIiwiYyI6IjJ6SS8ifSwiZTgvUW8xIjp7IjAiOiIvaEFoVCIsIjEiOiJTdHZKZiIsIjIiOiI1ZGZaZyIsImMiOiJERng1In0sIko1MklJWSI6eyIwIjoiV3p4VnciLCIxIjoiOWNaNGEiLCIyIjoiQ044Z0EiLCJjIjoiNko2cCJ9LCJWYU9ualUiOnsiMCI6Ik1GYUtrIiwiMSI6Im9MQzU0IiwiMiI6InRDYlF2IiwiYyI6IitqQm8ifSwiTjlSV2J2Ijp7IjAiOiJjMGxVMyIsIjEiOiJjZGtEayIsIjIiOiI2cC8wdyIsImMiOiJhYU5BIn0sIjF1YUIrRSI6eyIwIjoiTW53ZzgiLCIxIjoiZXZpcDQiLCIyIjoicjRPWjgiLCJjIjoiSi85byJ9LCJ2Y0w2Nk8iOnsiMCI6IlI1bEt1IiwiMSI6ImVQZjBKIiwiMiI6IlpJbEhTIiwiYyI6Ik94RFMifSwiR3FJNWFyIjp7IjAiOiJ1SE1vWiIsIjEiOiJRY1hEZSIsIjIiOiJDMzFqRSIsImMiOiJqZzNRIn0sIlUxeERIRiI6eyIwIjoicXdZWFMiLCIxIjoiR1J3bkUiLCIyIjoiMFMrN0oiLCJjIjoickY4cyJ9LCJwcFUwUC8iOnsiMCI6IkczQlZoIiwiMSI6InlhdXlCIiwiMiI6IjZiRExRIiwiYyI6InB2bFkifSwibW1tcGEyIjp7IjAiOiJhbjVnRSIsIjEiOiJ2QzB0ciIsIjIiOiJTeWxWMSIsImMiOiJydWJ0In0sIjVuNWxnVSI6eyIwIjoiTXNaWGsiLCIxIjoiM0Z3SnciLCIyIjoiZkpQMjAiLCJjIjoibk5PVSJ9LCJaZ2w1L1AiOnsiMCI6IjJNZWllIiwiMSI6IlFwbnNXIiwiMiI6IkRDNS9FIiwiYyI6Im16RnkifSwiWGZIbExqIjp7IjAiOiIweHpWMyIsIjEiOiJIOGVEZyIsIjIiOiJ1WlZTVSIsImMiOiIyZHJoIn0sIjdjOS92MiI6eyIwIjoiSm9XbEwiLCIxIjoiZU9Rb1giLCIyIjoicXdrcVIiLCJjIjoiQXZyWiJ9LCI0YnlUWVYiOnsiMCI6Ik1VWVV3IiwiMSI6InQwRUI3IiwiMiI6IjFTRFpBIiwiYyI6Ilk0Q2QifSwiaWtLTnF5Ijp7IjAiOiJGUDR4SCIsIjEiOiJmNXN6MiIsIjIiOiJObmxWWiIsImMiOiIwdkw4In0sIkhhQkdabSI6eyIwIjoiODdKc2EiLCIxIjoiTTh5SFoiLCIyIjoiWDBudVoiLCJjIjoiRWUvRyJ9LCJuamxWRm4iOnsiMCI6IlBVT0hqIiwiMSI6InBoTmk1IiwiMiI6ImJzd1ZOIiwiYyI6IjNPMk0ifSwiN3pKYTZiIjp7IjAiOiJnWWdmVyIsIjEiOiIzMU1OQyIsIjIiOiJNUW1jeCIsImMiOiJZMGhFIn0sIm5IcnlQRyI6eyIwIjoiUVVuZ0ciLCIxIjoidEpTVFYiLCIyIjoiOEYxOXkiLCJjIjoibk01NiJ9LCI3RDB2TDciOnsiMCI6Inp3ZVhpIiwiMSI6ImdVUmlYIiwiMiI6InJYS1ppIiwiYyI6IlJtSUIifSwiNEhiRzlHIjp7IjAiOiIzc1UveCIsIjEiOiJOVkllMCIsIjIiOiIxOU5FYSIsImMiOiJkZVN0In0sImVsZzI3SyI6eyIwIjoiaktvU08iLCIxIjoiR1QxbnciLCIyIjoiOTJjckIiLCJjIjoieklLSCJ9LCJkeUdGU24iOnsiMCI6Ilpxb1g3IiwiMSI6IkNuMFpzIiwiMiI6IjVreDFnIiwiYyI6ImZFenYifSwiZTk3aE5zIjp7IjAiOiJ4NExQVSIsIjEiOiIxTzNUZSIsIjIiOiJvamt3LyIsImMiOiJuTnhrIn0sIktiOHIwRiI6eyIwIjoiTW1XSjAiLCIxIjoiMm9CakQiLCIyIjoidXVMTTYiLCJjIjoiODdZYSJ9LCI4VFFnNzgiOnsiMCI6ImVUUUkxIiwiMSI6Iit0NEZxIiwiMiI6Im1EbUxnIiwiYyI6IkJtd2cifSwiQlB1M05DIjp7IjAiOiJNV2lOciIsIjEiOiJhK0QwTSIsIjIiOiJhQlRWdyIsImMiOiIrOEtmIn0sInRhVnhSVSI6eyIwIjoiYStLQXYiLCIxIjoiWEdFdXYiLCIyIjoiWFpDY04iLCJjIjoiNzRQRyJ9LCJQQ2Z3bEQiOnsiMCI6IlZWdW1NIiwiMSI6Inl2MVpLIiwiMiI6IjVhNGJGIiwiYyI6InVITVcifSwiQWExSWc0Ijp7IjAiOiJXWDEzayIsIjEiOiJ2djE2eCIsIjIiOiJaT2dlaiIsImMiOiJDbE80In0sImFBR1dmZSI6eyIwIjoieW1Wa1YiLCIxIjoiZGRVaWwiLCIyIjoiTmZYV1kiLCJjIjoiS0FOViJ9LCJCSDV3VVYiOnsiMCI6IkVTZE0vIiwiMSI6IlRRbk9hIiwiMiI6IlZlY2oyIiwiYyI6IkJXS08ifSwibWhzM0ZNIjp7IjAiOiJhMXI0NyIsIjEiOiJuQWgraCIsImMiOiJvT05tIn0sInJPL0s0MyI6eyIwIjoiaGFZMmIiLCIxIjoiaFpsWWEiLCIyIjoiaTJGMkYiLCJjIjoiR0VxbyJ9LCJIYXV0bmgiOnsiMCI6IjdwM0Z6IiwiMSI6InFvQlM3IiwiMiI6IkJDTVNOIiwiYyI6IjhJNGMifSwiSDZnZmJmIjp7IjAiOiJXSVMxdiIsIjEiOiJWdHVobCIsIjIiOiJ2YmFTUSIsImMiOiJHcCtIIn0sIlJDZ1Z0MCI6eyIwIjoiMWE1NVoiLCIxIjoibmFFdlIiLCIyIjoibkJ1S20iLCJjIjoiMjdmVyJ9LCJTYUUvWVIiOnsiMCI6Ik9zUEFiIiwiMSI6IjBxZmxCIiwiMiI6IlhZY0pEIiwiYyI6Im9QVnoifSwiTnJablNFIjp7IjAiOiJxV3QrdiIsIjEiOiJrYjJXZCIsIjIiOiJINXNJUiIsImMiOiJRYjBtIn0sIk5LVXBXbCI6eyIwIjoiQXdjZ2oiLCIxIjoid3BodnAiLCIyIjoidG93R1MiLCJjIjoiTDRJNSJ9LCJtbkoxcngiOnsiMCI6IndzNzlrIiwiMSI6IlZkZTl4IiwiMiI6IldyVDVGIiwiYyI6IlZqN0sifSwieWlodzZFIjp7IjAiOiIrcUo5MyIsIjEiOiIwTjlYciIsIjIiOiJMUzdXTyIsImMiOiJvVVZiIn0sInVSRkRVRiI6eyIwIjoiK1hTVi8iLCIxIjoiS0pzZFYiLCIyIjoiNUM4WmwiLCJjIjoiOS9jbSJ9LCJGWG9GRS8iOnt9LCJzRDg5TlIiOnsiMCI6InhGNGYvIiwiMSI6IkY2eS9nIiwiMiI6InlLb3k1IiwiYyI6IjFqQkkifSwibkNPMmhWIjp7fSwiWnNhRDlHIjp7IjAiOiJHUUhqaSIsIjEiOiJvODBmRyIsIjIiOiJIMGJoUCIsImMiOiJSdnpLIn0sImd1TU03TSI6eyIwIjoiNEhXL0QiLCIxIjoiSlRLd1QiLCIyIjoiU01hWlQiLCJjIjoiMlFqUyJ9LCJjR0dpMGsiOnsiMCI6IkpCbEFlIiwiMSI6Ikw3RUd1IiwiYyI6IkN4NmEifX0=</t>
  </si>
  <si>
    <t>Goersy</t>
  </si>
  <si>
    <t>eyJSdW5lY3Vyc2VkIFd5dmVybiI6eyIwIjoiMzA0YWZjZmQtNzg5NC00MDhmLTkwNzUtYjk2NjViMGRhOWJiXzEiLCIxIjoiZWZjOTZlZDAtZDg3Yi00ZDI5LWJiODYtZjI5Nzk1NzI4YmY4XzIiLCIyIjoiM2Y3MDA3NDUtOTNlOS00OTFlLWIzMDItMGYzYjgxMjljZDNhXzMiLCJjIjoiZmEzMDY4In0sIlRvcmlpIFNwaXJpdCI6eyIwIjoiMTFjZWEwYjUtMTVmNi00NmVhLTljOTgtODUxNDdjNWQwYzFkXzIiLCIxIjoiZWYzMWM4ZGUtZjYxZS00OTcyLTg2ZTktYWE5ZjE4MzFhZmQ1XzAiLCIyIjoiMGMyZmNjNTgtMWNkNS00ZTJjLTk5NTMtMDZhZTk5NTI3YWNjXzMiLCJjIjoiMzQ0YjM3In0sIlNwZWxsIENhdCI6eyIwIjoiZDhhNTZiZTUtMGZlNS00MzRiLWE3N2EtYjYxNDY4NzNlYTFhXzMiLCIxIjoiYzAxNGZhNzgtOWI1Ni00ZTkyLTkzODAtMDVmM2MxYmM2M2YyXzMiLCIyIjoiZWE2OWRiMjctMDA5NC00NmEyLTk1N2QtZGY5YzY1ODdjZDhmXzEiLCJjIjoiMjdmZjY4In0sIlZlcm1pbGxpb24gRmlyZWJpcmQiOnsiMCI6IjgyNjdkZTEzLTQ2NGItNDQ3NS04Yjg5LTYzNWNhYzBkNzBiZF8wIiwiMSI6ImExODc0NmNmLTk3NWUtNDgzYS05YzBjLTk0YzEzNGNmNmFmMl8xIiwiMiI6Ijg1NTU4NGI2LWZmODEtNDQ5Yy1iZmM4LTc3NmI4OWUyZTFiNl8yIiwiYyI6IjNiMTBkMiJ9LCJLb2lzIG9mIER1YWxpdHkiOnsiMCI6IjAxMWEzMTlmLTNlYzItNDNhNC1hZTA3LWUzMWU4OGJiY2ZjZl8yIiwiMSI6IjM0MzAyOTM0LTBjZTItNGQxMi05YjZiLWJjYmZiMmRkMjc0OF8wIiwiMiI6Ijk1N2ExZjYxLTFjMWItNGEzMy04MmFiLWMxN2JjYzc4ZDhmOV8xIiwiYyI6Ijk0OTIzZiJ9LCJJdm9yeXNjYXIgRWNsaXBzaW9uIjp7IjAiOiIxMjQ3NDEyOC0wODYzLTRkYTItYWZmOC05OTdiNzNmZTk4NzhfMyIsIjEiOiIyMTkzOTJkZC03MjE3LTRkMDgtODhhNC0wN2ZlNTQ1ZTRlNjBfMCIsIjIiOiI2ODY4NzU1MS1hMDZmLTQ1NTAtYmM4OC02YzQ5YTU4YWMwMjlfMiIsImMiOiJlZGIxODkifSwiRmFsbGVuIEFuZ2VsIjp7IjAiOiIwMjc2NGFjNS02YjY5LTQ2NDUtYjE4Ni02YWRhNWM1ZmFlZDhfMyIsIjEiOiJkMTk0OTlmYS05OTNlLTQ5MDktOTRlZS0yYjljODc2MWU3OTVfMSIsIjIiOiJiY2UxM2IxOS1hNWI3LTQ4OTUtOTkxYy1hMzQzZTcyOTViZWFfMiIsImMiOiI3MzAyNWQifSwiVHJhbnF1aWwgSGVyZCBTYWdlaG9ybiI6eyIwIjoiYWU3YzgwMmQtNWJiMy00ZTVjLTkzNWYtMDk4OWY4MzU5ODFiXzMiLCIxIjoiZDI1MjBkMzMtNjM4NC00OGUxLWEwYWMtMmI0MGJjYmE5YzY3XzIiLCIyIjoiZWI3NGUzNjMtY2UyMy00MzMzLWJmMWEtOWU0NWI1NDEwNTI4XzMiLCJjIjoiZGU2ODEzIn0sIkRpdmluZXIgb2YgRmF0ZXMiOnsiMCI6IjliMWNkM2JhLWYwZmItNDNkZi1hNWRmLWFhMDU1NWYxODRlMF8wIiwiMSI6IjdlNjUyNGQ1LWZjNDctNGE2NC1hYzg3LTVlYzVhNWRkYWQ0Y18xIiwiMiI6IjdlNjUyNGQ1LWZjNDctNGE2NC1hYzg3LTVlYzVhNWRkYWQ0Y18zIiwiYyI6IjU0NjBhYyJ9LCJEb21hIEFuZ2VsIjp7IjAiOiJlMTBiZjliMy0zZDRhLTQ1OGMtYjRlOS01OTVjNGNkZGQ5YmZfMCIsIjEiOiJiZjJiOTc5Ny1jYTQ3LTQxOGItOGI1MS1mNzNiMTY2ZDc5NGVfMCIsImMiOiI4ZGY5MjkifSwiVGh1bmRlcnN3YXJtIFNraXJtaXNoZXIiOnsiMCI6IjEzNTJhZTFjLWU5M2ItNGVlYi05YzJiLThkNDVlZmM0N2YzOF8wIiwiMSI6ImU1OGQwZWRlLTIxZDAtNGI5Yy04N2IzLTQ3NDViMzI5Zjk3ZF8wIiwiYyI6ImJjYzg1MyJ9LCJBbGFiYXN0ZXIgRXhhcmNoIjp7IjAiOiI3YzdiNGM1My0yZjJiLTQ5ZGYtYTZiZi0zN2YyOWI5ZTU3NDZfMyIsIjEiOiJkYjUyNTc4Yi1jZjYxLTRjYzYtYjczMC0yMWUzYmQxNzUyY2VfMyIsIjIiOiIxMjNfYSIsImMiOiI1MDZmZWIifSwiVGVjdG9uaWMgU2hpZnRlciI6eyIwIjoiZGE0ODc3MmEtYjRkNC00NGY4LThkNTUtNDI4YzRiNzc1MGRmXzEiLCIxIjoiYTViMjMzNzQtYzllMC00Y2MzLWFjOWUtN2NjNjkzYWIwN2I2XzEiLCIyIjoiZWUwOGRlYmYtNmRmYS00YzFhLWI2OGQtYWYyODE1ZTI3ZWNkXzAiLCJjIjoiMDJmYWQ5In0sIkFtYmVybG9jayBEcmFnb25saW5nIjp7IjAiOiI1ZTExMGQyZS1hN2U0LTQzNmItYmIxMS00ZmI4NmUxNTgwZTlfMyIsIjEiOiI1ZTExMGQyZS1hN2U0LTQzNmItYmIxMS00ZmI4NmUxNTgwZTlfMiIsIjIiOiIzMTg2OWMyZS03OWUwLTQ0YTItYmNiMi1lZjI0ODlmMjI2YWRfMyIsImMiOiJkYjZmZjYifSwiQ2F2ZXJuIExpbmR3dXJtIjp7IjAiOiIyNzgwMDM4ZC02MjU4LTRjN2EtYTVlMC03MDBjZGZlNDIzZjlfMCIsIjEiOiJhYjEzNzc4Mi03MGYxLTRiYTMtODQwYS00OWNmNGZkYTdiYmVfMyIsIjIiOiI0MmFiNjEyYy1kNGE0LTQ2NDAtYjBlYi1hMDA5ODM1NTA2OGFfMSIsImMiOiI4YTE5MTEifSwiRHJhZ29uIEVnZyI6eyIwIjoiYTRjMDA0NGYtYTk4Ni00YWE5LTg3YmYtMDAwYjY3OTY2YTRiXzAiLCIxIjoiMTM2OGI1OWYtNmEzYS00ZjM3LWI3MDQtZGMwMDIzYzVhMzliXzMiLCIyIjoiMTM2OGI1OWYtNmEzYS00ZjM3LWI3MDQtZGMwMDIzYzVhMzliXzAiLCJjIjoiNjBiMjM0In0sIkdsaW50ZXllIEhvYXJkZXIiOnsiMCI6IjhjNTg1YmM4LTUxODAtNDM5ZS04YWRiLWMzYTQ3YzAxNTBmZV8yIiwiMSI6ImEzODc0Mzg1LTAxOTQtNGMwZi1iYTE0LTA4YjRkNzYyOGE2N18xIiwiMiI6IjQ3ZTkzY2JiLTBlNzEtNDkxYS1hNDliLTU2ODUxNzJiOTZiMV8yIiwiYyI6IjBjNWM3OSJ9LCJTaGFyZGhvcmRlIExldmlhdGhhbiI6eyIwIjoiZjQzNjQyODEtYzM0MS00MzI1LTgyM2ItY2MxNTlmNjJlM2ZhXzMiLCIxIjoiYzA3Njg2ODAtYmQ0Yy00NTQ1LTg0NmYtMDAyYWZkNmE4NTRiXzAiLCIyIjoiM2ZmYzgxOTktNzY3Ni00NGEwLWIzNTctMGU2YTgyNmIyNTMxXzEiLCJjIjoiZDlkYWUxIn0sIkJsb29kIE1vb24gU2NhcmFiIjp7IjAiOiJhZTAwZDQ1Ni1hNDgxLTQwMzQtYThjMi1mZGI5N2ZmZmU3ZjZfMSIsIjEiOiI4YzdlNGVhOC1lMzVmLTQzMDktODZiNi1lNmE5ZjFlZmFlY2JfMSIsIjIiOiIyMjQ1ZDJmOS02ZmFhLTRkNGMtOWRkYi05NGUwMThjYTU0YWZfMiIsImMiOiI1YzhhMmYifSwiQ2hlZXJmdWwgUGl4aWVzIjp7IjAiOiJhNTMwYzU0ZC1lMjUzLTQ2MjctYWRmMi0wMDk5OWM5MmI4NzdfMSIsIjEiOiJhMGMyYmRhZC05OTc1LTQzMzktODY0Ni1kMTA5ZWRkMWVhMDhfMCIsIjIiOiJiOTZkNDdjMS1lMDNiLTRkYWQtYmM5Ny0xMjM5NDU4NjZlYmVfMyIsImMiOiJkMTVhYTcifSwiQ2luZGVyZ3VhcmQgSXJyZWd1bGFycyI6eyIwIjoiZmYwODVhMjgtMmJlMy00MDBmLWIwYWEtZGZiYWFkN2FkMjYwXzMiLCIxIjoiN2RhYWU5OGItOTZhZi00OTBhLWFiYjAtYzQwZDUzZDQ0OWM2XzEiLCIyIjoiOWFiZGNhZTAtNzM4OS00NTRiLWJkZTMtZmI1MzRhZWM5ZmE0XzEiLCJjIjoiYWM1ZjJjIn0sIkNpbmRlcmd1YXJkIFNjcmliZSI6eyIwIjoiOWJmZDA2MTctYzE2OS00NzcyLWJhZDgtMjE1ODM3NjRkY2YxXzEiLCIxIjoiNTIyYzMwYmEtY2Q0Yy00N2FjLThkZjUtYmM2YTBjNzI4ZWVmXzAiLCIyIjoiMzU4M2ZiMDQtZTEwZi00NDM2LWE1M2QtYWM2MDMzYzUxZTY4XzMiLCJjIjoiMDAxNzlmIn0sIkRhcmVkZXZpbCBEdW8iOnsiMCI6Ijk2MGIwMTQyLWRhZDMtNGE1ZS05NDk3LWM1MDMzN2JmYTUxN18wIiwiMSI6IjliOWYxOTMyLTdiODUtNGRjMi1iODliLWM1ZGIzMTM4ODFmZV8xIiwiMiI6IjQxYWRmYWM0LWZiMmUtNDYyMS1hOWZmLTNhOGU3YzgzZTU5MV8zIiwiYyI6ImU5M2Q5MCJ9LCJEZXdkcm9wIFNwcml0ZSI6eyIwIjoiN2EyZTI5ZmItYmQ5OC00ZDMwLTg4YjItOGJmZWU3MGM0YTQ3XzAiLCIxIjoiN2MwYzZmZTUtM2QxMS00NmU5LTlmYjItMjdhM2U0YWQ5OGQ1XzMiLCIyIjoiZjgyY2IwNjctYTI2ZS00M2U0LWE3YjctODcyYWQ4M2FiZjkyXzEiLCJjIjoiNzE1YzQwIn0sIkluZmVybm9ibGlnaHQiOnsiMCI6ImQxZDRlNDNhLTYyOTQtNGNjYS1iOWU5LWE4YTliN2MxNDc3M18yIiwiMSI6IjdiOTg2MzgyLTg0MmQtNDg5NC1iZmE1LThmM2ExM2MyODA0OF8yIiwiMiI6IjMzZjdjYzJjLWU5M2QtNGUyYy05YjY1LTAwMGY3ZmVjNWI0ZF8zIiwiYyI6ImFlZTZlZCJ9LCJBdmVuZ2luZyBGb3JjZSI6eyIwIjoiMjI5OTNjOTctNGMwZS00YjIwLWI2MWUtMDc2NTg1NGIxZDBjXzIiLCJjIjoiMTk0OGYyIn0sIkJhYnkgTGFtYXNzdSI6eyIwIjoiYjFlODhmZGEtN2QzYi00MzAyLWIwYjAtNGVlZTAwMTJlMTkzXzEiLCJjIjoiYzUxNzI3In0sIkJsYWNrbWFyYmxlIEdhcmdveWxlIjp7IjAiOiJhNDA4ZDkyYy02ZTZlLTRkMzAtOTNhZC1lNTI2YTVjOTU1NWZfMyIsImMiOiIwNDZlMWYifSwiQ2hyb25vc2FuZCBTcGhpbngiOnsiMCI6IjhjNmM1ODAzLTM0YmQtNDIzOC1iZjRiLTU0MzZmMjY5OTQ5ZF8zIiwiYyI6IjgyZWE0MSJ9LCJDcnlwdG9zcGhpbngiOnsiMCI6IjI1MGU3NDdiLWM3ZTgtNGE1Yi1hNDgzLTY1NDQ2Y2QzMDdhYV8yIiwiYyI6IjQ3NTkzYSJ9LCJDcnlwdHJvYWNoIjp7IjAiOiJiNmIwMjhiMS02OTIwLTRkZGUtOTY5NC03M2Q1ODljNzk2OWVfMSIsImMiOiI1YmIzYTEifSwiRGFtYWdlZCBBdXRvbWF0b24iOnsiMCI6IjM2NDRkOWY0LWExNTQtNDUzOC05NmVhLTQ4OWQ2ZGExMGNkYV8yIiwiYyI6IjMzYTczOSJ9LCJEb3ZlIG9mIFNlcmVuaXR5Ijp7IjAiOiJiZDEzODU1Ni1mMzkxLTQ0ZWMtYWI2OC01YWE0YjVhOWY2MDZfMSIsImMiOiJjOWFkNWQifSwiRHJlYW0gVHJhdmVsZXIiOnsiMCI6IjFhZTU4ODkyLWMwYzctNGNkMi1iNGYyLTYxZTQzNmE3NmFjYl8wIiwiYyI6IjVjODAwYyJ9LCJFbWJhbG1lZCBBcG9waGlzIjp7IjAiOiIxMzQ5OWVjMi05YTVhLTQ1OTUtOWNjZC1mYmNmZTBmZmZlYWZfMCIsImMiOiJlYjdhNDAifSwiRmVsaW5lIFVzaGFidGkiOnsiMCI6IjdiNzM1MTRjLTYxMmMtNGY3YS1iN2IwLThkMDNmZjY4NzY0Nl8xIiwiYyI6IjQyZWZjNyJ9LCJHdWFyZGlhbiBvZiB0aGUgR2F0ZXMiOnsiMCI6IjEzNTMzZWVhLTRjNTYtNDc4Ny1hOGQxLTViNWRlNGQyZmU0MF8wIiwiYyI6IjRjZjRlMSJ9LCJIYWxsb3dlZCBFeG9yY2lzdCI6eyIwIjoiZmI5YWQyODItZjc2OC00NzI2LWI3OWItZjQwYzExZDAyNzdiXzMiLCJjIjoiZjgzYmIyIn0sIkhhcm1vbmljIEVjaG8iOnsiMCI6IjJmYjg4ZjZiLTdiMzctNDBmMy05ZGRmLWU0NmRhNjRiOTAyNF8yIiwiYyI6ImYzZjk4NyJ9LCJJYmlzIFVzaGFidGkiOnsiMCI6IjEwNTY5ZGYzLWFmNjEtNDc0ZS05OTk3LTA4YjEyMTFlYWM0Yl8zIiwiYyI6IjJjMDUwNyJ9LCJNYXplIE1hc3RlciBTcGhpbngiOnsiMCI6IjljY2NlYWZmLTk3YTYtNDYyNS05YmVhLTY1NjdiODVjMDRlZl8wIiwiYyI6IjNmMjA2NiJ9LCJNeXN0aWMgUHV6emxlIEJveCI6eyIwIjoiMGNmMGJlNDctYzU3Zi00ZmViLTg0ZTYtMTc5MDIxOWJhNTRiXzAiLCJjIjoiMzFmODJiIn0sIk9hc2lzIFNwcml0ZSI6eyIwIjoiMTZmYjc2NzgtNThhYS00M2Y0LTk3NmMtNjQxMWQzNzMzNDFjXzEiLCJjIjoiODllNDlmIn0sIlNjcmlwdHVyZSBNb25rZXkiOnsiMCI6IjMzMjE5MDNhLWEzMDMtNDRlZS04YjVkLTM0ODdiZDY5M2ZhOV8zIiwiYyI6ImY0M2YwYiJ9LCJTZWtoZW0gQ2hhcmlvdCI6eyIwIjoiYTZiOTc5NmItZWRmMy00YWYzLTllZDUtYzgxODI1MDg5NDdlXzEiLCJjIjoiMzVhYTdhIn0sIlRodW5kZXJzd2FybSBQZWdhc3VzIjp7IjAiOiIyODkyY2FjNC1lY2ZjLTRiNGYtYTRlOS0xZWI2MWE0OTcxYThfMyIsImMiOiI5M2NmZGIifSwiVHJhbnF1aWwgSGVyZCBHZW0gVGl0YW4iOnsiMCI6ImVkNzU0N2Y2LTU5ZjYtNDY3NC04ZTUxLTQ0OGY3MGUxYTA2Ml8xIiwiYyI6IjcyOTEyNSJ9LCJXcmF0aCBvZiB0aGUgUGhhcmFvaCI6eyIwIjoiNTU3ZWE0NGMtZGMzMC00NTE5LTkzYzAtOTZjYWYyZjk3ODE1XzMiLCJjIjoiYjU4MjY4In0sIkNyaW1zb24gRmxhbWVjaGljayI6eyIwIjoiMDg2NzYzNWItYjk5My00ZTg5LWFkYzktODQwZmFjNWU5OGFlXzIiLCJjIjoiMTE5ZDRlIn0sIlRoZSBTZWNvbmQgV2luZyI6eyIwIjoiZjkyZDIyNjctMmNiNi00NTlmLWI4ZjQtMDdjMjgwNDI2YTMyXzIiLCJjIjoiYmYzMWI3In0sIlRodW5kZXJzd2FybSBDZWxlc3RpYWwiOnsiMCI6IjQ5NjkwM2VjLTllMjktNGU5Ni1iYWVkLWZiYzFjNzJlNjdhMl8zIiwiYyI6ImI1NDNkOCJ9LCJHbG93aW5nIEdlYXJodWxrIjp7IjAiOiI0ZWZkMmUxYi1hMTEzLTQ5YTAtOGIwOS1hNzE3NjhiYzdmMGFfMSIsImMiOiI4MDBhNGUifSwiTW9vbiBQcmllc3Rlc3MiOnsiMCI6ImZlMzA0Y2JhLWZlNjgtNGJlYS1hMDg5LTY5NGQyZTcxYTM5NF8yIiwiYyI6ImVmM2JmMSJ9LCJNb29uc3BlYXIgUGFsYWRpbiI6eyIwIjoiNGI5NjMyMTAtMTdlYy00Y2M5LTlhODMtZjM4YTc2OTJhZjBlXzMiLCJjIjoiZjA4OTc1In0sIkdvYXQgT3JhY2xlIjp7IjAiOiI5NmRkODYxYi02Y2Y0LTQwM2MtYjcwMS0zNTMzOWI4YmY3MmNfMCIsImMiOiI5NzhhNGUifSwiU3VuYmxlc3NlZCBDcm9jb2RpbGUiOnsiMCI6Ijg1NTY2ODk3LTVlZjgtNDJkZi04YzcyLTM2NjI4YTlkZDlmY18xIiwiYyI6ImZmNjU1YSJ9LCJEcmFnb25maXJlIFdhcmxvY2siOnsiMCI6IjZlODIxN2YzLThhYzItNDViMC04ZGM0LWVmNTM1MmI0NzllYV8yIiwiMSI6ImJhNTMzMjE4LTg1MWMtNGJmNC1hOGQ2LTFkNDBkZDU5ZDk4M18wIiwiMiI6IjU0ZWVkZmFmLTQ1M2UtNGE0OS1iZDViLWQ0MDEyNzYxYTI5M18xIiwiYyI6IjQwMTY2NyJ9LCJEcmFnb253aW5kIEhhcmJpbmdlciI6eyIwIjoiODQxMTc0ZGItNWM2OC00MWU4LTgxOWEtMDlmYTAyOGM1OTQzXzAiLCIxIjoiNTM3NjAyNTUtYzZmZS00YzRjLWFjNzYtOTVhYTAxNzk5M2Y5XzEiLCIyIjoiNzkyZDU5ZWYtODJjZi00NzczLTllYjQtNjUxMDVjOTIwOGVjXzIiLCJjIjoiZmNiZmM0In0sIkR1c3RkYW5jZSBFZnJlZXQiOnsiMCI6IjExMTNhMTRhLWU5OGItNDM2OC1iNTI2LTI5MzlhMDhkZTUzN18yIiwiMSI6ImNjZmUxMWNhLWQ2OGQtNDJkZC1iMWNkLWQ1YWE2ZDNjOWI4Yl8wIiwiMiI6ImNjZmUxMWNhLWQ2OGQtNDJkZC1iMWNkLWQ1YWE2ZDNjOWI4Yl8yIiwiYyI6IjQ5NzJiZCJ9LCJHYWxld2VhdmVyIjp7IjAiOiI2NThhNGRkMC1iZjZkLTQ3ZTctODZkOC01MmVlNTJhOGYyMTRfMiIsIjEiOiI3ZjgxZWI5ZS1mMDYyLTQ2ZGUtOTEwNS1mOTM3MzBhNGU3ZmJfMCIsIjIiOiJkZWQ1YjNjOC1hOTg5LTQwZTQtOGJlMy01YWM2N2NmNDE3MzZfMCIsImMiOiJhNmY5NTgifSwiR2FzaG9wcGVyIjp7IjAiOiI3MTJiYzFiMS1hMzExLTRjOWUtOGZkMy05MDg0ZmFmNjJkYjVfMiIsIjEiOiIwYWMxNTVjNC1kY2NkLTQ5ZWEtYTZiYS1iNzBkZDhkOGU5YTNfMiIsIjIiOiJhYTM4MjhjYy1kYTViLTQ0ZmQtYTk5MS03ZGZhOGQzNThlY2FfMSIsImMiOiJkYjMyM2YifSwiQ2luZGVyZ3VhcmQgRW1iZXJibGFkZSI6eyIwIjoiY2UzY2Q1YmUtMTQ2ZC00NzQ3LWE3MjUtOTZkMDJmY2U2OTg4XzMiLCIxIjoiZjk1ODc3YWQtZjFmOS00MTZlLWFjMDUtNmU3YjRhZDUzNGVlXzIiLCJjIjoiOTE2MzE1In0sIldpbmRraXRlIEFjb2x5dGUiOnsiMCI6ImM1MDJjNzUxLWNlZDMtNGNiMy1hYTc3LWNlN2NmM2M1NjBkNF8wIiwiMSI6ImVjMWZiNWNmLWIyMjYtNDgyYS05ZmQyLTAwNWQ2ZjkyNzg0Nl8xIiwiMiI6IjM0NTllN2NkLTUwZjItNDEzMC1iZTRjLTQyNTQ2MjgwYzBlN18zIiwiYyI6IjNmYjJhZiJ9LCJWb2xjYW5vIEVtYm9kaW1lbnQiOnsiMCI6IjcxMGQwY2Y4LWNlMzgtNGFhNC1iM2YyLTg3NmYzNTBjOTVlNV8xIiwiMSI6IjY3MGNkMjA0LTU3MDQtNGYxMi05MTI1LTVlYjM1NDE3N2Y1Zl8yIiwiMiI6IjIyYmIzZThkLTVjNTItNGM0NC04NTg3LTAyYzk5OTc3ZjE0M18wIiwiYyI6IjliMzE3MiJ9LCJTaGlmdGluZyBTYW5kcyI6eyIwIjoiZjRiODdjM2EtM2UzYy00OGZhLWI5NGEtYzA1MTQ2MTNhMmNkXzMiLCIxIjoiZjQzZmIwZjktMjE5ZC00NmVhLTg0ZTctY2ViZDAyY2E2N2ZkXzMiLCIyIjoiZmVmMTUyZmUtYTU0Zi00OTkzLThjMGItYmRjNmIyNTVmZjUwXzEiLCJjIjoiNDdhMmVkIn0sIlJvdWdobGFuZHMgU2NvdXJnZSI6eyIwIjoiOWQzOTk2ZGQtNGNkOS00YzYxLTlmMGItNzNiMzg4MjJhYjU2XzEiLCIxIjoiZjU1MjgxOWYtYmFlMC00ZmRjLWFlYzktM2M5NDhmYWRjYTk2XzAiLCIyIjoiNmNhZDZhZGMtMjY5Ny00MTQ1LWJkZjAtZWZhMGJmNzg4NDM2XzIiLCJjIjoiYzUyOWM3In0sIlJhaWppbiI6eyIwIjoiMTZlZTBkYzQtMDhlNi00OWUwLWJlNmMtNTA0MWM3YjVkNGY5XzEiLCIxIjoiZGU1NmY4MzktNjQ5MS00NmNmLTg4MGQtNmQ5MjhhMjUxN2RhXzAiLCIyIjoiZGFiZTJjODgtNzYwOS00ZDIzLTliZTQtYjZkMDNmNTA0M2VjXzIiLCJjIjoiOWNkMzk0In0sIk9ic2lkaWFuIFNjYXJhYiI6eyIwIjoiMzU1ZDM1NTMtMzEzZi00NjM4LWJmNjktMDJiMzRmNjUzZmFlXzIiLCIxIjoiNTc0MmMzNGMtNDc4MC00MmE5LTg4ZjYtNTZhMWI5Y2U1M2Y0XzAiLCIyIjoiMDVlZGEyOTAtNmExMi00MjgzLTg1OTgtMDIwM2NlMTNkYzE4XzAiLCJjIjoiYTRkYmRjIn0sIlNrdWxsb2F0aCBMb290Y2xhaW1lciI6eyIwIjoiYWMzNzliOGYtMDk3Ni00OWU4LTk5ODQtYWZkNGZhODVkNzJkXzAiLCIxIjoiYmFjZTAyMTktMThhYi00ZmFkLWIxY2YtNmRkN2Y2MzZiYTA5XzMiLCIyIjoiOTJlNGZkOWEtZWM2MS00NTZlLWFlMWEtY2NmODk1NDQyMzhkXzEiLCJjIjoiNjlhMzQwIn0sIk9hc2lzZHdlbGxlciI6eyIwIjoiMGMzYjExNzgtZGUxNi00NmJjLWExNjQtZjE3MzlmNDFjZDE2XzAiLCIxIjoiNjFjODE3ODktMDc5ZC00Mjg0LWJjMTEtOGYxOGJmODU4ZTdhXzAiLCIyIjoiNjQzNjU4MDEtYTQ2Ny00OGI1LTgwZmUtYjJlMTRiNDZjNjIyXzMiLCJjIjoiOGUwZGQwIn0sIkRyYWdvbiBSaWRlciI6eyIwIjoiOTVkNGJkMjQtYzNmOS00MTdmLWJlMDAtZTJiMDIzNDFhMTcyXzAiLCIxIjoiNjRhMjQxM2MtOTI2MS00MTI0LWJhN2QtZTY0YzIzMTlhYWUwXzAiLCIyIjoiNjQ4MTFjN2EtOTMwNi00NTE4LThkNDMtYjk0Y2E2MDIxMjViXzIiLCJjIjoiNjM4MDlkIn0sIlN0YXJmYWxsIFNoYW1hbiI6eyIwIjoiNDg3MDM0MzMtZDA2OS00NjY5LWEyMzMtNGZiNzM2Yjg4YWZhXzIiLCIxIjoiMzUwMDkzMmMtMGUwYy00OTZlLTgzOTMtN2Y1NDYwMzczMWM5XzMiLCIyIjoiODg4NDAwYjYtZmMyNC00MzgyLTliNGYtY2I1MzZkMWM2MjU5XzIiLCJjIjoiZDJmMmZjIn0sIkNpbmRlcmd1YXJkIEZsYW1lYmVhcmVyIjp7IjAiOiJlMTMwOGViNS1hMGZhLTQyMGMtOTgzZS00ZjAzYzJlOGUxYjFfMyIsIjEiOiIwYzhlY2M5Yy0wZWJhLTRlMWYtODhlZi1lYjhhNmI1YmI5MDJfMCIsIjIiOiJhZDY5NTYzZS04Yzc0LTQxYjAtOGUxMy04YjM5YWZhM2IzY2ZfMyIsImMiOiIxMWVmYzYifSwiVGlkZWNyYXNoZXIiOnsiMCI6Ijg5YmU1ZTJhLTY3MDItNDBlNy1iYjJjLTg3ZGNlNzQ4ZjA1MV8wIiwiMSI6ImNiNWFlOWNjLWJiMGMtNGIyMy05M2YyLTlhYmEzZWVhZDYxMV8wIiwiMiI6IjM2ZjQ1YWJhLTdkZDMtNDIzNC1hMjkxLTRhNmJkNjMxN2YxMF8wIiwiYyI6ImRjZWQ4YyJ9LCJFb25zLW9sZCBEcmFnb24iOnsiMCI6ImFhZDgyMjllLTFkNDItNDhkZC04MTc5LTM2ZmY0ODliNzhlM18yIiwiMSI6IjIzNzA2OWJmLTQyODEtNGFiNy04NzVlLTMzMWE0MTIxY2M1Y18yIiwiMiI6IjExNDdmNGQxLTBlYmMtNGFmNi1hNzI2LWQwMmM2OGQ2MGI3M18yIiwiYyI6IjYzNDg0NCJ9LCJTaGFyZGhvcmRlIENyeXN0YWxmYW5nIjp7IjAiOiI0NGI4YTE3MS0wOTNlLTQ4YTktYjdkZC0wZWI2OGNmMzExNjBfMCIsIjEiOiIxNmI0MjJmNC05ZmQyLTRiYjEtOTY3NC01ODVlMDQwOWEzODNfMyIsIjIiOiJjNjI2MjkzOC1hMGJiLTRjMTQtYTU5Zi0yY2Q3NDFhZWJiNWRfMiIsImMiOiI5Y2NlN2EifSwiUHlyb2NsYXN0aWMgWm9tYmllIjp7IjAiOiIyMWQ5MzIyNy1kYTJlLTRhNTgtOGFmOC04ZDg0ZjIwMmQ0NjVfMSIsIjEiOiI1OTU5N2I4MC04YjNmLTRkNGItODA2Yy1kY2Y1MzY1YmRhMGZfMiIsIjIiOiI1N2Y4OGQ2MC0zMWEyLTRkYmMtYTJhYy03ZGQ1ZjEyZmFhZDJfMSIsImMiOiI0NjYyMDEifSwiV2FzdGVsYW5kIE92ZXJsb3JkIjp7IjAiOiI2NzIxNjhkYi1kNGM3LTQ2NGEtOWEwOC0zZjBiNzMwMGYxMTdfMCIsIjEiOiI3MjE5MTBiZC0xNmFjLTRhNzItYWE2OC1hNzI0MjFkOTBjODZfMSIsIjIiOiJlNGFiODFlOS0zZmQ3LTQzMTktOWM5NC02NzU3N2I0NzQyZmNfMSIsImMiOiI3NWU0YWQifSwiU2t1bGxvYXRoIE1hcmF1ZGVyIjp7IjAiOiI2NTFjNWUxMC1kYWE4LTQ3MzQtOGQ5ZS00NWU2ZTcxYWZlNWVfMyIsIjEiOiJiMzA1YWE3Ny0xZjEwLTQwMmUtYjE3Ni05OWU5MDlhYmZiOWRfMyIsIjIiOiIxNjExZTQzNy03NTViLTQxMGYtYjIwNS1jY2VmNzIxZmY3YWVfMSIsImMiOiJjYzgyODcifSwiQW1icm9zaWEgQmVlIjp7IjAiOiI2NGRiZjdkMy01MWQ5LTQ5ZDctODI2ZS05MDhlM2Y3ZjE3NjBfMCIsIjEiOiIzZjI0MDU1ZS1lMGEyLTQ3YzEtODQ3MC02NGMzM2QwZjY4NjZfMiIsIjIiOiI3ZWJiOTkyOS1lMmFkLTQ0MmYtYjlhOC1lYTZmODJlN2UwMDZfMyIsImMiOiI5Y2RjNjQifSwiRmlsdGh5IFBlYXNhbnQiOnsiMCI6IjQ5NTc0ZmJkLWZkNWEtNDJiNC1iYTY3LWYxOTU2ZjNhNWEwZF8xIiwiMSI6IjI4NGE2ZjRjLWM0NmYtNGEwMS05MzQxLTU4NWQ5NDdmNDRiZF8xIiwiMiI6IjFjN2JkYWNhLTRjZjgtNDkxNS1hZThlLWFhY2ZjN2MyMDlkMl8zIiwiYyI6ImYzYjYxYSJ9LCJJcm9uc3RyaWRlIENvdXJzZXIiOnsiMCI6ImZkZjFiOGY5LWNjYzAtNGFhYS04MTkxLTRmYWIyMzM1MTJkNF8wIiwiMSI6ImE3MGExMzQxLWE1NWItNDFlMC1hZjBlLWM5NzVmNDdiZjliNF8wIiwiMiI6IjhkMTY1N2JmLThkN2YtNDgzNi1iNDc0LTVjMWNmZjE5MTZjMF8yIiwiYyI6IjA2NmMyMCJ9LCJQb2NrZXQgRHJhZ29uIjp7IjAiOiIxNGM0YWY2OS04ZTcxLTQxNzQtYWI4MS03YjJkYWEyYzE2NWZfMyIsIjEiOiJjMDU3NjBmMS1mM2NkLTQxZWMtODUxMS1kNzI2OGYyZWNlNjRfMyIsIjIiOiJjMDU3NjBmMS1mM2NkLTQxZWMtODUxMS1kNzI2OGYyZWNlNjRfMCIsImMiOiJmYmMyOWYifSwiUHJpbWUgR29sZW0iOnsiMCI6ImNkNjhlY2E1LWIyYTAtNGMxYy04NzU0LWJlMTBlZjU1OTRjNF8yIiwiMSI6ImZmYjFlMTA0LTM3NWItNGY2My04MTI4LTUyMWUyMGYzMjEwOF8zIiwiMiI6ImNkNjhlY2E1LWIyYTAtNGMxYy04NzU0LWJlMTBlZjU1OTRjNF8wIiwiYyI6ImVmODNjNiJ9LCJTaWVnZWJyZWFrZXIiOnsiMCI6ImYxZTk1YTc3LTJjYTEtNDczYS1hOTUxLTZkMjRhYzM4MTc4MF8xIiwiMSI6ImYxZTk1YTc3LTJjYTEtNDczYS1hOTUxLTZkMjRhYzM4MTc4MF8wIiwiMiI6IjcxYWQwMzAwLTRiYTEtNDI4Yi04ODIyLWI5ZWI0NTMzZWQ1Yl8yIiwiYyI6ImI4NzMxNiJ9LCJTbm93IENyYW5lIjp7IjAiOiIyZDBlMjg5MC0zM2ZlLTQ4ZDQtYjIzZS03ZTU3YjFiNTU0NjFfMiIsIjIiOiJjNDYxM2Y4Ni1hNTdkLTQ3ZDctYTI2Mi05NjcxOTgzN2NlOWNfMSIsImMiOiIwYTUzYjgifSwiU3Rvcm1mb3JnZWQgUmVjcnVpdCI6eyIwIjoiMWM0YjNhYTAtMjRjZS00YjBkLTkzMmQtYTRlZjIzNTdmZmQzXzMiLCIxIjoiNDQ3MmZhNmUtYzZmYi00MTU3LWI4NTQtYzhlMWQyYjQyOTk1XzMiLCIyIjoiY2FkODk4ODctMjEwNy00YTRhLWE4MzgtMWY5ZTkxZTk5YzA4XzAiLCJjIjoiMjgwMzU1In0sIlN1cHBseSBDYW1lbCI6eyIwIjoiODMwMGE1NjUtODE3OS00YjljLTk0NDUtMThjZDExZTMwZmViXzIiLCIxIjoiYzlkNGJkMDEtMTdkOC00ZDJmLTk3MzktYjlkNTZhYjBkNzc0XzAiLCIyIjoiMTg5NmFmN2UtMDhiOC00NzQ0LThiN2EtZmZiOThjZjlkM2RlXzEiLCJjIjoiMDU2MjhlIn0sIlRydXN0eSBDb21wYW5pb24iOnsiMCI6Ijc5NTNlODE4LTgxMjgtNGEzMC1iNjk2LTUyMWRjM2FmNjZlMF8yIiwiMSI6IjhlZWMyZmI5LTZjYzUtNDUyNi1iMWIyLTYzZjgwYWM2NWY5NV8xIiwiYyI6ImEwZTM2NiJ9LCJCbG9vZGZsZWV0IFJhaWRlciI6eyIwIjoiYWEyMjdlMDQtNjVkZC00OGMyLWFiZmQtNmU2ZmE2MDA4ZGEyXzAiLCIxIjoiYjRjM2Y0YjAtMDVkYy00OTE3LWE4ODItM2U1MjJmYjFkNzQ0XzEiLCIyIjoiYWY2YmJhY2UtYzFhNS00YTg5LTg1OWQtZTI2MGYzNjJhNWE0XzIiLCJjIjoiMTg0YWE4In0sIkNhcmluZyBNb3RoZXIiOnsiMCI6ImE3NzBiMjQxLWZjYjMtNDg3Mi04MzBiLWQ3YzBmZmQ1YWU3M18zIiwiMSI6IjE3MDJhMjlmLWZlMWYtNDBmMC1hZWIzLTI4OTJhM2YxYzBiY18yIiwiMiI6IjA1OGNhNmEzLWNiYTYtNDI1NS1hMDk4LWUxNWQ4NmVjYzFkM18zIiwiYyI6ImYwOGUxYyJ9LCJEb2pvIERyaWxsIEluc3RydWN0b3IiOnsiMCI6ImNlODg5YjNiLTkxZjktNGZmMi1hZGQyLWU2MDI4NWM1N2IxN18xIiwiMSI6IjdkZTgzNjRjLTBmNWEtNGQ3Yi1iODQxLTFmNDUzYzE0ODEyOV8wIiwiMiI6ImIyZGJiNmNkLWUzODYtNGEwNi1iZjI3LTU1NWFkY2I5ZDc2M18yIiwiYyI6IjFhOWY4NyJ9LCJJcm9uY2xhZCBKYWlsd2Fsa2VyIjp7IjAiOiI4Y2MyMzdmYy1hNTcxLTQ5MDMtYjU1My05NGY5ZWZlZGRiMTRfMSIsIjEiOiJlNjg4NGQ4OS1hOGVjLTQzZWMtODVhOC1kY2MzMGNhNjk2NjlfMyIsIjIiOiI4Y2MyMzdmYy1hNTcxLTQ5MDMtYjU1My05NGY5ZWZlZGRiMTRfMiIsImMiOiJkYmI3ZDYifSwiUmFtcGFydCBTaGVsbGJhY2siOnsiMCI6ImIxZDYxMDUzLWJkOTktNDYwOS05YzhjLWJhN2QxYWY4ODczYV8yIiwiMSI6IjVjNmMzODFjLTYzOTItNGYyMS1hOWUxLWM1MTI2YTRkMjgzZF8yIiwiMiI6Ijk3ODJlNTU2LWJhZDYtNGFkMi05ODMzLThkODMxMTMxYTVlYl8xIiwiYyI6ImEwZjU3MyJ9LCJTY2FsZWhpZGUgVHJhcHBlciI6eyIwIjoiY2QwOTU1YTctOGE4NS00M2Q3LTk3YjgtYzYzOWJkMjE1MDJjXzMiLCIxIjoiOGVkZDQ4NGYtMWNiMS00ZjFmLTkzM2UtYjY1MDY0NDJjODQ4XzEiLCIyIjoiMDhlOThkNTctYzgyZC00MWJmLTk3NGUtMjU5NDcyM2U4Mzg3XzMiLCJjIjoiNDFiZDI2In0sIlRyYXBtYXN0ZXIiOnsiMCI6ImQwNGVmMWU5LTAxM2YtNGM1OC04ZDFkLTdkNjQxMGY1NTY0NF8zIiwiMSI6ImIxYTA1ZTFiLWQzZTctNGMzYi04YTIxLWUyMDhjZmNhYjQ3Ml8wIiwiMiI6IjMyYzY5Nzk2LWExZmMtNGQ0MC04NmUxLThiMjE1YTA1YmIyM18wIiwiYyI6IjJmODIzOSJ9LCJBdWd1ciBvZiB0aGUgTW9vbnNwZWFyIjp7IjAiOiI2NDQ5ZDI2My01NzJjLTQ4ZmQtYWJlYS00OWIzMzZlZDUzM2VfMCIsIjEiOiJjYTQ1Yjk3ZC1hYzI4LTQ1OWQtOGZiOS01ZWZmZjJhNjM1ZTRfMCIsIjIiOiJhZWUyMmNmMC1lMWM5LTQ1YTUtYTg0Ni1kYmE3ODZkMTZhOGNfMiIsImMiOiI1NjNlY2EifSwiQ2luZGVyZ3VhcmQgU2Fib3RldXIiOnsiMCI6Ijc0YWUwMTM0LTdjNWYtNGI1Zi1iMjVmLTZkNjQxMjQyM2RjMF8xIiwiMSI6ImI0NDZlZmQxLWQwZjAtNDZlNi1iYjA1LTA3ODlmMDhkOTMxZF8zIiwiMiI6ImEzZjliMGE1LWNmOTUtNDZkNi1iMmFkLWI4NzVlMjNhOWI3Yl8yIiwiYyI6ImQ5MDhkMiJ9fQ==</t>
  </si>
  <si>
    <t>Bene</t>
  </si>
  <si>
    <t>eyJBbGFiYXN0ZXIgRXhhcmNoIjp7IjAiOiJkYjUyNTc4Yi1jZjYxLTRjYzYtYjczMC0yMWUzYmQxNzUyY2VfMyIsIjEiOiI3YzdiNGM1My0yZjJiLTQ5ZGYtYTZiZi0zN2YyOWI5ZTU3NDZfMyIsImMiOjJ9LCJUaHVuZGVyc3dhcm0gU2tpcm1pc2hlciI6eyIwIjoiMTM1MmFlMWMtZTkzYi00ZWViLTljMmItOGQ0NWVmYzQ3ZjM4XzAiLCIxIjoiZTU4ZDBlZGUtMjFkMC00YjljLTg3YjMtNDc0NWIzMjlmOTdkXzAiLCJjIjoyfSwiRG9tYSBBbmdlbCI6eyIwIjoiYmYyYjk3OTctY2E0Ny00MThiLThiNTEtZjczYjE2NmQ3OTRlXzAiLCIxIjoiZTEwYmY5YjMtM2Q0YS00NThjLWI0ZTktNTk1YzRjZGRkOWJmXzAiLCJjIjoyfSwiRGl2aW5lciBvZiBGYXRlcyI6eyIwIjoiN2U2NTI0ZDUtZmM0Ny00YTY0LWFjODctNWVjNWE1ZGRhZDRjXzMiLCIxIjoiOWIxY2QzYmEtZjBmYi00M2RmLWE1ZGYtYWEwNTU1ZjE4NGUwXzAiLCIyIjoiN2U2NTI0ZDUtZmM0Ny00YTY0LWFjODctNWVjNWE1ZGRhZDRjXzEiLCJjIjozfSwiVHJhbnF1aWwgSGVyZCBTYWdlaG9ybiI6eyIwIjoiZDI1MjBkMzMtNjM4NC00OGUxLWEwYWMtMmI0MGJjYmE5YzY3XzIiLCIxIjoiYWU3YzgwMmQtNWJiMy00ZTVjLTkzNWYtMDk4OWY4MzU5ODFiXzMiLCIyIjoiZWI3NGUzNjMtY2UyMy00MzMzLWJmMWEtOWU0NWI1NDEwNTI4XzMiLCJjIjozfSwiRmFsbGVuIEFuZ2VsIjp7IjAiOiJkMTk0OTlmYS05OTNlLTQ5MDktOTRlZS0yYjljODc2MWU3OTVfMSIsIjEiOiJiY2UxM2IxOS1hNWI3LTQ4OTUtOTkxYy1hMzQzZTcyOTViZWFfMiIsIjIiOiI2NTg1NmE2Mi0wY2M1LTQ3ODktYWVhYS00NDk5YjcxNGQzZTVfMCIsImMiOjEwfSwiSXZvcnlzY2FyIEVjbGlwc2lvbiI6eyIwIjoiYzI1MjY1NzgtOWViNy00YmZjLWI2Y2QtMGY5ODEzMzM1NDNjXzEiLCIxIjoiNjg2ODc1NTEtYTA2Zi00NTUwLWJjODgtNmM0OWE1OGFjMDI5XzIiLCIyIjoiMTI0NzQxMjgtMDg2My00ZGEyLWFmZjgtOTk3YjczZmU5ODc4XzMiLCJjIjoxMH0sIktvaXMgb2YgRHVhbGl0eSI6eyIwIjoiOTU3YTFmNjEtMWMxYi00YTMzLTgyYWItYzE3YmNjNzhkOGY5XzAiLCIxIjoiMDExYTMxOWYtM2VjMi00M2E0LWFlMDctZTMxZTg4YmJjZmNmXzIiLCIyIjoiYTA1YmRhOWUtNTg2ZS00OWRlLThjMzItMGY2ZTQ3ZmQ4ODMxXzIiLCJjIjo3fSwiVmVybWlsbGlvbiBGaXJlYmlyZCI6eyIwIjoiYTE4NzQ2Y2YtOTc1ZS00ODNhLTljMGMtOTRjMTM0Y2Y2YWYyXzEiLCIxIjoiY2UxM2NkNDctYTIwNS00ZDI4LTk2YjAtYmRmOTA2ZmFlODlmXzAiLCIyIjoiODU1NTg0YjYtZmY4MS00NDljLWJmYzgtNzc2Yjg5ZTJlMWI2XzIiLCJjIjo3fSwiU3BlbGwgQ2F0Ijp7IjAiOiJjMDE0ZmE3OC05YjU2LTRlOTItOTM4MC0wNWYzYzFiYzYzZjJfMyIsIjEiOiJkOGE1NmJlNS0wZmU1LTQzNGItYTc3YS1iNjE0Njg3M2VhMWFfMyIsIjIiOiJjMDE0ZmE3OC05YjU2LTRlOTItOTM4MC0wNWYzYzFiYzYzZjJfMCIsImMiOjZ9LCJUb3JpaSBTcGlyaXQiOnsiMCI6IjBjMmZjYzU4LTFjZDUtNGUyYy05OTUzLTA2YWU5OTUyN2FjY18zIiwiMSI6ImYwYTdlNTkzLWU4YTMtNDlhNC05MzU3LTY5OTI3YjQwZTBhOF8xIiwiMiI6ImNiODNmMDNiLTU0NDEtNGFiNi1hY2Q0LWQ2YzIzY2ZiZjFiMF8xIiwiYyI6MTB9LCJSdW5lY3Vyc2VkIFd5dmVybiI6eyIwIjoiM2Y3MDA3NDUtOTNlOS00OTFlLWIzMDItMGYzYjgxMjljZDNhXzMiLCIxIjoiMzA0YWZjZmQtNzg5NC00MDhmLTkwNzUtYjk2NjViMGRhOWJiXzEiLCIyIjoiZWZjOTZlZDAtZDg3Yi00ZDI5LWJiODYtZjI5Nzk1NzI4YmY4XzIiLCJjIjo2fSwiVGVjdG9uaWMgU2hpZnRlciI6eyIwIjoiZGE0ODc3MmEtYjRkNC00NGY4LThkNTUtNDI4YzRiNzc1MGRmXzEiLCIxIjoiYTViMjMzNzQtYzllMC00Y2MzLWFjOWUtN2NjNjkzYWIwN2I2XzEiLCIyIjoiZThlOTZmNzYtOTRiZC00MWFlLWIxYmQtNGNhOTZhZWJkZDFlXzMiLCJjIjo1fX0=</t>
  </si>
  <si>
    <t>TOTAL</t>
  </si>
  <si>
    <t>STATS</t>
  </si>
  <si>
    <t>Alle</t>
  </si>
  <si>
    <t>Wert</t>
  </si>
  <si>
    <t>Distribution Power</t>
  </si>
  <si>
    <t>Distribution Cost</t>
  </si>
  <si>
    <t>Set:</t>
  </si>
  <si>
    <t>Realm:</t>
  </si>
  <si>
    <t>Colorless</t>
  </si>
  <si>
    <t>Multicolor Cards</t>
  </si>
  <si>
    <t>Ivoryscar</t>
  </si>
  <si>
    <t>Tainted Jade</t>
  </si>
  <si>
    <t>Cinderguard</t>
  </si>
  <si>
    <t>Tranquil Herd</t>
  </si>
  <si>
    <t>Skulloath</t>
  </si>
  <si>
    <t>Average</t>
  </si>
  <si>
    <t>Moonspear</t>
  </si>
  <si>
    <t>Thunderswarm</t>
  </si>
  <si>
    <t>Gladehost</t>
  </si>
  <si>
    <t>Shardhorde</t>
  </si>
  <si>
    <t>Forsaken</t>
  </si>
  <si>
    <t>Physical cards:</t>
  </si>
  <si>
    <t># Karten</t>
  </si>
  <si>
    <t># Divine</t>
  </si>
  <si>
    <t># Nature</t>
  </si>
  <si>
    <t># Elemental</t>
  </si>
  <si>
    <t># Mortal</t>
  </si>
  <si>
    <t># Void</t>
  </si>
  <si>
    <t># Karten pro Typ</t>
  </si>
  <si>
    <t>Total</t>
  </si>
  <si>
    <t># Karten pro Archtyp / Rarity</t>
  </si>
  <si>
    <t>%</t>
  </si>
  <si>
    <t>All Words in Card Names</t>
  </si>
  <si>
    <t>Unique Words in Cardnames</t>
  </si>
  <si>
    <t># Quantity</t>
  </si>
  <si>
    <t>Words by Quantity</t>
  </si>
  <si>
    <t>the</t>
  </si>
  <si>
    <t>The</t>
  </si>
  <si>
    <t>Sucker</t>
  </si>
  <si>
    <t>Ushabti</t>
  </si>
  <si>
    <t>Guardian</t>
  </si>
  <si>
    <t>Sprite</t>
  </si>
  <si>
    <t>Master</t>
  </si>
  <si>
    <t>Tranquil</t>
  </si>
  <si>
    <t>Herd</t>
  </si>
  <si>
    <t>Bringer</t>
  </si>
  <si>
    <t>Wyvern</t>
  </si>
  <si>
    <t>Beetle</t>
  </si>
  <si>
    <t>Hermit</t>
  </si>
  <si>
    <t>Ancient</t>
  </si>
  <si>
    <t>Tainted</t>
  </si>
  <si>
    <t>Jade</t>
  </si>
  <si>
    <t>Bloodthrone</t>
  </si>
  <si>
    <t>Sphinx</t>
  </si>
  <si>
    <t>Desert</t>
  </si>
  <si>
    <t>Automaton</t>
  </si>
  <si>
    <t>Diviner</t>
  </si>
  <si>
    <t>Echo</t>
  </si>
  <si>
    <t>Scarab</t>
  </si>
  <si>
    <t>Gem</t>
  </si>
  <si>
    <t>Titan</t>
  </si>
  <si>
    <t>Obelisk</t>
  </si>
  <si>
    <t>Basilisk</t>
  </si>
  <si>
    <t>Yellow</t>
  </si>
  <si>
    <t>Young</t>
  </si>
  <si>
    <t>Scorpion</t>
  </si>
  <si>
    <t>Lightning</t>
  </si>
  <si>
    <t>Rider</t>
  </si>
  <si>
    <t>Carver</t>
  </si>
  <si>
    <t>Ant</t>
  </si>
  <si>
    <t>One</t>
  </si>
  <si>
    <t>Moon</t>
  </si>
  <si>
    <t>Blood</t>
  </si>
  <si>
    <t>Oracle</t>
  </si>
  <si>
    <t>Claw</t>
  </si>
  <si>
    <t>Red</t>
  </si>
  <si>
    <t>Acolyte</t>
  </si>
  <si>
    <t>Familiar</t>
  </si>
  <si>
    <t>Twin</t>
  </si>
  <si>
    <t>Crazed</t>
  </si>
  <si>
    <t>Chicken</t>
  </si>
  <si>
    <t>Blue</t>
  </si>
  <si>
    <t>Slumbering</t>
  </si>
  <si>
    <t>Legion</t>
  </si>
  <si>
    <t>Shaman</t>
  </si>
  <si>
    <t>Old</t>
  </si>
  <si>
    <t>Overlord</t>
  </si>
  <si>
    <t>Springs</t>
  </si>
  <si>
    <t>Golem</t>
  </si>
  <si>
    <t>Camel</t>
  </si>
  <si>
    <t>Bloodfleet</t>
  </si>
  <si>
    <t>Raider</t>
  </si>
  <si>
    <t>Caring</t>
  </si>
  <si>
    <t>Tree</t>
  </si>
  <si>
    <t>Sanguine</t>
  </si>
  <si>
    <t>Bug</t>
  </si>
  <si>
    <t>Green</t>
  </si>
  <si>
    <t>Crystal</t>
  </si>
  <si>
    <t>from</t>
  </si>
  <si>
    <t>Matriarch</t>
  </si>
  <si>
    <t>Trickster</t>
  </si>
  <si>
    <t>Creeper</t>
  </si>
  <si>
    <t>Abomination</t>
  </si>
  <si>
    <t>Dread</t>
  </si>
  <si>
    <t>Nexus</t>
  </si>
  <si>
    <t>Imp</t>
  </si>
  <si>
    <t>Grove</t>
  </si>
  <si>
    <t>Queen</t>
  </si>
  <si>
    <t>Purple</t>
  </si>
  <si>
    <t>Sovereign</t>
  </si>
  <si>
    <t>Nightmare</t>
  </si>
  <si>
    <t>Twilight</t>
  </si>
  <si>
    <t>Behemoth</t>
  </si>
  <si>
    <t>Dino</t>
  </si>
  <si>
    <t>Boy</t>
  </si>
  <si>
    <t>Alabaster</t>
  </si>
  <si>
    <t>Exarch</t>
  </si>
  <si>
    <t>Ascendant</t>
  </si>
  <si>
    <t>Faithweaver</t>
  </si>
  <si>
    <t>Avenging</t>
  </si>
  <si>
    <t>Force</t>
  </si>
  <si>
    <t>Baby</t>
  </si>
  <si>
    <t>Lamassu</t>
  </si>
  <si>
    <t>Blackmarble</t>
  </si>
  <si>
    <t>Gargoyle</t>
  </si>
  <si>
    <t>Chronosand</t>
  </si>
  <si>
    <t>Winds</t>
  </si>
  <si>
    <t>Damaged</t>
  </si>
  <si>
    <t>Fates</t>
  </si>
  <si>
    <t>Doma</t>
  </si>
  <si>
    <t>Dove</t>
  </si>
  <si>
    <t>Serenity</t>
  </si>
  <si>
    <t>Dream</t>
  </si>
  <si>
    <t>Traveler</t>
  </si>
  <si>
    <t>Embalmed</t>
  </si>
  <si>
    <t>Apophis</t>
  </si>
  <si>
    <t>Feline</t>
  </si>
  <si>
    <t>Gates</t>
  </si>
  <si>
    <t>Hallowed</t>
  </si>
  <si>
    <t>Exorcist</t>
  </si>
  <si>
    <t>Harmonic</t>
  </si>
  <si>
    <t>Ibis</t>
  </si>
  <si>
    <t>Herald</t>
  </si>
  <si>
    <t>Eternal</t>
  </si>
  <si>
    <t>Grace</t>
  </si>
  <si>
    <t>Maze</t>
  </si>
  <si>
    <t>Cursewing</t>
  </si>
  <si>
    <t>Magistrate</t>
  </si>
  <si>
    <t>Kylix</t>
  </si>
  <si>
    <t>Excess</t>
  </si>
  <si>
    <t>Mystic</t>
  </si>
  <si>
    <t>Puzzle</t>
  </si>
  <si>
    <t>Box</t>
  </si>
  <si>
    <t>Monolith</t>
  </si>
  <si>
    <t>Meditation</t>
  </si>
  <si>
    <t>Oasis</t>
  </si>
  <si>
    <t>Pharaoh's</t>
  </si>
  <si>
    <t>Bodyguard</t>
  </si>
  <si>
    <t>Scripture</t>
  </si>
  <si>
    <t>Monkey</t>
  </si>
  <si>
    <t>Sekhem</t>
  </si>
  <si>
    <t>Chariot</t>
  </si>
  <si>
    <t>Obsidian</t>
  </si>
  <si>
    <t>Solarsteel</t>
  </si>
  <si>
    <t>Prodigy</t>
  </si>
  <si>
    <t>Swiftblade</t>
  </si>
  <si>
    <t>Revenger</t>
  </si>
  <si>
    <t>Kitty</t>
  </si>
  <si>
    <t>Thamiel</t>
  </si>
  <si>
    <t>Skirmisher</t>
  </si>
  <si>
    <t>Towering</t>
  </si>
  <si>
    <t>Xi</t>
  </si>
  <si>
    <t>Winged</t>
  </si>
  <si>
    <t>Ghostfire</t>
  </si>
  <si>
    <t>Monk</t>
  </si>
  <si>
    <t>Fancy</t>
  </si>
  <si>
    <t>Schmancy</t>
  </si>
  <si>
    <t>Byrrd</t>
  </si>
  <si>
    <t>Type</t>
  </si>
  <si>
    <t>Golden</t>
  </si>
  <si>
    <t>Phoenix</t>
  </si>
  <si>
    <t>Hailstorm</t>
  </si>
  <si>
    <t>Seraph</t>
  </si>
  <si>
    <t>Scittering</t>
  </si>
  <si>
    <t>Wrath</t>
  </si>
  <si>
    <t>Pharaoh</t>
  </si>
  <si>
    <t>Good</t>
  </si>
  <si>
    <t>News</t>
  </si>
  <si>
    <t>Desertwind</t>
  </si>
  <si>
    <t>Relic</t>
  </si>
  <si>
    <t>Hunter</t>
  </si>
  <si>
    <t>Exemplar</t>
  </si>
  <si>
    <t>Lunar</t>
  </si>
  <si>
    <t>Gleam</t>
  </si>
  <si>
    <t>Grenade</t>
  </si>
  <si>
    <t>Apple</t>
  </si>
  <si>
    <t>#3</t>
  </si>
  <si>
    <t>Embalmer</t>
  </si>
  <si>
    <t>Shattercrown</t>
  </si>
  <si>
    <t>Luminary</t>
  </si>
  <si>
    <t>Shepard</t>
  </si>
  <si>
    <t>Morning</t>
  </si>
  <si>
    <t>Dew</t>
  </si>
  <si>
    <t>Arboreal</t>
  </si>
  <si>
    <t>Messenger</t>
  </si>
  <si>
    <t>Auric</t>
  </si>
  <si>
    <t>Regent</t>
  </si>
  <si>
    <t>Blessing</t>
  </si>
  <si>
    <t>Bestower</t>
  </si>
  <si>
    <t>Waypost</t>
  </si>
  <si>
    <t>Crimson</t>
  </si>
  <si>
    <t>Flamechick</t>
  </si>
  <si>
    <t>Ascended</t>
  </si>
  <si>
    <t>Rubyskull</t>
  </si>
  <si>
    <t>Blackwing</t>
  </si>
  <si>
    <t>Usurper</t>
  </si>
  <si>
    <t>Celestial</t>
  </si>
  <si>
    <t>Second</t>
  </si>
  <si>
    <t>Wing</t>
  </si>
  <si>
    <t>Fatebreaker</t>
  </si>
  <si>
    <t>Priestess</t>
  </si>
  <si>
    <t>Airstep</t>
  </si>
  <si>
    <t>Sifu</t>
  </si>
  <si>
    <t>Paladin</t>
  </si>
  <si>
    <t>Arcanum</t>
  </si>
  <si>
    <t>Grandmaster</t>
  </si>
  <si>
    <t>Auraborne</t>
  </si>
  <si>
    <t>Blazecharm</t>
  </si>
  <si>
    <t>Kitsune</t>
  </si>
  <si>
    <t>Glowing</t>
  </si>
  <si>
    <t>Gearhulk</t>
  </si>
  <si>
    <t>Boiling</t>
  </si>
  <si>
    <t>Berserker</t>
  </si>
  <si>
    <t>Goat</t>
  </si>
  <si>
    <t>Sagehorn</t>
  </si>
  <si>
    <t>Sunblessed</t>
  </si>
  <si>
    <t>Crocodile</t>
  </si>
  <si>
    <t>Kois</t>
  </si>
  <si>
    <t>Duality</t>
  </si>
  <si>
    <t>Eclipsion</t>
  </si>
  <si>
    <t>Fallen</t>
  </si>
  <si>
    <t>Diamond</t>
  </si>
  <si>
    <t>Phantom</t>
  </si>
  <si>
    <t>Draconic</t>
  </si>
  <si>
    <t>Highpriest</t>
  </si>
  <si>
    <t>Cavern</t>
  </si>
  <si>
    <t>Lindwurm</t>
  </si>
  <si>
    <t>Cheerful</t>
  </si>
  <si>
    <t>Pixies</t>
  </si>
  <si>
    <t>Scribe</t>
  </si>
  <si>
    <t>Daredevil</t>
  </si>
  <si>
    <t>Duo</t>
  </si>
  <si>
    <t>Ember</t>
  </si>
  <si>
    <t>Whelp</t>
  </si>
  <si>
    <t>Floating</t>
  </si>
  <si>
    <t>Djinn</t>
  </si>
  <si>
    <t>Dewdrop</t>
  </si>
  <si>
    <t>Egg</t>
  </si>
  <si>
    <t>Dustdance</t>
  </si>
  <si>
    <t>Efreet</t>
  </si>
  <si>
    <t>Horizon</t>
  </si>
  <si>
    <t>Roughlands</t>
  </si>
  <si>
    <t>Scourge</t>
  </si>
  <si>
    <t>Mirrorworld</t>
  </si>
  <si>
    <t>Bloodseeker</t>
  </si>
  <si>
    <t>Mountain</t>
  </si>
  <si>
    <t>Sage</t>
  </si>
  <si>
    <t>Nimbus</t>
  </si>
  <si>
    <t>Omen</t>
  </si>
  <si>
    <t>Firefly</t>
  </si>
  <si>
    <t>Pixie</t>
  </si>
  <si>
    <t>Summoner</t>
  </si>
  <si>
    <t>Pyretic</t>
  </si>
  <si>
    <t>Pet</t>
  </si>
  <si>
    <t>Shifting</t>
  </si>
  <si>
    <t>Sands</t>
  </si>
  <si>
    <t>Torii</t>
  </si>
  <si>
    <t>Windkite</t>
  </si>
  <si>
    <t>Sand</t>
  </si>
  <si>
    <t>Witch</t>
  </si>
  <si>
    <t>Galewhelp</t>
  </si>
  <si>
    <t>Amberlock</t>
  </si>
  <si>
    <t>Dragonling</t>
  </si>
  <si>
    <t>Dragonfire</t>
  </si>
  <si>
    <t>Warlock</t>
  </si>
  <si>
    <t>Dragonwind</t>
  </si>
  <si>
    <t>Harbinger</t>
  </si>
  <si>
    <t>Stormworn</t>
  </si>
  <si>
    <t>Horn</t>
  </si>
  <si>
    <t>Glinteye</t>
  </si>
  <si>
    <t>Hoarder</t>
  </si>
  <si>
    <t>Culling</t>
  </si>
  <si>
    <t>Raijin's</t>
  </si>
  <si>
    <t>Thundertail</t>
  </si>
  <si>
    <t>Vengeful</t>
  </si>
  <si>
    <t>Gust</t>
  </si>
  <si>
    <t>Runecursed</t>
  </si>
  <si>
    <t>Lootclaimer</t>
  </si>
  <si>
    <t>Spell</t>
  </si>
  <si>
    <t>Cat</t>
  </si>
  <si>
    <t>Vermillion</t>
  </si>
  <si>
    <t>Firebird</t>
  </si>
  <si>
    <t>Irregulars</t>
  </si>
  <si>
    <t>Steelclaw</t>
  </si>
  <si>
    <t>Veterans</t>
  </si>
  <si>
    <t>Lurking</t>
  </si>
  <si>
    <t>Canopystomper</t>
  </si>
  <si>
    <t>Resourceful</t>
  </si>
  <si>
    <t>Poacher</t>
  </si>
  <si>
    <t>Skyshrieker</t>
  </si>
  <si>
    <t>Mistborn</t>
  </si>
  <si>
    <t>Serpent</t>
  </si>
  <si>
    <t>Bad</t>
  </si>
  <si>
    <t>Omens</t>
  </si>
  <si>
    <t>Gaunt</t>
  </si>
  <si>
    <t>Visitation</t>
  </si>
  <si>
    <t>Manticore</t>
  </si>
  <si>
    <t>Featherfrost</t>
  </si>
  <si>
    <t>Harpy</t>
  </si>
  <si>
    <t>Raging</t>
  </si>
  <si>
    <t>Minotaur</t>
  </si>
  <si>
    <t>Venomshade</t>
  </si>
  <si>
    <t>Lamia</t>
  </si>
  <si>
    <t>Volcano</t>
  </si>
  <si>
    <t>Embodiment</t>
  </si>
  <si>
    <t>Leviathan</t>
  </si>
  <si>
    <t>Tectonic</t>
  </si>
  <si>
    <t>Shifter</t>
  </si>
  <si>
    <t>Bastion</t>
  </si>
  <si>
    <t>Architect</t>
  </si>
  <si>
    <t>Mega</t>
  </si>
  <si>
    <t>Ultra</t>
  </si>
  <si>
    <t>Cavedrake</t>
  </si>
  <si>
    <t>Eagle</t>
  </si>
  <si>
    <t>Starfall</t>
  </si>
  <si>
    <t>Merchant</t>
  </si>
  <si>
    <t>Shotmaster</t>
  </si>
  <si>
    <t>Flamebearer</t>
  </si>
  <si>
    <t>Imperial</t>
  </si>
  <si>
    <t>Tyrant</t>
  </si>
  <si>
    <t>Eons-old</t>
  </si>
  <si>
    <t>Crystalfang</t>
  </si>
  <si>
    <t>Makeshift</t>
  </si>
  <si>
    <t>Militia</t>
  </si>
  <si>
    <t>Strategist</t>
  </si>
  <si>
    <t>Wraithknight</t>
  </si>
  <si>
    <t>Mountblade</t>
  </si>
  <si>
    <t>Squire</t>
  </si>
  <si>
    <t>Pyroclastic</t>
  </si>
  <si>
    <t>Zombie</t>
  </si>
  <si>
    <t>Fisherman</t>
  </si>
  <si>
    <t>Wasteland</t>
  </si>
  <si>
    <t>Pinwheel</t>
  </si>
  <si>
    <t>Illusionist</t>
  </si>
  <si>
    <t>Marauder</t>
  </si>
  <si>
    <t>Alchemist's</t>
  </si>
  <si>
    <t>Incense</t>
  </si>
  <si>
    <t>Quadriga</t>
  </si>
  <si>
    <t>Triumph</t>
  </si>
  <si>
    <t>Ambrosia</t>
  </si>
  <si>
    <t>Bee</t>
  </si>
  <si>
    <t>Recruiting</t>
  </si>
  <si>
    <t>Officer</t>
  </si>
  <si>
    <t>Remnant</t>
  </si>
  <si>
    <t>Quiet</t>
  </si>
  <si>
    <t>Sandring</t>
  </si>
  <si>
    <t>Pridemane</t>
  </si>
  <si>
    <t>Filthy</t>
  </si>
  <si>
    <t>Peasant</t>
  </si>
  <si>
    <t>Ironstride</t>
  </si>
  <si>
    <t>Courser</t>
  </si>
  <si>
    <t>Pocket</t>
  </si>
  <si>
    <t>Prime</t>
  </si>
  <si>
    <t>Surly</t>
  </si>
  <si>
    <t>Donkey</t>
  </si>
  <si>
    <t>Grand</t>
  </si>
  <si>
    <t>Ruiner</t>
  </si>
  <si>
    <t>Snow</t>
  </si>
  <si>
    <t>Crane</t>
  </si>
  <si>
    <t>Trading</t>
  </si>
  <si>
    <t>Post</t>
  </si>
  <si>
    <t>Stormforged</t>
  </si>
  <si>
    <t>Recruit</t>
  </si>
  <si>
    <t>Supply</t>
  </si>
  <si>
    <t>Trusty</t>
  </si>
  <si>
    <t>Companion</t>
  </si>
  <si>
    <t>Mother</t>
  </si>
  <si>
    <t>Wayward</t>
  </si>
  <si>
    <t>Battle</t>
  </si>
  <si>
    <t>Dreadnought</t>
  </si>
  <si>
    <t>Dojo</t>
  </si>
  <si>
    <t>Drill</t>
  </si>
  <si>
    <t>Instructor</t>
  </si>
  <si>
    <t>Rune</t>
  </si>
  <si>
    <t>Whisperer</t>
  </si>
  <si>
    <t>Ironclad</t>
  </si>
  <si>
    <t>Jailwalker</t>
  </si>
  <si>
    <t>Holy</t>
  </si>
  <si>
    <t>Life</t>
  </si>
  <si>
    <t>Rampart</t>
  </si>
  <si>
    <t>Shellback</t>
  </si>
  <si>
    <t>Zodiac</t>
  </si>
  <si>
    <t>Samurai</t>
  </si>
  <si>
    <t>Scalehide</t>
  </si>
  <si>
    <t>Trapper</t>
  </si>
  <si>
    <t>Crescent</t>
  </si>
  <si>
    <t>Gemcrazed</t>
  </si>
  <si>
    <t>Clown</t>
  </si>
  <si>
    <t>Augur</t>
  </si>
  <si>
    <t>Student</t>
  </si>
  <si>
    <t>Shade</t>
  </si>
  <si>
    <t>in</t>
  </si>
  <si>
    <t>Alley</t>
  </si>
  <si>
    <t>Vindictive</t>
  </si>
  <si>
    <t>Willing</t>
  </si>
  <si>
    <t>Sacrifice</t>
  </si>
  <si>
    <t>Harpooneer</t>
  </si>
  <si>
    <t>Gold</t>
  </si>
  <si>
    <t>Colibri</t>
  </si>
  <si>
    <t>Greedy</t>
  </si>
  <si>
    <t>Senator</t>
  </si>
  <si>
    <t>Paragon</t>
  </si>
  <si>
    <t>Conquest</t>
  </si>
  <si>
    <t>Tilling</t>
  </si>
  <si>
    <t>Yoke</t>
  </si>
  <si>
    <t>Beast</t>
  </si>
  <si>
    <t>Curator</t>
  </si>
  <si>
    <t>Buzzing</t>
  </si>
  <si>
    <t>Hivetitan</t>
  </si>
  <si>
    <t>Caleidoscope</t>
  </si>
  <si>
    <t>Spider</t>
  </si>
  <si>
    <t>Emberblade</t>
  </si>
  <si>
    <t>Senatorial</t>
  </si>
  <si>
    <t>Phalanx</t>
  </si>
  <si>
    <t>Frontier</t>
  </si>
  <si>
    <t>Centurion</t>
  </si>
  <si>
    <t>Saboteur</t>
  </si>
  <si>
    <t>Fairgrove</t>
  </si>
  <si>
    <t>Dryad</t>
  </si>
  <si>
    <t>Fairy</t>
  </si>
  <si>
    <t>Fountain</t>
  </si>
  <si>
    <t>Harvest</t>
  </si>
  <si>
    <t>Sanctifier</t>
  </si>
  <si>
    <t>Goliath</t>
  </si>
  <si>
    <t>Grizzly</t>
  </si>
  <si>
    <t>Trap</t>
  </si>
  <si>
    <t>Volatile</t>
  </si>
  <si>
    <t>Battlemage</t>
  </si>
  <si>
    <t>Ordinary</t>
  </si>
  <si>
    <t>Flower</t>
  </si>
  <si>
    <t>Pot</t>
  </si>
  <si>
    <t>Scholar</t>
  </si>
  <si>
    <t>Little</t>
  </si>
  <si>
    <t>Lamb</t>
  </si>
  <si>
    <t>Weaponized</t>
  </si>
  <si>
    <t>Pest</t>
  </si>
  <si>
    <t>Trained</t>
  </si>
  <si>
    <t>War</t>
  </si>
  <si>
    <t>Elephant</t>
  </si>
  <si>
    <t>Starborne</t>
  </si>
  <si>
    <t>Kyudo</t>
  </si>
  <si>
    <t>Chalice</t>
  </si>
  <si>
    <t>Bloodbrewer</t>
  </si>
  <si>
    <t>Packhunting</t>
  </si>
  <si>
    <t>Crystalbeast</t>
  </si>
  <si>
    <t>Pebble</t>
  </si>
  <si>
    <t>Gekko</t>
  </si>
  <si>
    <t>Platinum</t>
  </si>
  <si>
    <t>Ladybug</t>
  </si>
  <si>
    <t>Pollen</t>
  </si>
  <si>
    <t>Buzz</t>
  </si>
  <si>
    <t>Primal</t>
  </si>
  <si>
    <t>Horde</t>
  </si>
  <si>
    <t>Prowling</t>
  </si>
  <si>
    <t>Puma</t>
  </si>
  <si>
    <t>Catacombs</t>
  </si>
  <si>
    <t>Aristocrat</t>
  </si>
  <si>
    <t>Roar</t>
  </si>
  <si>
    <t>Past</t>
  </si>
  <si>
    <t>Rootseed</t>
  </si>
  <si>
    <t>Snapscale</t>
  </si>
  <si>
    <t>Alpha</t>
  </si>
  <si>
    <t>Stampede</t>
  </si>
  <si>
    <t>Amethyst</t>
  </si>
  <si>
    <t>Argosaurus</t>
  </si>
  <si>
    <t>Astral</t>
  </si>
  <si>
    <t>Unicorn</t>
  </si>
  <si>
    <t>Spectra</t>
  </si>
  <si>
    <t>Stick</t>
  </si>
  <si>
    <t>Calming</t>
  </si>
  <si>
    <t>Apparition</t>
  </si>
  <si>
    <t>Sylvan</t>
  </si>
  <si>
    <t>Gamekeeper</t>
  </si>
  <si>
    <t>Monstrosity</t>
  </si>
  <si>
    <t>Mycomancer</t>
  </si>
  <si>
    <t>Venomleaf</t>
  </si>
  <si>
    <t>Croaker</t>
  </si>
  <si>
    <t>Darkwood</t>
  </si>
  <si>
    <t>Tracker</t>
  </si>
  <si>
    <t>Verdant</t>
  </si>
  <si>
    <t>Sakura</t>
  </si>
  <si>
    <t>Forgotten</t>
  </si>
  <si>
    <t>Locust</t>
  </si>
  <si>
    <t>Swarm</t>
  </si>
  <si>
    <t>Emerald</t>
  </si>
  <si>
    <t>Fang</t>
  </si>
  <si>
    <t>Cobra</t>
  </si>
  <si>
    <t>Entwining</t>
  </si>
  <si>
    <t>Jeweled</t>
  </si>
  <si>
    <t>Triceratops</t>
  </si>
  <si>
    <t>Jolly</t>
  </si>
  <si>
    <t>Tamarin</t>
  </si>
  <si>
    <t>Leech</t>
  </si>
  <si>
    <t>Dragonfly</t>
  </si>
  <si>
    <t>Nurturing</t>
  </si>
  <si>
    <t>Rootsaurus</t>
  </si>
  <si>
    <t>Carnage</t>
  </si>
  <si>
    <t>Hornet</t>
  </si>
  <si>
    <t>Champion</t>
  </si>
  <si>
    <t>Hell</t>
  </si>
  <si>
    <t>Dark</t>
  </si>
  <si>
    <t>Spoon</t>
  </si>
  <si>
    <t>Dawnbreak</t>
  </si>
  <si>
    <t>Wendigo</t>
  </si>
  <si>
    <t>Discarded</t>
  </si>
  <si>
    <t>Doomgaze</t>
  </si>
  <si>
    <t>Cryptlord</t>
  </si>
  <si>
    <t>Nutrient</t>
  </si>
  <si>
    <t>Fatepeek</t>
  </si>
  <si>
    <t>Eyed</t>
  </si>
  <si>
    <t>Raptor</t>
  </si>
  <si>
    <t>Pack</t>
  </si>
  <si>
    <t>Saurian</t>
  </si>
  <si>
    <t>Wraith</t>
  </si>
  <si>
    <t>Gravebound</t>
  </si>
  <si>
    <t>Ghoul</t>
  </si>
  <si>
    <t>Grim</t>
  </si>
  <si>
    <t>Shadowpounce</t>
  </si>
  <si>
    <t>Panther</t>
  </si>
  <si>
    <t>Hungry</t>
  </si>
  <si>
    <t>Shambler</t>
  </si>
  <si>
    <t>Sunflower</t>
  </si>
  <si>
    <t>Tiger</t>
  </si>
  <si>
    <t>Meekbone</t>
  </si>
  <si>
    <t>Soldier</t>
  </si>
  <si>
    <t>Monarch</t>
  </si>
  <si>
    <t>Shadows</t>
  </si>
  <si>
    <t>Venus</t>
  </si>
  <si>
    <t>Flytrap</t>
  </si>
  <si>
    <t>Arcane</t>
  </si>
  <si>
    <t>Gorgosaur</t>
  </si>
  <si>
    <t>Duke</t>
  </si>
  <si>
    <t>Mantis</t>
  </si>
  <si>
    <t>Reborn</t>
  </si>
  <si>
    <t>Stargazer</t>
  </si>
  <si>
    <t>Relentless</t>
  </si>
  <si>
    <t>Runic</t>
  </si>
  <si>
    <t>Arachnid</t>
  </si>
  <si>
    <t>Teapot</t>
  </si>
  <si>
    <t>Sun</t>
  </si>
  <si>
    <t>Saurus</t>
  </si>
  <si>
    <t>Sandsilk</t>
  </si>
  <si>
    <t>Fox</t>
  </si>
  <si>
    <t>Living</t>
  </si>
  <si>
    <t>Thicket</t>
  </si>
  <si>
    <t>Shrouded</t>
  </si>
  <si>
    <t>Advocate</t>
  </si>
  <si>
    <t>Fiend</t>
  </si>
  <si>
    <t>Invigorating</t>
  </si>
  <si>
    <t>Lotus</t>
  </si>
  <si>
    <t>Bloom</t>
  </si>
  <si>
    <t>Southern</t>
  </si>
  <si>
    <t>Reach</t>
  </si>
  <si>
    <t>Bulwark</t>
  </si>
  <si>
    <t>Tombstone</t>
  </si>
  <si>
    <t>Umbral</t>
  </si>
  <si>
    <t>Voidkiss</t>
  </si>
  <si>
    <t>Siren</t>
  </si>
  <si>
    <t>Voodoo</t>
  </si>
  <si>
    <t>Doctor</t>
  </si>
  <si>
    <t>Whispering</t>
  </si>
  <si>
    <t>Tome</t>
  </si>
  <si>
    <t>Choking</t>
  </si>
  <si>
    <t>Vines</t>
  </si>
  <si>
    <t>Heathborn</t>
  </si>
  <si>
    <t>Protector</t>
  </si>
  <si>
    <t>Wastelands</t>
  </si>
  <si>
    <t>Crystalbane</t>
  </si>
  <si>
    <t>Glutton</t>
  </si>
  <si>
    <t>Crystalline</t>
  </si>
  <si>
    <t>Parasite</t>
  </si>
  <si>
    <t>Fortune's</t>
  </si>
  <si>
    <t>Favorite</t>
  </si>
  <si>
    <t>Gigantic</t>
  </si>
  <si>
    <t>Terrormaw</t>
  </si>
  <si>
    <t>Null</t>
  </si>
  <si>
    <t>Ghost</t>
  </si>
  <si>
    <t>Bear</t>
  </si>
  <si>
    <t>Cub</t>
  </si>
  <si>
    <t>Necroconut</t>
  </si>
  <si>
    <t>Crab</t>
  </si>
  <si>
    <t>Rotting</t>
  </si>
  <si>
    <t>Alicorn</t>
  </si>
  <si>
    <t>Initiate</t>
  </si>
  <si>
    <t>Abyssal</t>
  </si>
  <si>
    <t>Silencer</t>
  </si>
  <si>
    <t>Blightcoven</t>
  </si>
  <si>
    <t>Puppeteer</t>
  </si>
  <si>
    <t>Ambassador</t>
  </si>
  <si>
    <t>Emissary</t>
  </si>
  <si>
    <t>Darkness</t>
  </si>
  <si>
    <t>Chronicler</t>
  </si>
  <si>
    <t>Serenader</t>
  </si>
  <si>
    <t>Foul</t>
  </si>
  <si>
    <t>Corruptor</t>
  </si>
  <si>
    <t>Ghoulflesh</t>
  </si>
  <si>
    <t>Devourer</t>
  </si>
  <si>
    <t>Grinning</t>
  </si>
  <si>
    <t>Amphora</t>
  </si>
  <si>
    <t>Intrusive</t>
  </si>
  <si>
    <t>Advisor</t>
  </si>
  <si>
    <t>Heaven</t>
  </si>
  <si>
    <t>Pestilence</t>
  </si>
  <si>
    <t>Haze</t>
  </si>
  <si>
    <t>Lamp</t>
  </si>
  <si>
    <t>Rejuvenating</t>
  </si>
  <si>
    <t>Blinking</t>
  </si>
  <si>
    <t>Onyxion</t>
  </si>
  <si>
    <t>Thalis</t>
  </si>
  <si>
    <t>Fuming</t>
  </si>
  <si>
    <t>Fukuisaur</t>
  </si>
  <si>
    <t>Spreading</t>
  </si>
  <si>
    <t>Spore</t>
  </si>
  <si>
    <t>Chapel</t>
  </si>
  <si>
    <t>Watcher</t>
  </si>
  <si>
    <t>Luring</t>
  </si>
  <si>
    <t>Flametooth</t>
  </si>
  <si>
    <t>Stalagmite</t>
  </si>
  <si>
    <t>Mirage</t>
  </si>
  <si>
    <t>Heavenbound</t>
  </si>
  <si>
    <t>Heka-Mage</t>
  </si>
  <si>
    <t>Sorceress</t>
  </si>
  <si>
    <t>Twinfang</t>
  </si>
  <si>
    <t>Huntcaller</t>
  </si>
  <si>
    <t>Vanguard</t>
  </si>
  <si>
    <t>Guider</t>
  </si>
  <si>
    <t>Yesterknight</t>
  </si>
  <si>
    <t>Alchemist</t>
  </si>
  <si>
    <t>Ticking</t>
  </si>
  <si>
    <t>Tick</t>
  </si>
  <si>
    <t>Conduit</t>
  </si>
  <si>
    <t>Scale</t>
  </si>
  <si>
    <t>Nethersilk</t>
  </si>
  <si>
    <t>Moth</t>
  </si>
  <si>
    <t>Penguin</t>
  </si>
  <si>
    <t>Possessed</t>
  </si>
  <si>
    <t>Vermin</t>
  </si>
  <si>
    <t>Brood</t>
  </si>
  <si>
    <t>Shadowsting</t>
  </si>
  <si>
    <t>Skull</t>
  </si>
  <si>
    <t>Crow</t>
  </si>
  <si>
    <t>Symbiotic</t>
  </si>
  <si>
    <t>Crawler</t>
  </si>
  <si>
    <t>King</t>
  </si>
  <si>
    <t>Gorgon</t>
  </si>
  <si>
    <t>Serpentress</t>
  </si>
  <si>
    <t>Ill-Tempered</t>
  </si>
  <si>
    <t>Nightbloom</t>
  </si>
  <si>
    <t>Owl</t>
  </si>
  <si>
    <t>Shroom</t>
  </si>
  <si>
    <t>Eclipse</t>
  </si>
  <si>
    <t>Scythe</t>
  </si>
  <si>
    <t>Rotten</t>
  </si>
  <si>
    <t>Stalker</t>
  </si>
  <si>
    <t>Wringing</t>
  </si>
  <si>
    <t>Clawing</t>
  </si>
  <si>
    <t>Centipede</t>
  </si>
  <si>
    <t>Graverobbing</t>
  </si>
  <si>
    <t>Robot</t>
  </si>
  <si>
    <t>Bandage</t>
  </si>
  <si>
    <t>Deadfield</t>
  </si>
  <si>
    <t>Tiller</t>
  </si>
  <si>
    <t>Mini</t>
  </si>
  <si>
    <t>Clocktower</t>
  </si>
  <si>
    <t>Drake</t>
  </si>
  <si>
    <t>Roaming</t>
  </si>
  <si>
    <t>Cherub</t>
  </si>
  <si>
    <t>Bessy</t>
  </si>
  <si>
    <t>Big</t>
  </si>
  <si>
    <t>Middle</t>
  </si>
  <si>
    <t>Total Crystal Cost</t>
  </si>
  <si>
    <t>Archetypes</t>
  </si>
  <si>
    <t/>
  </si>
  <si>
    <t xml:space="preserve">Unearth </t>
  </si>
  <si>
    <t xml:space="preserve">Ramp Copy </t>
  </si>
  <si>
    <t xml:space="preserve">Mortal </t>
  </si>
  <si>
    <t>Regex Filter</t>
  </si>
  <si>
    <t>.*divine.*</t>
  </si>
  <si>
    <t>.*elemental.*</t>
  </si>
  <si>
    <t>.*mortal.*</t>
  </si>
  <si>
    <t>.*nature.*</t>
  </si>
  <si>
    <t>.*void.*</t>
  </si>
  <si>
    <t>Unearth</t>
  </si>
  <si>
    <t>.*unearth.*</t>
  </si>
  <si>
    <t>Ramp</t>
  </si>
  <si>
    <t>.*crystallize.*</t>
  </si>
  <si>
    <t>Control</t>
  </si>
  <si>
    <t>.*bury.*</t>
  </si>
  <si>
    <t>Copy</t>
  </si>
  <si>
    <t>.*copy.*</t>
  </si>
  <si>
    <t>Aggro</t>
  </si>
  <si>
    <t>.*(?:conquer|deploy[^:e]).*</t>
  </si>
  <si>
    <t>Empty-Crystal</t>
  </si>
  <si>
    <t>.*(?:bury.+crystal|empty crystal).*</t>
  </si>
  <si>
    <t>Move</t>
  </si>
  <si>
    <t>.*(?:move|swap).*</t>
  </si>
  <si>
    <t>Ambush</t>
  </si>
  <si>
    <t>.*(ambush|buried|bury).*</t>
  </si>
  <si>
    <t>Starter Decks</t>
  </si>
  <si>
    <t>Card List</t>
  </si>
  <si>
    <t>Starter Deck</t>
  </si>
  <si>
    <t>Copies</t>
  </si>
  <si>
    <t>Alt Arts</t>
  </si>
  <si>
    <t>Realm</t>
  </si>
  <si>
    <t>Ability</t>
  </si>
  <si>
    <t>Crystal Cost</t>
  </si>
  <si>
    <t>Combined Power</t>
  </si>
  <si>
    <t>SD1: Cinderguard</t>
  </si>
  <si>
    <t>Alternative</t>
  </si>
  <si>
    <t>Default</t>
  </si>
  <si>
    <t>Quantity</t>
  </si>
  <si>
    <t>Alternative Art Cards</t>
  </si>
  <si>
    <t>Average Power</t>
  </si>
  <si>
    <t>SD2: Tainted Jade</t>
  </si>
  <si>
    <t>SD3: Ivoryscar</t>
  </si>
  <si>
    <t>SD4: Shardhorde</t>
  </si>
  <si>
    <t>Keyword</t>
  </si>
  <si>
    <t>CardID</t>
  </si>
  <si>
    <t>"Shuffle King"</t>
  </si>
  <si>
    <t>Realm_Divine</t>
  </si>
  <si>
    <t>You may exchange the position of two buried Units on the Field.</t>
  </si>
  <si>
    <t xml:space="preserve">Set 1 </t>
  </si>
  <si>
    <t>Radiant Cherubim</t>
  </si>
  <si>
    <t>Ward.</t>
  </si>
  <si>
    <t>Gains +1 Power for each friendly Divine Crystal.</t>
  </si>
  <si>
    <t>Tranquil Herd Stampeder</t>
  </si>
  <si>
    <t>Dinosaur, Spirit</t>
  </si>
  <si>
    <t>Adjacent friendly Animals get Ward.</t>
  </si>
  <si>
    <t>Shard Colossus</t>
  </si>
  <si>
    <t>Crystalborn.</t>
  </si>
  <si>
    <t>Gains +1 Power for each Unit with Crystalborn.</t>
  </si>
  <si>
    <t>D, D, D, ?, ?</t>
  </si>
  <si>
    <t>Avatar of Destruction</t>
  </si>
  <si>
    <t>Realm_Elemental</t>
  </si>
  <si>
    <t>Unleash - all other friendly Units with Unleash gain +3 Power.</t>
  </si>
  <si>
    <t>E, E, E, E, E</t>
  </si>
  <si>
    <t>Skyseer Monk</t>
  </si>
  <si>
    <t>Glimpse twice.</t>
  </si>
  <si>
    <t>Unstable Nebula</t>
  </si>
  <si>
    <t>Ambush - If all adjacents Slots are full.</t>
  </si>
  <si>
    <t>Tempest Sage</t>
  </si>
  <si>
    <t>Glimpse twice for each adjacent Elemental Unit.</t>
  </si>
  <si>
    <t>Ambush - When you play your third Void Crystal.</t>
  </si>
  <si>
    <t>E, E, E</t>
  </si>
  <si>
    <t>Realm_Nature</t>
  </si>
  <si>
    <t>Ally Unit with Conquer: Activate that Unit's Conquer ability.</t>
  </si>
  <si>
    <t>Ravenous Mantis</t>
  </si>
  <si>
    <t>Conquer: Transfer the Buffs of all Units in both Lanes to this.</t>
  </si>
  <si>
    <t>Canopy Snaremaster</t>
  </si>
  <si>
    <t>Human, Hunter</t>
  </si>
  <si>
    <t>Exchange adjacent enemy buried Unit with a Unit from the opponent's Crystal Zone.</t>
  </si>
  <si>
    <t>Primeval Amberstone</t>
  </si>
  <si>
    <t>Draw a Card, then bury this.</t>
  </si>
  <si>
    <t>Kudzu Clusterspawn</t>
  </si>
  <si>
    <t>This costs &lt;?&gt; less for each adjacent Plant.</t>
  </si>
  <si>
    <t>Apex Predator</t>
  </si>
  <si>
    <t>Dinosaur, Dragon</t>
  </si>
  <si>
    <t>Realm_Void</t>
  </si>
  <si>
    <t>You may put this on the bottom of your deck and play the top card of your deck buried in this Slot.</t>
  </si>
  <si>
    <t>Dimensional Shifter</t>
  </si>
  <si>
    <t>Swap the positions of two Void Units on the Field.</t>
  </si>
  <si>
    <t>Fearless Cub</t>
  </si>
  <si>
    <t>Raptor Hatchling</t>
  </si>
  <si>
    <t>Whenever a friendly Dinosaur is played adjacently, gain +2 Power and Fear.</t>
  </si>
  <si>
    <t>Prestine Palace Warden</t>
  </si>
  <si>
    <t>Taunt.</t>
  </si>
  <si>
    <t>Ally of Angel: Glimpse twice and gain +2 Power.</t>
  </si>
  <si>
    <t>Starshatter Sorcerer</t>
  </si>
  <si>
    <t>Realm_Divine Realm_Void</t>
  </si>
  <si>
    <t>Skulloath Nomad</t>
  </si>
  <si>
    <t>Realm_Elemental Realm_Void</t>
  </si>
  <si>
    <t>Sapphire Singularity</t>
  </si>
  <si>
    <t>Construct, Spirit</t>
  </si>
  <si>
    <t>Unleash &lt;E&gt;&lt;D&gt;&lt;M&gt;&lt;N&gt;&lt;V&gt;: Move all adjacent Units to their owners' Hands.</t>
  </si>
  <si>
    <t>Invasive Ninja</t>
  </si>
  <si>
    <t>Crystallize: If you have a buried Crystal, XXX.</t>
  </si>
  <si>
    <t>Ally of Rarity</t>
  </si>
  <si>
    <t>Ally of Cost</t>
  </si>
  <si>
    <t>Ally of Power</t>
  </si>
  <si>
    <t>Glimpse once, then Crystallize the top Card of your Deck.</t>
  </si>
  <si>
    <t>If this ascended, gain "At the start of your Turn, deploy the top Construct of your Deck."</t>
  </si>
  <si>
    <t>Miracle: Take an additional Turn.</t>
  </si>
  <si>
    <t xml:space="preserve">Miracle: Distribute three </t>
  </si>
  <si>
    <t>Vigilant Falcon</t>
  </si>
  <si>
    <t>Realm_Mortal</t>
  </si>
  <si>
    <t>Animal, Hunter</t>
  </si>
  <si>
    <t>Deploy: If you are Leading in Lanes, Glimpse thrice.</t>
  </si>
  <si>
    <t>Augur of Ascension</t>
  </si>
  <si>
    <t>Realm_Mortal Realm_Void</t>
  </si>
  <si>
    <t>In the depths of her longing, she becomes an offering to the night.</t>
  </si>
  <si>
    <t>150 / 229</t>
  </si>
  <si>
    <t>Crystallize: You may ascend on any friendly Unit until the end of your Turn.</t>
  </si>
  <si>
    <t>Deploy: Shuffle this into your Deck. Move the top Card of your Deck into this Slot and copy its Ability. Then bury it.</t>
  </si>
  <si>
    <t>Deploy: If you have a buried Crystal, XXX</t>
  </si>
  <si>
    <t>If your Opponent conquers this Lane, deploy the top Dragon of your Deck adjacently.</t>
  </si>
  <si>
    <t>Ambush: Your Opponent conquers this Lane. Unearth: Deploy the top Dragon of your Deck adjacently.</t>
  </si>
  <si>
    <t>Crystallize: The next Common Unit you play gains +2 Power and Taunt.</t>
  </si>
  <si>
    <t>Crystallize: The next Unit you play gains +2 Power.</t>
  </si>
  <si>
    <t>Bodyguard-Type-Beat</t>
  </si>
  <si>
    <t>Deploy: Draw the top Rare Unit of your Deck.</t>
  </si>
  <si>
    <t>Deploy: Deploy the top Unit of your Deck with 1-Power adjacently.</t>
  </si>
  <si>
    <t>Assassin</t>
  </si>
  <si>
    <t>Ambush: An enemy Rare Unit is deployed in this Lane. Unearth: Bury an enemy Rare Unit in this Lane.</t>
  </si>
  <si>
    <t>Miracle (If you drew this Card this Turn, you may reveal it. It gains an additional effect this turn.): Deploy: Take an additional Turn.</t>
  </si>
  <si>
    <t>Miracle: Deploy: Three Units in this Lane gain +1 Power.</t>
  </si>
  <si>
    <t>Deploy: Your Opponent deploys the top Unit of their Deck.</t>
  </si>
  <si>
    <t>Exhausted: You may move an adjacent Unit.</t>
  </si>
  <si>
    <t>Exhausted: Draw a Card.</t>
  </si>
  <si>
    <t>Exhausted + Crystalborn ist mega</t>
  </si>
  <si>
    <t>At the end of your Turn, an adjacent Unit gains +1 Power.</t>
  </si>
  <si>
    <t>Annihilator goes brrr</t>
  </si>
  <si>
    <t>At the end of your Turn, your Opponent either discards a Card, buries one of their Crystals or buries one of their Unit.</t>
  </si>
  <si>
    <t>At the end of your Turn, glimpse once.</t>
  </si>
  <si>
    <t>At the end of your Turn, you may put this at the bottom of your Deck. If you do, deploy the top Hunter of your Deck in this Slot.</t>
  </si>
  <si>
    <t>At the end of your Turn, you may unearth an adjacent buried Unit.</t>
  </si>
  <si>
    <t>At the end of your Turn, if you're Trailing in Cards, draw a Card.</t>
  </si>
  <si>
    <t>At the end of your Turn, if you're Trailing in Lanes, draw a Card.</t>
  </si>
  <si>
    <t>At the end of your Turn, bury a Crystal or put a Card from your Hand at the bottom of your Deck.</t>
  </si>
  <si>
    <t>At the end of your Turn, you may bury this to unearth an adjacent Unit.</t>
  </si>
  <si>
    <t>At the end of your Turn, you may bury this to bury an adjacent enemy Unit.</t>
  </si>
  <si>
    <t>At the end of your Turn, draw the top Unit of your Deck with 1-Power.</t>
  </si>
  <si>
    <t>If this ascended, gain "At the end of your Turn, deploy the top Construct of your Deck."</t>
  </si>
  <si>
    <t>Corrupt &lt;Player&gt; = &lt;Player&gt; eihter puts a Card from their Hand on the bottom of their Deck, buries one of their Crystals or buries one of their Units.</t>
  </si>
  <si>
    <t>If you're trailing in Crystals,</t>
  </si>
  <si>
    <t>If you're trailing in Units,</t>
  </si>
  <si>
    <t xml:space="preserve">If you're trailing in Cards, </t>
  </si>
  <si>
    <t xml:space="preserve">If you're trailing in Lanes, </t>
  </si>
  <si>
    <t>Deploy: Crystallize an adjacent friendly Unit.</t>
  </si>
  <si>
    <t xml:space="preserve">Crystalborn. Deploy: Choose one: - </t>
  </si>
  <si>
    <t>Channel: Pitch this to ...</t>
  </si>
  <si>
    <t>Armory Token = Start of Turn: Gain +1 Power.</t>
  </si>
  <si>
    <t>Channel: A Unit gains +2 Power.</t>
  </si>
  <si>
    <t>Crystallize and Deploy: A Unit gains +1 Power.</t>
  </si>
  <si>
    <t>winter white typ</t>
  </si>
  <si>
    <t>Deploy: Copy the 'Crystallize' Ability of each enemy Crystal.</t>
  </si>
  <si>
    <t>Crystallize: Unleash &lt;D&gt;&lt;D&gt;&lt;D&gt;&lt;D&gt;: Bury a Unit.</t>
  </si>
  <si>
    <t>Excercising Excorcist</t>
  </si>
  <si>
    <t>Deploy: Put an enemy Crystal beneath its owner's Deck.</t>
  </si>
  <si>
    <t>Whenever this gains Power, draw a Card.</t>
  </si>
  <si>
    <t>Sylvan Safekeeper</t>
  </si>
  <si>
    <t>Divine Mortal Void</t>
  </si>
  <si>
    <t>God</t>
  </si>
  <si>
    <t>Diplodocus mit Stadt auf dem Rücken</t>
  </si>
  <si>
    <t>Legion Veteran</t>
  </si>
  <si>
    <t>Ally of Human: This and the Ally gain +1 Power.</t>
  </si>
  <si>
    <t>Samsara</t>
  </si>
  <si>
    <t>Deploy: Bury any number of friendly Void Crystals. For each of them, gain their Power.</t>
  </si>
  <si>
    <t>V, V, V, ?, ?, ?, ?</t>
  </si>
  <si>
    <t>Whispers from the Trees</t>
  </si>
  <si>
    <t>Whenever an enemy Unit is deployed adjacently, your Opponent buries one of their Crystals. Deploy: Gain Taunt.</t>
  </si>
  <si>
    <t>Archon of Silence</t>
  </si>
  <si>
    <t>Lacrimae Messenger</t>
  </si>
  <si>
    <t>Deploy: Unearth a friendly and an enemy Unit. If you do, both Players draw a Card.</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</si>
</sst>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0.00\ [$€-1]"/>
  </numFmts>
  <fonts count="51">
    <font>
      <sz val="11.0"/>
      <color theme="1"/>
      <name val="Calibri"/>
      <scheme val="minor"/>
    </font>
    <font>
      <b/>
      <sz val="11.0"/>
      <color rgb="FFFFFFFF"/>
      <name val="Calibri"/>
    </font>
    <font>
      <sz val="11.0"/>
      <color rgb="FFFFFFFF"/>
      <name val="Calibri"/>
    </font>
    <font>
      <i/>
      <sz val="11.0"/>
      <color rgb="FFFFFFFF"/>
      <name val="Calibri"/>
    </font>
    <font>
      <b/>
      <sz val="11.0"/>
      <color theme="1"/>
      <name val="Calibri"/>
    </font>
    <font>
      <sz val="11.0"/>
      <color theme="1"/>
      <name val="Calibri"/>
    </font>
    <font>
      <i/>
      <sz val="11.0"/>
      <color theme="1"/>
      <name val="Calibri"/>
    </font>
    <font>
      <sz val="11.0"/>
      <color rgb="FFEBECEF"/>
      <name val="&quot;DM Sans&quot;"/>
    </font>
    <font>
      <u/>
      <color rgb="FF0563C1"/>
    </font>
    <font>
      <u/>
      <color rgb="FF0000FF"/>
    </font>
    <font>
      <color theme="1"/>
      <name val="Calibri"/>
      <scheme val="minor"/>
    </font>
    <font>
      <i/>
      <color theme="1"/>
      <name val="Calibri"/>
      <scheme val="minor"/>
    </font>
    <font>
      <sz val="11.0"/>
      <color rgb="FF000000"/>
      <name val="Calibri"/>
    </font>
    <font>
      <i/>
      <sz val="11.0"/>
      <color rgb="FF000000"/>
      <name val="Calibri"/>
    </font>
    <font>
      <sz val="11.0"/>
      <color rgb="FFEBECEF"/>
      <name val="DM Sans"/>
    </font>
    <font>
      <u/>
      <sz val="11.0"/>
      <color rgb="FF0563C1"/>
      <name val="Calibri"/>
    </font>
    <font>
      <sz val="11.0"/>
      <color rgb="FF000000"/>
      <name val="Docs-Calibri"/>
    </font>
    <font>
      <color rgb="FF000000"/>
      <name val="Calibri"/>
      <scheme val="minor"/>
    </font>
    <font>
      <u/>
      <sz val="11.0"/>
      <color theme="4"/>
      <name val="&quot;DM Sans&quot;"/>
    </font>
    <font>
      <i/>
      <sz val="11.0"/>
      <color rgb="FF0F0F0F"/>
      <name val="Calibri"/>
      <scheme val="minor"/>
    </font>
    <font>
      <u/>
      <sz val="11.0"/>
      <color rgb="FF0000FF"/>
      <name val="Calibri"/>
    </font>
    <font>
      <i/>
      <sz val="11.0"/>
      <color rgb="FF0F0F0F"/>
      <name val="Calibri"/>
    </font>
    <font>
      <i/>
      <sz val="11.0"/>
      <color theme="1"/>
      <name val="Calibri"/>
      <scheme val="minor"/>
    </font>
    <font>
      <color rgb="FFFFFFFF"/>
      <name val="Calibri"/>
      <scheme val="minor"/>
    </font>
    <font>
      <u/>
      <color rgb="FF0000FF"/>
    </font>
    <font>
      <sz val="11.0"/>
      <color rgb="FF1F1F1F"/>
      <name val="Calibri"/>
      <scheme val="minor"/>
    </font>
    <font>
      <sz val="10.0"/>
      <color theme="1"/>
      <name val="&quot;gg sans&quot;"/>
    </font>
    <font>
      <b/>
      <color rgb="FFFFFFFF"/>
      <name val="Calibri"/>
      <scheme val="minor"/>
    </font>
    <font>
      <b/>
      <color theme="1"/>
      <name val="Calibri"/>
      <scheme val="minor"/>
    </font>
    <font>
      <sz val="9.0"/>
      <color rgb="FF000000"/>
      <name val="&quot;Google Sans Mono&quot;"/>
    </font>
    <font>
      <b/>
      <sz val="11.0"/>
      <color rgb="FF444444"/>
      <name val="Calibri"/>
    </font>
    <font>
      <b/>
      <color rgb="FFFF0000"/>
      <name val="Calibri"/>
      <scheme val="minor"/>
    </font>
    <font>
      <i/>
      <sz val="11.0"/>
      <color rgb="FF444444"/>
      <name val="Calibri"/>
    </font>
    <font>
      <b/>
      <i/>
      <sz val="11.0"/>
      <color rgb="FF444444"/>
      <name val="Calibri"/>
    </font>
    <font>
      <b/>
      <i/>
      <color theme="1"/>
      <name val="Calibri"/>
      <scheme val="minor"/>
    </font>
    <font>
      <sz val="11.0"/>
      <color rgb="FF444444"/>
      <name val="Calibri"/>
    </font>
    <font>
      <i/>
      <color rgb="FFFFFFFF"/>
      <name val="Calibri"/>
      <scheme val="minor"/>
    </font>
    <font>
      <b/>
      <sz val="9.0"/>
      <color rgb="FF000000"/>
      <name val="&quot;Google Sans Mono&quot;"/>
    </font>
    <font>
      <b/>
      <sz val="11.0"/>
      <color rgb="FF000000"/>
      <name val="Calibri"/>
      <scheme val="minor"/>
    </font>
    <font>
      <b/>
      <i/>
      <sz val="11.0"/>
      <color rgb="FFCCCCCC"/>
      <name val="Calibri"/>
    </font>
    <font>
      <b/>
      <sz val="11.0"/>
      <color rgb="FFCCCCCC"/>
      <name val="Calibri"/>
    </font>
    <font>
      <i/>
      <color rgb="FFCCCCCC"/>
      <name val="Calibri"/>
      <scheme val="minor"/>
    </font>
    <font>
      <color rgb="FFCCCCCC"/>
      <name val="Calibri"/>
      <scheme val="minor"/>
    </font>
    <font>
      <b/>
      <i/>
      <sz val="11.0"/>
      <color rgb="FFFFFFFF"/>
      <name val="Calibri"/>
    </font>
    <font>
      <b/>
      <sz val="14.0"/>
      <color theme="1"/>
      <name val="Calibri"/>
      <scheme val="minor"/>
    </font>
    <font>
      <i/>
      <color rgb="FFB7B7B7"/>
      <name val="Calibri"/>
      <scheme val="minor"/>
    </font>
    <font>
      <b/>
      <i/>
      <color rgb="FFB7B7B7"/>
      <name val="Calibri"/>
      <scheme val="minor"/>
    </font>
    <font>
      <i/>
      <sz val="11.0"/>
      <color rgb="FFB7B7B7"/>
      <name val="Calibri"/>
    </font>
    <font>
      <b/>
      <i/>
      <sz val="11.0"/>
      <color theme="1"/>
      <name val="Calibri"/>
    </font>
    <font>
      <b/>
      <i/>
      <sz val="11.0"/>
      <color rgb="FF000000"/>
      <name val="Calibri"/>
    </font>
    <font>
      <color rgb="FF000000"/>
      <name val="Docs-Calibri"/>
    </font>
  </fonts>
  <fills count="29">
    <fill>
      <patternFill patternType="none"/>
    </fill>
    <fill>
      <patternFill patternType="lightGray"/>
    </fill>
    <fill>
      <patternFill patternType="solid">
        <fgColor rgb="FF4A86E8"/>
        <bgColor rgb="FF4A86E8"/>
      </patternFill>
    </fill>
    <fill>
      <patternFill patternType="solid">
        <fgColor rgb="FFFFE598"/>
        <bgColor rgb="FFFFE598"/>
      </patternFill>
    </fill>
    <fill>
      <patternFill patternType="solid">
        <fgColor rgb="FF0D0E12"/>
        <bgColor rgb="FF0D0E12"/>
      </patternFill>
    </fill>
    <fill>
      <patternFill patternType="solid">
        <fgColor rgb="FFFFE599"/>
        <bgColor rgb="FFFFE599"/>
      </patternFill>
    </fill>
    <fill>
      <patternFill patternType="solid">
        <fgColor rgb="FFB7E1CD"/>
        <bgColor rgb="FFB7E1CD"/>
      </patternFill>
    </fill>
    <fill>
      <patternFill patternType="solid">
        <fgColor theme="9"/>
        <bgColor theme="9"/>
      </patternFill>
    </fill>
    <fill>
      <patternFill patternType="solid">
        <fgColor rgb="FFFFFF00"/>
        <bgColor rgb="FFFFFF00"/>
      </patternFill>
    </fill>
    <fill>
      <patternFill patternType="solid">
        <fgColor rgb="FFFFFFFF"/>
        <bgColor rgb="FFFFFFFF"/>
      </patternFill>
    </fill>
    <fill>
      <patternFill patternType="solid">
        <fgColor rgb="FFFFD966"/>
        <bgColor rgb="FFFFD966"/>
      </patternFill>
    </fill>
    <fill>
      <patternFill patternType="solid">
        <fgColor rgb="FFED7D31"/>
        <bgColor rgb="FFED7D31"/>
      </patternFill>
    </fill>
    <fill>
      <patternFill patternType="solid">
        <fgColor theme="5"/>
        <bgColor theme="5"/>
      </patternFill>
    </fill>
    <fill>
      <patternFill patternType="solid">
        <fgColor rgb="FFFF0000"/>
        <bgColor rgb="FFFF0000"/>
      </patternFill>
    </fill>
    <fill>
      <patternFill patternType="solid">
        <fgColor rgb="FFE06666"/>
        <bgColor rgb="FFE06666"/>
      </patternFill>
    </fill>
    <fill>
      <patternFill patternType="solid">
        <fgColor rgb="FFE7E6E6"/>
        <bgColor rgb="FFE7E6E6"/>
      </patternFill>
    </fill>
    <fill>
      <patternFill patternType="solid">
        <fgColor rgb="FF70AD47"/>
        <bgColor rgb="FF70AD47"/>
      </patternFill>
    </fill>
    <fill>
      <patternFill patternType="solid">
        <fgColor rgb="FF8496B0"/>
        <bgColor rgb="FF8496B0"/>
      </patternFill>
    </fill>
    <fill>
      <patternFill patternType="solid">
        <fgColor rgb="FF93C47D"/>
        <bgColor rgb="FF93C47D"/>
      </patternFill>
    </fill>
    <fill>
      <patternFill patternType="solid">
        <fgColor rgb="FF351C75"/>
        <bgColor rgb="FF351C75"/>
      </patternFill>
    </fill>
    <fill>
      <patternFill patternType="solid">
        <fgColor rgb="FF3C78D8"/>
        <bgColor rgb="FF3C78D8"/>
      </patternFill>
    </fill>
    <fill>
      <patternFill patternType="solid">
        <fgColor rgb="FFF1C232"/>
        <bgColor rgb="FFF1C232"/>
      </patternFill>
    </fill>
    <fill>
      <patternFill patternType="solid">
        <fgColor rgb="FFA4C2F4"/>
        <bgColor rgb="FFA4C2F4"/>
      </patternFill>
    </fill>
    <fill>
      <patternFill patternType="solid">
        <fgColor rgb="FFD9D9D9"/>
        <bgColor rgb="FFD9D9D9"/>
      </patternFill>
    </fill>
    <fill>
      <patternFill patternType="solid">
        <fgColor rgb="FFCCCCCC"/>
        <bgColor rgb="FFCCCCCC"/>
      </patternFill>
    </fill>
    <fill>
      <patternFill patternType="solid">
        <fgColor rgb="FF4472C4"/>
        <bgColor rgb="FF4472C4"/>
      </patternFill>
    </fill>
    <fill>
      <patternFill patternType="solid">
        <fgColor theme="4"/>
        <bgColor theme="4"/>
      </patternFill>
    </fill>
    <fill>
      <patternFill patternType="solid">
        <fgColor rgb="FFC55A11"/>
        <bgColor rgb="FFC55A11"/>
      </patternFill>
    </fill>
    <fill>
      <patternFill patternType="solid">
        <fgColor rgb="FFCC0000"/>
        <bgColor rgb="FFCC0000"/>
      </patternFill>
    </fill>
  </fills>
  <borders count="32">
    <border/>
    <border>
      <left/>
      <right/>
      <top/>
      <bottom/>
    </border>
    <border>
      <left/>
      <right/>
      <bottom/>
    </border>
    <border>
      <left style="thick">
        <color rgb="FF000000"/>
      </left>
      <right style="thick">
        <color rgb="FF000000"/>
      </right>
      <top style="thick">
        <color rgb="FF000000"/>
      </top>
    </border>
    <border>
      <top style="thick">
        <color rgb="FF000000"/>
      </top>
    </border>
    <border>
      <left style="thin">
        <color rgb="FF000000"/>
      </left>
      <top style="thick">
        <color rgb="FF000000"/>
      </top>
    </border>
    <border>
      <right style="thick">
        <color rgb="FF000000"/>
      </right>
      <top style="thick">
        <color rgb="FF000000"/>
      </top>
    </border>
    <border>
      <left style="thin">
        <color rgb="FF000000"/>
      </left>
      <right style="thin">
        <color rgb="FF000000"/>
      </right>
      <top style="thin">
        <color rgb="FF000000"/>
      </top>
      <bottom style="thin">
        <color rgb="FF000000"/>
      </bottom>
    </border>
    <border>
      <left style="thick">
        <color rgb="FF000000"/>
      </left>
      <right style="thick">
        <color rgb="FF000000"/>
      </right>
    </border>
    <border>
      <left style="thin">
        <color rgb="FF000000"/>
      </left>
    </border>
    <border>
      <right style="thick">
        <color rgb="FF000000"/>
      </right>
    </border>
    <border>
      <left style="thick">
        <color rgb="FF000000"/>
      </left>
      <right style="thick">
        <color rgb="FF000000"/>
      </right>
      <bottom style="thick">
        <color rgb="FF000000"/>
      </bottom>
    </border>
    <border>
      <left style="thick">
        <color rgb="FF000000"/>
      </left>
    </border>
    <border>
      <left style="thin">
        <color rgb="FF000000"/>
      </left>
      <bottom style="thin">
        <color rgb="FF000000"/>
      </bottom>
    </border>
    <border>
      <bottom style="thin">
        <color rgb="FF000000"/>
      </bottom>
    </border>
    <border>
      <right style="thick">
        <color rgb="FF000000"/>
      </right>
      <bottom style="thin">
        <color rgb="FF000000"/>
      </bottom>
    </border>
    <border>
      <left style="thin">
        <color rgb="FF000000"/>
      </left>
      <top style="thin">
        <color rgb="FF000000"/>
      </top>
    </border>
    <border>
      <top style="thin">
        <color rgb="FF000000"/>
      </top>
    </border>
    <border>
      <right style="thick">
        <color rgb="FF000000"/>
      </right>
      <top style="thin">
        <color rgb="FF000000"/>
      </top>
    </border>
    <border>
      <left style="thin">
        <color rgb="FF000000"/>
      </left>
      <top style="thin">
        <color rgb="FF000000"/>
      </top>
      <bottom style="thin">
        <color rgb="FF000000"/>
      </bottom>
    </border>
    <border>
      <top style="thin">
        <color rgb="FF000000"/>
      </top>
      <bottom style="thin">
        <color rgb="FF000000"/>
      </bottom>
    </border>
    <border>
      <left style="thick">
        <color rgb="FF000000"/>
      </left>
      <bottom style="thick">
        <color rgb="FF000000"/>
      </bottom>
    </border>
    <border>
      <left style="thin">
        <color rgb="FF000000"/>
      </left>
      <bottom style="thick">
        <color rgb="FF000000"/>
      </bottom>
    </border>
    <border>
      <bottom style="thick">
        <color rgb="FF000000"/>
      </bottom>
    </border>
    <border>
      <right style="thick">
        <color rgb="FF000000"/>
      </right>
      <bottom style="thick">
        <color rgb="FF000000"/>
      </bottom>
    </border>
    <border>
      <left style="thick">
        <color rgb="FF000000"/>
      </left>
      <top style="thick">
        <color rgb="FF000000"/>
      </top>
    </border>
    <border>
      <left style="thin">
        <color rgb="FF000000"/>
      </left>
      <right style="thin">
        <color rgb="FF000000"/>
      </right>
      <top style="thick">
        <color rgb="FF000000"/>
      </top>
    </border>
    <border>
      <left style="thin">
        <color rgb="FF000000"/>
      </left>
      <right style="thin">
        <color rgb="FF000000"/>
      </right>
    </border>
    <border>
      <left style="thin">
        <color rgb="FF000000"/>
      </left>
      <right style="thin">
        <color rgb="FF000000"/>
      </right>
      <bottom style="thin">
        <color rgb="FF000000"/>
      </bottom>
    </border>
    <border>
      <left style="thin">
        <color rgb="FF000000"/>
      </left>
      <right style="thin">
        <color rgb="FF000000"/>
      </right>
      <top style="thin">
        <color rgb="FF000000"/>
      </top>
    </border>
    <border>
      <left style="thin">
        <color rgb="FF000000"/>
      </left>
      <right style="thin">
        <color rgb="FF000000"/>
      </right>
      <bottom style="thick">
        <color rgb="FF000000"/>
      </bottom>
    </border>
    <border>
      <left style="thick">
        <color rgb="FF000000"/>
      </left>
      <right style="thick">
        <color rgb="FF000000"/>
      </right>
      <top style="thick">
        <color rgb="FF000000"/>
      </top>
      <bottom style="thick">
        <color rgb="FF000000"/>
      </bottom>
    </border>
  </borders>
  <cellStyleXfs count="1">
    <xf borderId="0" fillId="0" fontId="0" numFmtId="0" applyAlignment="1" applyFont="1"/>
  </cellStyleXfs>
  <cellXfs count="242">
    <xf borderId="0" fillId="0" fontId="0" numFmtId="0" xfId="0" applyAlignment="1" applyFont="1">
      <alignment readingOrder="0" shrinkToFit="0" vertical="bottom" wrapText="0"/>
    </xf>
    <xf borderId="0" fillId="2" fontId="1" numFmtId="0" xfId="0" applyAlignment="1" applyFill="1" applyFont="1">
      <alignment horizontal="left" readingOrder="0"/>
    </xf>
    <xf borderId="0" fillId="2" fontId="2" numFmtId="0" xfId="0" applyAlignment="1" applyFont="1">
      <alignment shrinkToFit="0" wrapText="1"/>
    </xf>
    <xf borderId="0" fillId="2" fontId="2" numFmtId="0" xfId="0" applyAlignment="1" applyFont="1">
      <alignment horizontal="center" readingOrder="0" shrinkToFit="0" wrapText="1"/>
    </xf>
    <xf borderId="0" fillId="2" fontId="2" numFmtId="0" xfId="0" applyAlignment="1" applyFont="1">
      <alignment horizontal="center"/>
    </xf>
    <xf borderId="0" fillId="2" fontId="3" numFmtId="0" xfId="0" applyAlignment="1" applyFont="1">
      <alignment shrinkToFit="0" wrapText="1"/>
    </xf>
    <xf borderId="0" fillId="2" fontId="4" numFmtId="0" xfId="0" applyAlignment="1" applyFont="1">
      <alignment horizontal="left" readingOrder="0"/>
    </xf>
    <xf borderId="0" fillId="0" fontId="5" numFmtId="0" xfId="0" applyAlignment="1" applyFont="1">
      <alignment horizontal="left" readingOrder="0" vertical="center"/>
    </xf>
    <xf borderId="0" fillId="3" fontId="5" numFmtId="0" xfId="0" applyAlignment="1" applyFill="1" applyFont="1">
      <alignment horizontal="left" readingOrder="0" vertical="center"/>
    </xf>
    <xf borderId="0" fillId="0" fontId="5" numFmtId="0" xfId="0" applyAlignment="1" applyFont="1">
      <alignment horizontal="center" readingOrder="0" vertical="center"/>
    </xf>
    <xf borderId="0" fillId="0" fontId="6" numFmtId="0" xfId="0" applyAlignment="1" applyFont="1">
      <alignment horizontal="left" readingOrder="0" vertical="center"/>
    </xf>
    <xf borderId="0" fillId="4" fontId="7" numFmtId="0" xfId="0" applyAlignment="1" applyFill="1" applyFont="1">
      <alignment readingOrder="0"/>
    </xf>
    <xf borderId="0" fillId="0" fontId="8" numFmtId="0" xfId="0" applyAlignment="1" applyFont="1">
      <alignment readingOrder="0"/>
    </xf>
    <xf borderId="0" fillId="0" fontId="9" numFmtId="0" xfId="0" applyAlignment="1" applyFont="1">
      <alignment readingOrder="0"/>
    </xf>
    <xf borderId="0" fillId="3" fontId="10" numFmtId="0" xfId="0" applyAlignment="1" applyFont="1">
      <alignment readingOrder="0"/>
    </xf>
    <xf borderId="0" fillId="0" fontId="10" numFmtId="0" xfId="0" applyAlignment="1" applyFont="1">
      <alignment horizontal="center" readingOrder="0"/>
    </xf>
    <xf borderId="0" fillId="0" fontId="10" numFmtId="0" xfId="0" applyAlignment="1" applyFont="1">
      <alignment readingOrder="0"/>
    </xf>
    <xf borderId="0" fillId="0" fontId="11" numFmtId="0" xfId="0" applyAlignment="1" applyFont="1">
      <alignment readingOrder="0"/>
    </xf>
    <xf borderId="0" fillId="0" fontId="12" numFmtId="0" xfId="0" applyAlignment="1" applyFont="1">
      <alignment horizontal="left" readingOrder="0"/>
    </xf>
    <xf borderId="0" fillId="0" fontId="13" numFmtId="0" xfId="0" applyAlignment="1" applyFont="1">
      <alignment horizontal="left" readingOrder="0"/>
    </xf>
    <xf borderId="0" fillId="0" fontId="10" numFmtId="0" xfId="0" applyFont="1"/>
    <xf borderId="0" fillId="0" fontId="5" numFmtId="0" xfId="0" applyAlignment="1" applyFont="1">
      <alignment horizontal="center" vertical="center"/>
    </xf>
    <xf borderId="0" fillId="0" fontId="5" numFmtId="0" xfId="0" applyAlignment="1" applyFont="1">
      <alignment horizontal="left" readingOrder="0"/>
    </xf>
    <xf borderId="0" fillId="5" fontId="5" numFmtId="0" xfId="0" applyAlignment="1" applyFill="1" applyFont="1">
      <alignment horizontal="left" readingOrder="0" vertical="center"/>
    </xf>
    <xf borderId="0" fillId="0" fontId="5" numFmtId="0" xfId="0" applyAlignment="1" applyFont="1">
      <alignment horizontal="left" vertical="center"/>
    </xf>
    <xf borderId="1" fillId="0" fontId="5" numFmtId="0" xfId="0" applyAlignment="1" applyBorder="1" applyFont="1">
      <alignment horizontal="left" readingOrder="0" vertical="center"/>
    </xf>
    <xf borderId="0" fillId="4" fontId="14" numFmtId="0" xfId="0" applyAlignment="1" applyFont="1">
      <alignment vertical="bottom"/>
    </xf>
    <xf borderId="0" fillId="6" fontId="15" numFmtId="0" xfId="0" applyAlignment="1" applyFill="1" applyFont="1">
      <alignment vertical="bottom"/>
    </xf>
    <xf borderId="0" fillId="0" fontId="5" numFmtId="0" xfId="0" applyAlignment="1" applyFont="1">
      <alignment vertical="bottom"/>
    </xf>
    <xf borderId="0" fillId="0" fontId="5" numFmtId="0" xfId="0" applyAlignment="1" applyFont="1">
      <alignment readingOrder="0" vertical="bottom"/>
    </xf>
    <xf borderId="0" fillId="7" fontId="10" numFmtId="0" xfId="0" applyAlignment="1" applyFill="1" applyFont="1">
      <alignment readingOrder="0"/>
    </xf>
    <xf borderId="0" fillId="8" fontId="10" numFmtId="0" xfId="0" applyAlignment="1" applyFill="1" applyFont="1">
      <alignment readingOrder="0"/>
    </xf>
    <xf borderId="0" fillId="8" fontId="5" numFmtId="0" xfId="0" applyAlignment="1" applyFont="1">
      <alignment horizontal="left" readingOrder="0" vertical="center"/>
    </xf>
    <xf borderId="0" fillId="0" fontId="11" numFmtId="0" xfId="0" applyFont="1"/>
    <xf borderId="0" fillId="9" fontId="16" numFmtId="0" xfId="0" applyAlignment="1" applyFill="1" applyFont="1">
      <alignment horizontal="left" readingOrder="0"/>
    </xf>
    <xf borderId="0" fillId="0" fontId="10" numFmtId="0" xfId="0" applyAlignment="1" applyFont="1">
      <alignment horizontal="center"/>
    </xf>
    <xf borderId="0" fillId="10" fontId="17" numFmtId="0" xfId="0" applyAlignment="1" applyFill="1" applyFont="1">
      <alignment readingOrder="0"/>
    </xf>
    <xf borderId="0" fillId="8" fontId="10" numFmtId="0" xfId="0" applyAlignment="1" applyFont="1">
      <alignment horizontal="center" readingOrder="0"/>
    </xf>
    <xf borderId="0" fillId="8" fontId="11" numFmtId="0" xfId="0" applyAlignment="1" applyFont="1">
      <alignment readingOrder="0"/>
    </xf>
    <xf borderId="0" fillId="8" fontId="5" numFmtId="0" xfId="0" applyAlignment="1" applyFont="1">
      <alignment horizontal="center" readingOrder="0" vertical="center"/>
    </xf>
    <xf borderId="1" fillId="0" fontId="10" numFmtId="0" xfId="0" applyAlignment="1" applyBorder="1" applyFont="1">
      <alignment readingOrder="0"/>
    </xf>
    <xf borderId="0" fillId="4" fontId="18" numFmtId="0" xfId="0" applyAlignment="1" applyFont="1">
      <alignment readingOrder="0"/>
    </xf>
    <xf borderId="1" fillId="11" fontId="10" numFmtId="0" xfId="0" applyAlignment="1" applyBorder="1" applyFill="1" applyFont="1">
      <alignment readingOrder="0"/>
    </xf>
    <xf borderId="0" fillId="11" fontId="5" numFmtId="0" xfId="0" applyAlignment="1" applyFont="1">
      <alignment horizontal="left" readingOrder="0" vertical="center"/>
    </xf>
    <xf borderId="1" fillId="12" fontId="10" numFmtId="0" xfId="0" applyAlignment="1" applyBorder="1" applyFill="1" applyFont="1">
      <alignment readingOrder="0"/>
    </xf>
    <xf borderId="0" fillId="12" fontId="10" numFmtId="0" xfId="0" applyAlignment="1" applyFont="1">
      <alignment readingOrder="0"/>
    </xf>
    <xf borderId="0" fillId="11" fontId="10" numFmtId="0" xfId="0" applyAlignment="1" applyFont="1">
      <alignment readingOrder="0"/>
    </xf>
    <xf borderId="0" fillId="0" fontId="19" numFmtId="0" xfId="0" applyAlignment="1" applyFont="1">
      <alignment horizontal="left" readingOrder="0"/>
    </xf>
    <xf borderId="0" fillId="12" fontId="5" numFmtId="0" xfId="0" applyAlignment="1" applyFont="1">
      <alignment horizontal="left" readingOrder="0" vertical="center"/>
    </xf>
    <xf borderId="0" fillId="0" fontId="6" numFmtId="0" xfId="0" applyAlignment="1" applyFont="1">
      <alignment horizontal="left" readingOrder="0" shrinkToFit="0" vertical="bottom" wrapText="0"/>
    </xf>
    <xf borderId="0" fillId="0" fontId="12" numFmtId="0" xfId="0" applyAlignment="1" applyFont="1">
      <alignment horizontal="center" readingOrder="0" vertical="center"/>
    </xf>
    <xf borderId="0" fillId="0" fontId="5" numFmtId="0" xfId="0" applyFont="1"/>
    <xf borderId="0" fillId="12" fontId="5" numFmtId="0" xfId="0" applyAlignment="1" applyFont="1">
      <alignment readingOrder="0"/>
    </xf>
    <xf borderId="0" fillId="0" fontId="5" numFmtId="0" xfId="0" applyAlignment="1" applyFont="1">
      <alignment horizontal="center" readingOrder="0"/>
    </xf>
    <xf borderId="0" fillId="0" fontId="5" numFmtId="0" xfId="0" applyAlignment="1" applyFont="1">
      <alignment readingOrder="0"/>
    </xf>
    <xf borderId="0" fillId="0" fontId="6" numFmtId="0" xfId="0" applyAlignment="1" applyFont="1">
      <alignment readingOrder="0"/>
    </xf>
    <xf borderId="0" fillId="0" fontId="5" numFmtId="0" xfId="0" applyAlignment="1" applyFont="1">
      <alignment horizontal="center"/>
    </xf>
    <xf borderId="0" fillId="0" fontId="17" numFmtId="0" xfId="0" applyAlignment="1" applyFont="1">
      <alignment readingOrder="0"/>
    </xf>
    <xf borderId="0" fillId="13" fontId="11" numFmtId="0" xfId="0" applyAlignment="1" applyFill="1" applyFont="1">
      <alignment readingOrder="0"/>
    </xf>
    <xf borderId="2" fillId="11" fontId="5" numFmtId="0" xfId="0" applyAlignment="1" applyBorder="1" applyFont="1">
      <alignment horizontal="left" readingOrder="0" vertical="center"/>
    </xf>
    <xf borderId="1" fillId="11" fontId="5" numFmtId="0" xfId="0" applyAlignment="1" applyBorder="1" applyFont="1">
      <alignment horizontal="left" readingOrder="0" vertical="center"/>
    </xf>
    <xf borderId="1" fillId="12" fontId="5" numFmtId="0" xfId="0" applyAlignment="1" applyBorder="1" applyFont="1">
      <alignment horizontal="left" readingOrder="0" vertical="center"/>
    </xf>
    <xf borderId="0" fillId="0" fontId="5" numFmtId="0" xfId="0" applyAlignment="1" applyFont="1">
      <alignment horizontal="left" readingOrder="0" shrinkToFit="0" vertical="center" wrapText="0"/>
    </xf>
    <xf borderId="0" fillId="0" fontId="6" numFmtId="0" xfId="0" applyAlignment="1" applyFont="1">
      <alignment horizontal="left" readingOrder="0" shrinkToFit="0" vertical="center" wrapText="0"/>
    </xf>
    <xf borderId="1" fillId="0" fontId="5" numFmtId="0" xfId="0" applyAlignment="1" applyBorder="1" applyFont="1">
      <alignment readingOrder="0"/>
    </xf>
    <xf borderId="0" fillId="0" fontId="5" numFmtId="0" xfId="0" applyAlignment="1" applyFont="1">
      <alignment horizontal="center" readingOrder="0" vertical="bottom"/>
    </xf>
    <xf borderId="0" fillId="0" fontId="6" numFmtId="0" xfId="0" applyAlignment="1" applyFont="1">
      <alignment readingOrder="0" vertical="bottom"/>
    </xf>
    <xf borderId="0" fillId="0" fontId="5" numFmtId="0" xfId="0" applyAlignment="1" applyFont="1">
      <alignment horizontal="center" vertical="bottom"/>
    </xf>
    <xf borderId="0" fillId="0" fontId="5" numFmtId="0" xfId="0" applyAlignment="1" applyFont="1">
      <alignment readingOrder="0" vertical="center"/>
    </xf>
    <xf borderId="0" fillId="0" fontId="5" numFmtId="0" xfId="0" applyAlignment="1" applyFont="1">
      <alignment vertical="bottom"/>
    </xf>
    <xf borderId="1" fillId="14" fontId="2" numFmtId="0" xfId="0" applyAlignment="1" applyBorder="1" applyFill="1" applyFont="1">
      <alignment vertical="bottom"/>
    </xf>
    <xf borderId="0" fillId="0" fontId="5" numFmtId="0" xfId="0" applyAlignment="1" applyFont="1">
      <alignment horizontal="center" vertical="bottom"/>
    </xf>
    <xf borderId="0" fillId="0" fontId="20" numFmtId="0" xfId="0" applyAlignment="1" applyFont="1">
      <alignment readingOrder="0" vertical="bottom"/>
    </xf>
    <xf borderId="0" fillId="0" fontId="5" numFmtId="0" xfId="0" applyAlignment="1" applyFont="1">
      <alignment horizontal="left" readingOrder="0" shrinkToFit="0" vertical="center" wrapText="1"/>
    </xf>
    <xf borderId="0" fillId="7" fontId="5" numFmtId="0" xfId="0" applyAlignment="1" applyFont="1">
      <alignment horizontal="center" readingOrder="0" vertical="center"/>
    </xf>
    <xf borderId="0" fillId="0" fontId="21" numFmtId="0" xfId="0" applyAlignment="1" applyFont="1">
      <alignment horizontal="left" readingOrder="0"/>
    </xf>
    <xf borderId="1" fillId="15" fontId="10" numFmtId="0" xfId="0" applyAlignment="1" applyBorder="1" applyFill="1" applyFont="1">
      <alignment readingOrder="0"/>
    </xf>
    <xf borderId="0" fillId="8" fontId="10" numFmtId="0" xfId="0" applyFont="1"/>
    <xf borderId="0" fillId="8" fontId="10" numFmtId="164" xfId="0" applyAlignment="1" applyFont="1" applyNumberFormat="1">
      <alignment readingOrder="0"/>
    </xf>
    <xf borderId="0" fillId="15" fontId="10" numFmtId="0" xfId="0" applyAlignment="1" applyFont="1">
      <alignment readingOrder="0"/>
    </xf>
    <xf borderId="0" fillId="0" fontId="5" numFmtId="0" xfId="0" applyAlignment="1" applyFont="1">
      <alignment horizontal="left"/>
    </xf>
    <xf borderId="0" fillId="15" fontId="5" numFmtId="0" xfId="0" applyAlignment="1" applyFont="1">
      <alignment horizontal="left" readingOrder="0" vertical="center"/>
    </xf>
    <xf borderId="0" fillId="14" fontId="5" numFmtId="0" xfId="0" applyAlignment="1" applyFont="1">
      <alignment horizontal="left" readingOrder="0" vertical="center"/>
    </xf>
    <xf borderId="0" fillId="0" fontId="12" numFmtId="0" xfId="0" applyAlignment="1" applyFont="1">
      <alignment horizontal="left" readingOrder="0" vertical="center"/>
    </xf>
    <xf borderId="0" fillId="0" fontId="22" numFmtId="0" xfId="0" applyAlignment="1" applyFont="1">
      <alignment horizontal="left" readingOrder="0" shrinkToFit="0" vertical="center" wrapText="0"/>
    </xf>
    <xf borderId="0" fillId="0" fontId="10" numFmtId="0" xfId="0" applyAlignment="1" applyFont="1">
      <alignment readingOrder="0" vertical="center"/>
    </xf>
    <xf borderId="0" fillId="8" fontId="6" numFmtId="0" xfId="0" applyAlignment="1" applyFont="1">
      <alignment horizontal="left" readingOrder="0" shrinkToFit="0" vertical="center" wrapText="0"/>
    </xf>
    <xf borderId="0" fillId="7" fontId="5" numFmtId="0" xfId="0" applyAlignment="1" applyFont="1">
      <alignment horizontal="left" readingOrder="0" vertical="center"/>
    </xf>
    <xf borderId="0" fillId="2" fontId="5" numFmtId="0" xfId="0" applyAlignment="1" applyFont="1">
      <alignment vertical="bottom"/>
    </xf>
    <xf borderId="0" fillId="16" fontId="5" numFmtId="0" xfId="0" applyAlignment="1" applyFill="1" applyFont="1">
      <alignment horizontal="left" readingOrder="0" vertical="center"/>
    </xf>
    <xf borderId="0" fillId="0" fontId="5" numFmtId="0" xfId="0" applyAlignment="1" applyFont="1">
      <alignment readingOrder="0" shrinkToFit="0" vertical="bottom" wrapText="0"/>
    </xf>
    <xf borderId="0" fillId="16" fontId="10" numFmtId="0" xfId="0" applyAlignment="1" applyFont="1">
      <alignment readingOrder="0"/>
    </xf>
    <xf borderId="0" fillId="0" fontId="23" numFmtId="0" xfId="0" applyAlignment="1" applyFont="1">
      <alignment readingOrder="0"/>
    </xf>
    <xf borderId="0" fillId="0" fontId="24" numFmtId="0" xfId="0" applyAlignment="1" applyFont="1">
      <alignment readingOrder="0"/>
    </xf>
    <xf borderId="0" fillId="0" fontId="10" numFmtId="0" xfId="0" applyAlignment="1" applyFont="1">
      <alignment readingOrder="0"/>
    </xf>
    <xf borderId="0" fillId="0" fontId="22" numFmtId="0" xfId="0" applyAlignment="1" applyFont="1">
      <alignment readingOrder="0"/>
    </xf>
    <xf borderId="0" fillId="9" fontId="12" numFmtId="0" xfId="0" applyAlignment="1" applyFont="1">
      <alignment horizontal="left" readingOrder="0"/>
    </xf>
    <xf borderId="0" fillId="0" fontId="10" numFmtId="0" xfId="0" applyAlignment="1" applyFont="1">
      <alignment horizontal="left" readingOrder="0"/>
    </xf>
    <xf borderId="0" fillId="17" fontId="5" numFmtId="0" xfId="0" applyAlignment="1" applyFill="1" applyFont="1">
      <alignment horizontal="left" readingOrder="0" vertical="center"/>
    </xf>
    <xf borderId="0" fillId="17" fontId="10" numFmtId="0" xfId="0" applyAlignment="1" applyFont="1">
      <alignment readingOrder="0"/>
    </xf>
    <xf borderId="0" fillId="0" fontId="25" numFmtId="0" xfId="0" applyAlignment="1" applyFont="1">
      <alignment readingOrder="0"/>
    </xf>
    <xf borderId="0" fillId="18" fontId="10" numFmtId="0" xfId="0" applyAlignment="1" applyFill="1" applyFont="1">
      <alignment readingOrder="0"/>
    </xf>
    <xf borderId="0" fillId="7" fontId="5" numFmtId="0" xfId="0" applyAlignment="1" applyFont="1">
      <alignment readingOrder="0"/>
    </xf>
    <xf borderId="0" fillId="8" fontId="6" numFmtId="0" xfId="0" applyAlignment="1" applyFont="1">
      <alignment horizontal="left" readingOrder="0" vertical="center"/>
    </xf>
    <xf borderId="0" fillId="3" fontId="5" numFmtId="0" xfId="0" applyAlignment="1" applyFont="1">
      <alignment readingOrder="0" vertical="bottom"/>
    </xf>
    <xf borderId="0" fillId="0" fontId="26" numFmtId="0" xfId="0" applyAlignment="1" applyFont="1">
      <alignment horizontal="left" readingOrder="0"/>
    </xf>
    <xf borderId="0" fillId="19" fontId="2" numFmtId="0" xfId="0" applyAlignment="1" applyFill="1" applyFont="1">
      <alignment vertical="bottom"/>
    </xf>
    <xf borderId="0" fillId="0" fontId="12" numFmtId="0" xfId="0" applyFont="1"/>
    <xf borderId="0" fillId="20" fontId="1" numFmtId="0" xfId="0" applyAlignment="1" applyFill="1" applyFont="1">
      <alignment horizontal="left" readingOrder="0"/>
    </xf>
    <xf borderId="0" fillId="20" fontId="2" numFmtId="0" xfId="0" applyAlignment="1" applyFont="1">
      <alignment shrinkToFit="0" wrapText="1"/>
    </xf>
    <xf borderId="3" fillId="0" fontId="4" numFmtId="0" xfId="0" applyAlignment="1" applyBorder="1" applyFont="1">
      <alignment readingOrder="0" vertical="bottom"/>
    </xf>
    <xf borderId="4" fillId="0" fontId="10" numFmtId="0" xfId="0" applyBorder="1" applyFont="1"/>
    <xf borderId="5" fillId="13" fontId="27" numFmtId="0" xfId="0" applyAlignment="1" applyBorder="1" applyFont="1">
      <alignment readingOrder="0"/>
    </xf>
    <xf borderId="4" fillId="13" fontId="23" numFmtId="0" xfId="0" applyAlignment="1" applyBorder="1" applyFont="1">
      <alignment horizontal="center" readingOrder="0"/>
    </xf>
    <xf borderId="6" fillId="13" fontId="23" numFmtId="0" xfId="0" applyAlignment="1" applyBorder="1" applyFont="1">
      <alignment horizontal="center" readingOrder="0"/>
    </xf>
    <xf borderId="7" fillId="0" fontId="28" numFmtId="0" xfId="0" applyAlignment="1" applyBorder="1" applyFont="1">
      <alignment readingOrder="0"/>
    </xf>
    <xf borderId="8" fillId="0" fontId="28" numFmtId="0" xfId="0" applyBorder="1" applyFont="1"/>
    <xf borderId="9" fillId="0" fontId="28" numFmtId="0" xfId="0" applyAlignment="1" applyBorder="1" applyFont="1">
      <alignment readingOrder="0"/>
    </xf>
    <xf borderId="0" fillId="0" fontId="29" numFmtId="0" xfId="0" applyAlignment="1" applyFont="1">
      <alignment horizontal="left"/>
    </xf>
    <xf borderId="10" fillId="0" fontId="29" numFmtId="0" xfId="0" applyAlignment="1" applyBorder="1" applyFont="1">
      <alignment horizontal="left"/>
    </xf>
    <xf borderId="9" fillId="0" fontId="5" numFmtId="0" xfId="0" applyAlignment="1" applyBorder="1" applyFont="1">
      <alignment readingOrder="0" vertical="bottom"/>
    </xf>
    <xf borderId="8" fillId="0" fontId="30" numFmtId="0" xfId="0" applyAlignment="1" applyBorder="1" applyFont="1">
      <alignment readingOrder="0"/>
    </xf>
    <xf borderId="9" fillId="0" fontId="10" numFmtId="0" xfId="0" applyAlignment="1" applyBorder="1" applyFont="1">
      <alignment readingOrder="0"/>
    </xf>
    <xf borderId="8" fillId="8" fontId="31" numFmtId="0" xfId="0" applyAlignment="1" applyBorder="1" applyFont="1">
      <alignment horizontal="left" readingOrder="0"/>
    </xf>
    <xf borderId="8" fillId="0" fontId="28" numFmtId="0" xfId="0" applyAlignment="1" applyBorder="1" applyFont="1">
      <alignment readingOrder="0"/>
    </xf>
    <xf borderId="9" fillId="0" fontId="30" numFmtId="0" xfId="0" applyAlignment="1" applyBorder="1" applyFont="1">
      <alignment readingOrder="0"/>
    </xf>
    <xf borderId="11" fillId="8" fontId="31" numFmtId="0" xfId="0" applyAlignment="1" applyBorder="1" applyFont="1">
      <alignment horizontal="left" readingOrder="0"/>
    </xf>
    <xf borderId="12" fillId="0" fontId="10" numFmtId="0" xfId="0" applyBorder="1" applyFont="1"/>
    <xf borderId="13" fillId="2" fontId="1" numFmtId="0" xfId="0" applyAlignment="1" applyBorder="1" applyFont="1">
      <alignment readingOrder="0"/>
    </xf>
    <xf borderId="14" fillId="0" fontId="29" numFmtId="0" xfId="0" applyAlignment="1" applyBorder="1" applyFont="1">
      <alignment horizontal="left"/>
    </xf>
    <xf borderId="15" fillId="0" fontId="29" numFmtId="0" xfId="0" applyAlignment="1" applyBorder="1" applyFont="1">
      <alignment horizontal="left"/>
    </xf>
    <xf borderId="12" fillId="0" fontId="32" numFmtId="0" xfId="0" applyAlignment="1" applyBorder="1" applyFont="1">
      <alignment horizontal="right" readingOrder="0"/>
    </xf>
    <xf borderId="16" fillId="0" fontId="33" numFmtId="0" xfId="0" applyAlignment="1" applyBorder="1" applyFont="1">
      <alignment readingOrder="0"/>
    </xf>
    <xf borderId="16" fillId="0" fontId="29" numFmtId="0" xfId="0" applyAlignment="1" applyBorder="1" applyFont="1">
      <alignment horizontal="left"/>
    </xf>
    <xf borderId="17" fillId="0" fontId="29" numFmtId="0" xfId="0" applyAlignment="1" applyBorder="1" applyFont="1">
      <alignment horizontal="left"/>
    </xf>
    <xf borderId="18" fillId="0" fontId="29" numFmtId="0" xfId="0" applyAlignment="1" applyBorder="1" applyFont="1">
      <alignment horizontal="left"/>
    </xf>
    <xf borderId="12" fillId="0" fontId="11" numFmtId="0" xfId="0" applyAlignment="1" applyBorder="1" applyFont="1">
      <alignment horizontal="right" readingOrder="0"/>
    </xf>
    <xf borderId="9" fillId="0" fontId="34" numFmtId="0" xfId="0" applyAlignment="1" applyBorder="1" applyFont="1">
      <alignment readingOrder="0"/>
    </xf>
    <xf borderId="9" fillId="0" fontId="29" numFmtId="0" xfId="0" applyAlignment="1" applyBorder="1" applyFont="1">
      <alignment horizontal="left"/>
    </xf>
    <xf borderId="0" fillId="0" fontId="35" numFmtId="0" xfId="0" applyFont="1"/>
    <xf borderId="9" fillId="0" fontId="33" numFmtId="0" xfId="0" applyAlignment="1" applyBorder="1" applyFont="1">
      <alignment readingOrder="0"/>
    </xf>
    <xf borderId="19" fillId="0" fontId="28" numFmtId="0" xfId="0" applyAlignment="1" applyBorder="1" applyFont="1">
      <alignment readingOrder="0"/>
    </xf>
    <xf borderId="20" fillId="0" fontId="10" numFmtId="0" xfId="0" applyBorder="1" applyFont="1"/>
    <xf borderId="21" fillId="0" fontId="11" numFmtId="0" xfId="0" applyAlignment="1" applyBorder="1" applyFont="1">
      <alignment horizontal="right" readingOrder="0"/>
    </xf>
    <xf borderId="22" fillId="0" fontId="34" numFmtId="0" xfId="0" applyAlignment="1" applyBorder="1" applyFont="1">
      <alignment readingOrder="0"/>
    </xf>
    <xf borderId="22" fillId="0" fontId="29" numFmtId="0" xfId="0" applyAlignment="1" applyBorder="1" applyFont="1">
      <alignment horizontal="left"/>
    </xf>
    <xf borderId="23" fillId="0" fontId="29" numFmtId="0" xfId="0" applyAlignment="1" applyBorder="1" applyFont="1">
      <alignment horizontal="left"/>
    </xf>
    <xf borderId="24" fillId="0" fontId="29" numFmtId="0" xfId="0" applyAlignment="1" applyBorder="1" applyFont="1">
      <alignment horizontal="left"/>
    </xf>
    <xf borderId="25" fillId="0" fontId="28" numFmtId="0" xfId="0" applyAlignment="1" applyBorder="1" applyFont="1">
      <alignment readingOrder="0"/>
    </xf>
    <xf borderId="4" fillId="0" fontId="36" numFmtId="0" xfId="0" applyAlignment="1" applyBorder="1" applyFont="1">
      <alignment readingOrder="0"/>
    </xf>
    <xf borderId="4" fillId="0" fontId="37" numFmtId="0" xfId="0" applyAlignment="1" applyBorder="1" applyFont="1">
      <alignment horizontal="center"/>
    </xf>
    <xf borderId="6" fillId="0" fontId="37" numFmtId="0" xfId="0" applyAlignment="1" applyBorder="1" applyFont="1">
      <alignment horizontal="center"/>
    </xf>
    <xf borderId="25" fillId="0" fontId="10" numFmtId="0" xfId="0" applyBorder="1" applyFont="1"/>
    <xf borderId="26" fillId="0" fontId="28" numFmtId="0" xfId="0" applyAlignment="1" applyBorder="1" applyFont="1">
      <alignment readingOrder="0"/>
    </xf>
    <xf borderId="4" fillId="21" fontId="28" numFmtId="0" xfId="0" applyAlignment="1" applyBorder="1" applyFill="1" applyFont="1">
      <alignment horizontal="center" readingOrder="0"/>
    </xf>
    <xf borderId="4" fillId="18" fontId="28" numFmtId="0" xfId="0" applyAlignment="1" applyBorder="1" applyFont="1">
      <alignment horizontal="center" readingOrder="0"/>
    </xf>
    <xf borderId="4" fillId="14" fontId="28" numFmtId="0" xfId="0" applyAlignment="1" applyBorder="1" applyFont="1">
      <alignment horizontal="center" readingOrder="0"/>
    </xf>
    <xf borderId="4" fillId="22" fontId="28" numFmtId="0" xfId="0" applyAlignment="1" applyBorder="1" applyFill="1" applyFont="1">
      <alignment horizontal="center" readingOrder="0"/>
    </xf>
    <xf borderId="6" fillId="19" fontId="27" numFmtId="0" xfId="0" applyAlignment="1" applyBorder="1" applyFont="1">
      <alignment horizontal="center" readingOrder="0"/>
    </xf>
    <xf borderId="4" fillId="0" fontId="28" numFmtId="0" xfId="0" applyAlignment="1" applyBorder="1" applyFont="1">
      <alignment horizontal="center" readingOrder="0"/>
    </xf>
    <xf borderId="26" fillId="0" fontId="28" numFmtId="0" xfId="0" applyAlignment="1" applyBorder="1" applyFont="1">
      <alignment horizontal="center" readingOrder="0"/>
    </xf>
    <xf borderId="6" fillId="0" fontId="10" numFmtId="0" xfId="0" applyBorder="1" applyFont="1"/>
    <xf borderId="21" fillId="0" fontId="10" numFmtId="0" xfId="0" applyAlignment="1" applyBorder="1" applyFont="1">
      <alignment horizontal="left"/>
    </xf>
    <xf borderId="23" fillId="0" fontId="10" numFmtId="0" xfId="0" applyBorder="1" applyFont="1"/>
    <xf borderId="23" fillId="0" fontId="11" numFmtId="9" xfId="0" applyAlignment="1" applyBorder="1" applyFont="1" applyNumberFormat="1">
      <alignment horizontal="center" readingOrder="0"/>
    </xf>
    <xf borderId="23" fillId="0" fontId="11" numFmtId="0" xfId="0" applyAlignment="1" applyBorder="1" applyFont="1">
      <alignment horizontal="center"/>
    </xf>
    <xf borderId="24" fillId="0" fontId="11" numFmtId="0" xfId="0" applyAlignment="1" applyBorder="1" applyFont="1">
      <alignment horizontal="center"/>
    </xf>
    <xf borderId="12" fillId="9" fontId="38" numFmtId="0" xfId="0" applyAlignment="1" applyBorder="1" applyFont="1">
      <alignment horizontal="right"/>
    </xf>
    <xf borderId="27" fillId="0" fontId="10" numFmtId="0" xfId="0" applyBorder="1" applyFont="1"/>
    <xf borderId="0" fillId="9" fontId="29" numFmtId="0" xfId="0" applyAlignment="1" applyFont="1">
      <alignment horizontal="center"/>
    </xf>
    <xf borderId="10" fillId="9" fontId="29" numFmtId="0" xfId="0" applyAlignment="1" applyBorder="1" applyFont="1">
      <alignment horizontal="center"/>
    </xf>
    <xf borderId="12" fillId="0" fontId="17" numFmtId="0" xfId="0" applyAlignment="1" applyBorder="1" applyFont="1">
      <alignment horizontal="left" readingOrder="0"/>
    </xf>
    <xf borderId="27" fillId="0" fontId="10" numFmtId="0" xfId="0" applyAlignment="1" applyBorder="1" applyFont="1">
      <alignment horizontal="center"/>
    </xf>
    <xf borderId="10" fillId="0" fontId="10" numFmtId="10" xfId="0" applyBorder="1" applyFont="1" applyNumberFormat="1"/>
    <xf borderId="12" fillId="0" fontId="28" numFmtId="0" xfId="0" applyAlignment="1" applyBorder="1" applyFont="1">
      <alignment horizontal="right" readingOrder="0"/>
    </xf>
    <xf borderId="6" fillId="0" fontId="28" numFmtId="0" xfId="0" applyAlignment="1" applyBorder="1" applyFont="1">
      <alignment horizontal="center" readingOrder="0"/>
    </xf>
    <xf borderId="10" fillId="23" fontId="10" numFmtId="10" xfId="0" applyBorder="1" applyFill="1" applyFont="1" applyNumberFormat="1"/>
    <xf borderId="28" fillId="0" fontId="10" numFmtId="0" xfId="0" applyAlignment="1" applyBorder="1" applyFont="1">
      <alignment horizontal="center"/>
    </xf>
    <xf borderId="15" fillId="23" fontId="10" numFmtId="10" xfId="0" applyBorder="1" applyFont="1" applyNumberFormat="1"/>
    <xf borderId="29" fillId="23" fontId="10" numFmtId="0" xfId="0" applyAlignment="1" applyBorder="1" applyFont="1">
      <alignment horizontal="center"/>
    </xf>
    <xf borderId="18" fillId="23" fontId="10" numFmtId="10" xfId="0" applyBorder="1" applyFont="1" applyNumberFormat="1"/>
    <xf borderId="27" fillId="24" fontId="10" numFmtId="0" xfId="0" applyAlignment="1" applyBorder="1" applyFill="1" applyFont="1">
      <alignment horizontal="center"/>
    </xf>
    <xf borderId="10" fillId="24" fontId="10" numFmtId="10" xfId="0" applyBorder="1" applyFont="1" applyNumberFormat="1"/>
    <xf borderId="12" fillId="0" fontId="28" numFmtId="0" xfId="0" applyAlignment="1" applyBorder="1" applyFont="1">
      <alignment horizontal="right"/>
    </xf>
    <xf borderId="12" fillId="0" fontId="17" numFmtId="0" xfId="0" applyBorder="1" applyFont="1"/>
    <xf borderId="21" fillId="0" fontId="28" numFmtId="0" xfId="0" applyAlignment="1" applyBorder="1" applyFont="1">
      <alignment horizontal="right"/>
    </xf>
    <xf borderId="30" fillId="0" fontId="10" numFmtId="0" xfId="0" applyBorder="1" applyFont="1"/>
    <xf borderId="23" fillId="9" fontId="29" numFmtId="0" xfId="0" applyAlignment="1" applyBorder="1" applyFont="1">
      <alignment horizontal="center"/>
    </xf>
    <xf borderId="24" fillId="9" fontId="29" numFmtId="0" xfId="0" applyAlignment="1" applyBorder="1" applyFont="1">
      <alignment horizontal="center"/>
    </xf>
    <xf borderId="10" fillId="0" fontId="10" numFmtId="0" xfId="0" applyBorder="1" applyFont="1"/>
    <xf borderId="0" fillId="9" fontId="29" numFmtId="0" xfId="0" applyFont="1"/>
    <xf borderId="21" fillId="0" fontId="10" numFmtId="0" xfId="0" applyBorder="1" applyFont="1"/>
    <xf borderId="24" fillId="0" fontId="10" numFmtId="0" xfId="0" applyBorder="1" applyFont="1"/>
    <xf borderId="0" fillId="13" fontId="39" numFmtId="0" xfId="0" applyAlignment="1" applyFont="1">
      <alignment horizontal="left" readingOrder="0"/>
    </xf>
    <xf borderId="0" fillId="13" fontId="40" numFmtId="0" xfId="0" applyAlignment="1" applyFont="1">
      <alignment horizontal="left" readingOrder="0"/>
    </xf>
    <xf borderId="0" fillId="13" fontId="1" numFmtId="0" xfId="0" applyAlignment="1" applyFont="1">
      <alignment horizontal="left" readingOrder="0"/>
    </xf>
    <xf borderId="0" fillId="0" fontId="41" numFmtId="0" xfId="0" applyFont="1"/>
    <xf borderId="0" fillId="0" fontId="42" numFmtId="0" xfId="0" applyFont="1"/>
    <xf borderId="0" fillId="13" fontId="43" numFmtId="0" xfId="0" applyAlignment="1" applyFont="1">
      <alignment horizontal="left" readingOrder="0"/>
    </xf>
    <xf borderId="0" fillId="13" fontId="23" numFmtId="0" xfId="0" applyFont="1"/>
    <xf borderId="0" fillId="13" fontId="10" numFmtId="0" xfId="0" applyFont="1"/>
    <xf borderId="0" fillId="13" fontId="10" numFmtId="0" xfId="0" applyAlignment="1" applyFont="1">
      <alignment readingOrder="0"/>
    </xf>
    <xf borderId="0" fillId="0" fontId="11" numFmtId="164" xfId="0" applyFont="1" applyNumberFormat="1"/>
    <xf borderId="0" fillId="25" fontId="1" numFmtId="0" xfId="0" applyAlignment="1" applyFill="1" applyFont="1">
      <alignment shrinkToFit="0" wrapText="1"/>
    </xf>
    <xf borderId="0" fillId="25" fontId="2" numFmtId="0" xfId="0" applyAlignment="1" applyFont="1">
      <alignment shrinkToFit="0" wrapText="1"/>
    </xf>
    <xf borderId="0" fillId="0" fontId="44" numFmtId="0" xfId="0" applyAlignment="1" applyFont="1">
      <alignment readingOrder="0"/>
    </xf>
    <xf borderId="0" fillId="0" fontId="28" numFmtId="0" xfId="0" applyAlignment="1" applyFont="1">
      <alignment readingOrder="0"/>
    </xf>
    <xf borderId="0" fillId="0" fontId="4" numFmtId="0" xfId="0" applyAlignment="1" applyFont="1">
      <alignment readingOrder="0" vertical="bottom"/>
    </xf>
    <xf borderId="0" fillId="0" fontId="4" numFmtId="0" xfId="0" applyAlignment="1" applyFont="1">
      <alignment vertical="bottom"/>
    </xf>
    <xf borderId="0" fillId="0" fontId="45" numFmtId="0" xfId="0" applyAlignment="1" applyFont="1">
      <alignment readingOrder="0"/>
    </xf>
    <xf borderId="0" fillId="0" fontId="45" numFmtId="0" xfId="0" applyAlignment="1" applyFont="1">
      <alignment horizontal="left" readingOrder="0"/>
    </xf>
    <xf borderId="0" fillId="0" fontId="46" numFmtId="0" xfId="0" applyAlignment="1" applyFont="1">
      <alignment readingOrder="0"/>
    </xf>
    <xf borderId="31" fillId="8" fontId="28" numFmtId="0" xfId="0" applyAlignment="1" applyBorder="1" applyFont="1">
      <alignment readingOrder="0"/>
    </xf>
    <xf borderId="0" fillId="0" fontId="47" numFmtId="0" xfId="0" applyAlignment="1" applyFont="1">
      <alignment horizontal="left" readingOrder="0" vertical="center"/>
    </xf>
    <xf borderId="0" fillId="0" fontId="47" numFmtId="0" xfId="0" applyAlignment="1" applyFont="1">
      <alignment horizontal="center" readingOrder="0" vertical="center"/>
    </xf>
    <xf borderId="0" fillId="0" fontId="45" numFmtId="0" xfId="0" applyFont="1"/>
    <xf borderId="0" fillId="0" fontId="5" numFmtId="0" xfId="0" applyAlignment="1" applyFont="1">
      <alignment horizontal="right" vertical="bottom"/>
    </xf>
    <xf borderId="0" fillId="0" fontId="34" numFmtId="0" xfId="0" applyAlignment="1" applyFont="1">
      <alignment horizontal="left" readingOrder="0"/>
    </xf>
    <xf borderId="0" fillId="0" fontId="48" numFmtId="0" xfId="0" applyAlignment="1" applyFont="1">
      <alignment horizontal="left" readingOrder="0" vertical="center"/>
    </xf>
    <xf borderId="0" fillId="0" fontId="49" numFmtId="0" xfId="0" applyAlignment="1" applyFont="1">
      <alignment horizontal="left" readingOrder="0"/>
    </xf>
    <xf borderId="0" fillId="0" fontId="6" numFmtId="0" xfId="0" applyAlignment="1" applyFont="1">
      <alignment horizontal="right" readingOrder="0"/>
    </xf>
    <xf borderId="0" fillId="0" fontId="6" numFmtId="0" xfId="0" applyAlignment="1" applyFont="1">
      <alignment horizontal="right" readingOrder="0" vertical="center"/>
    </xf>
    <xf borderId="0" fillId="0" fontId="11" numFmtId="0" xfId="0" applyAlignment="1" applyFont="1">
      <alignment horizontal="right"/>
    </xf>
    <xf borderId="0" fillId="0" fontId="5" numFmtId="0" xfId="0" applyAlignment="1" applyFont="1">
      <alignment horizontal="right" readingOrder="0" vertical="bottom"/>
    </xf>
    <xf borderId="0" fillId="0" fontId="45" numFmtId="0" xfId="0" applyAlignment="1" applyFont="1">
      <alignment horizontal="left"/>
    </xf>
    <xf borderId="0" fillId="0" fontId="11" numFmtId="0" xfId="0" applyAlignment="1" applyFont="1">
      <alignment horizontal="left"/>
    </xf>
    <xf borderId="0" fillId="26" fontId="2" numFmtId="0" xfId="0" applyAlignment="1" applyFill="1" applyFont="1">
      <alignment horizontal="left" readingOrder="0"/>
    </xf>
    <xf borderId="0" fillId="25" fontId="2" numFmtId="0" xfId="0" applyAlignment="1" applyFont="1">
      <alignment horizontal="center"/>
    </xf>
    <xf borderId="0" fillId="27" fontId="2" numFmtId="0" xfId="0" applyAlignment="1" applyFill="1" applyFont="1">
      <alignment horizontal="center"/>
    </xf>
    <xf borderId="0" fillId="27" fontId="2" numFmtId="0" xfId="0" applyAlignment="1" applyFont="1">
      <alignment readingOrder="0"/>
    </xf>
    <xf borderId="0" fillId="3" fontId="5" numFmtId="0" xfId="0" applyFont="1"/>
    <xf borderId="0" fillId="0" fontId="5" numFmtId="0" xfId="0" applyFont="1"/>
    <xf borderId="0" fillId="3" fontId="5" numFmtId="0" xfId="0" applyAlignment="1" applyFont="1">
      <alignment vertical="bottom"/>
    </xf>
    <xf borderId="0" fillId="12" fontId="5" numFmtId="0" xfId="0" applyAlignment="1" applyFont="1">
      <alignment vertical="bottom"/>
    </xf>
    <xf borderId="0" fillId="12" fontId="5" numFmtId="0" xfId="0" applyFont="1"/>
    <xf borderId="0" fillId="16" fontId="5" numFmtId="0" xfId="0" applyFont="1"/>
    <xf borderId="0" fillId="0" fontId="5" numFmtId="0" xfId="0" applyAlignment="1" applyFont="1">
      <alignment shrinkToFit="0" wrapText="0"/>
    </xf>
    <xf borderId="0" fillId="16" fontId="5" numFmtId="0" xfId="0" applyAlignment="1" applyFont="1">
      <alignment vertical="bottom"/>
    </xf>
    <xf borderId="0" fillId="17" fontId="5" numFmtId="0" xfId="0" applyFont="1"/>
    <xf borderId="0" fillId="9" fontId="50" numFmtId="0" xfId="0" applyAlignment="1" applyFont="1">
      <alignment horizontal="left" readingOrder="0"/>
    </xf>
    <xf borderId="0" fillId="0" fontId="6" numFmtId="0" xfId="0" applyAlignment="1" applyFont="1">
      <alignment horizontal="left" readingOrder="0" shrinkToFit="0" vertical="center" wrapText="1"/>
    </xf>
    <xf borderId="0" fillId="28" fontId="5" numFmtId="0" xfId="0" applyAlignment="1" applyFill="1" applyFont="1">
      <alignment horizontal="center" readingOrder="0" vertical="center"/>
    </xf>
  </cellXfs>
  <cellStyles count="1">
    <cellStyle xfId="0" name="Normal" builtinId="0"/>
  </cellStyles>
  <dxfs count="6">
    <dxf>
      <font>
        <color theme="0"/>
      </font>
      <fill>
        <patternFill patternType="solid">
          <fgColor rgb="FF351C75"/>
          <bgColor rgb="FF351C75"/>
        </patternFill>
      </fill>
      <border/>
    </dxf>
    <dxf>
      <font/>
      <fill>
        <patternFill patternType="solid">
          <fgColor rgb="FFFFD966"/>
          <bgColor rgb="FFFFD966"/>
        </patternFill>
      </fill>
      <border/>
    </dxf>
    <dxf>
      <font/>
      <fill>
        <patternFill patternType="solid">
          <fgColor rgb="FF4A86E8"/>
          <bgColor rgb="FF4A86E8"/>
        </patternFill>
      </fill>
      <border/>
    </dxf>
    <dxf>
      <font>
        <color rgb="FFFFFFFF"/>
      </font>
      <fill>
        <patternFill patternType="solid">
          <fgColor rgb="FFE06666"/>
          <bgColor rgb="FFE06666"/>
        </patternFill>
      </fill>
      <border/>
    </dxf>
    <dxf>
      <font/>
      <fill>
        <patternFill patternType="solid">
          <fgColor rgb="FF93C47D"/>
          <bgColor rgb="FF93C47D"/>
        </patternFill>
      </fill>
      <border/>
    </dxf>
    <dxf>
      <font/>
      <fill>
        <patternFill patternType="solid">
          <fgColor rgb="FFB7E1CD"/>
          <bgColor rgb="FFB7E1CD"/>
        </patternFill>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11" Type="http://schemas.openxmlformats.org/officeDocument/2006/relationships/worksheet" Target="worksheets/sheet8.xml"/><Relationship Id="rId10" Type="http://schemas.openxmlformats.org/officeDocument/2006/relationships/worksheet" Target="worksheets/sheet7.xml"/></Relationships>
</file>

<file path=xl/charts/chart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Distribution Cost</a:t>
            </a:r>
          </a:p>
        </c:rich>
      </c:tx>
      <c:layout>
        <c:manualLayout>
          <c:xMode val="edge"/>
          <c:yMode val="edge"/>
          <c:x val="0.04091666666666667"/>
          <c:y val="0.04730458221024259"/>
        </c:manualLayout>
      </c:layout>
      <c:overlay val="0"/>
    </c:title>
    <c:plotArea>
      <c:layout/>
      <c:barChart>
        <c:barDir val="col"/>
        <c:ser>
          <c:idx val="0"/>
          <c:order val="0"/>
          <c:spPr>
            <a:solidFill>
              <a:schemeClr val="accent1"/>
            </a:solidFill>
            <a:ln cmpd="sng">
              <a:solidFill>
                <a:srgbClr val="000000"/>
              </a:solidFill>
            </a:ln>
          </c:spPr>
          <c:cat>
            <c:strRef>
              <c:f>Statistik!$I$2:$I$12</c:f>
            </c:strRef>
          </c:cat>
          <c:val>
            <c:numRef>
              <c:f>Statistik!$K$2:$K$12</c:f>
              <c:numCache/>
            </c:numRef>
          </c:val>
        </c:ser>
        <c:axId val="163212437"/>
        <c:axId val="1436619927"/>
      </c:barChart>
      <c:catAx>
        <c:axId val="163212437"/>
        <c:scaling>
          <c:orientation val="minMax"/>
        </c:scaling>
        <c:delete val="0"/>
        <c:axPos val="b"/>
        <c:title>
          <c:tx>
            <c:rich>
              <a:bodyPr/>
              <a:lstStyle/>
              <a:p>
                <a:pPr lvl="0">
                  <a:defRPr b="0">
                    <a:solidFill>
                      <a:srgbClr val="000000"/>
                    </a:solidFill>
                    <a:latin typeface="+mn-lt"/>
                  </a:defRPr>
                </a:pPr>
                <a:r>
                  <a:rPr b="0">
                    <a:solidFill>
                      <a:srgbClr val="000000"/>
                    </a:solidFill>
                    <a:latin typeface="+mn-lt"/>
                  </a:rPr>
                  <a:t>Wert</a:t>
                </a:r>
              </a:p>
            </c:rich>
          </c:tx>
          <c:overlay val="0"/>
        </c:title>
        <c:numFmt formatCode="General" sourceLinked="1"/>
        <c:majorTickMark val="none"/>
        <c:minorTickMark val="none"/>
        <c:spPr/>
        <c:txPr>
          <a:bodyPr/>
          <a:lstStyle/>
          <a:p>
            <a:pPr lvl="0">
              <a:defRPr b="0">
                <a:solidFill>
                  <a:srgbClr val="000000"/>
                </a:solidFill>
                <a:latin typeface="+mn-lt"/>
              </a:defRPr>
            </a:pPr>
          </a:p>
        </c:txPr>
        <c:crossAx val="1436619927"/>
      </c:catAx>
      <c:valAx>
        <c:axId val="1436619927"/>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163212437"/>
      </c:valAx>
    </c:plotArea>
    <c:legend>
      <c:legendPos val="r"/>
      <c:overlay val="0"/>
      <c:txPr>
        <a:bodyPr/>
        <a:lstStyle/>
        <a:p>
          <a:pPr lvl="0">
            <a:defRPr b="0">
              <a:solidFill>
                <a:srgbClr val="1A1A1A"/>
              </a:solidFill>
              <a:latin typeface="+mn-lt"/>
            </a:defRPr>
          </a:pPr>
        </a:p>
      </c:txPr>
    </c:legend>
    <c:plotVisOnly val="1"/>
  </c:chart>
</c:chartSpace>
</file>

<file path=xl/drawings/_rels/drawing3.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11</xdr:col>
      <xdr:colOff>333375</xdr:colOff>
      <xdr:row>0</xdr:row>
      <xdr:rowOff>38100</xdr:rowOff>
    </xdr:from>
    <xdr:ext cx="5715000" cy="3533775"/>
    <xdr:graphicFrame>
      <xdr:nvGraphicFramePr>
        <xdr:cNvPr id="1" name="Chart 1" title="Diagramm"/>
        <xdr:cNvGraphicFramePr/>
      </xdr:nvGraphicFramePr>
      <xdr:xfrm>
        <a:off x="0" y="0"/>
        <a:ext cx="0" cy="0"/>
      </xdr:xfrm>
      <a:graphic>
        <a:graphicData uri="http://schemas.openxmlformats.org/drawingml/2006/chart">
          <c:chart r:id="rId1"/>
        </a:graphicData>
      </a:graphic>
    </xdr:graphicFrame>
    <xdr:clientData fLocksWithSheet="0"/>
  </xdr:oneCellAnchor>
</xdr:wsD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90" Type="http://schemas.openxmlformats.org/officeDocument/2006/relationships/hyperlink" Target="https://alpha.midjourney.com/jobs/31869c2e-79e0-44a2-bcb2-ef2489f226ad?index=3" TargetMode="External"/><Relationship Id="rId194" Type="http://schemas.openxmlformats.org/officeDocument/2006/relationships/hyperlink" Target="https://alpha.midjourney.com/jobs/f8926069-73ab-4045-b918-9cb77758a03b?index=3" TargetMode="External"/><Relationship Id="rId193" Type="http://schemas.openxmlformats.org/officeDocument/2006/relationships/hyperlink" Target="https://alpha.midjourney.com/jobs/02a937b0-dc30-4b61-a80a-775950a47d1e?index=0" TargetMode="External"/><Relationship Id="rId192" Type="http://schemas.openxmlformats.org/officeDocument/2006/relationships/hyperlink" Target="https://alpha.midjourney.com/jobs/68e2c61d-f9ac-435e-8eb9-44ef82724758?index=1" TargetMode="External"/><Relationship Id="rId191" Type="http://schemas.openxmlformats.org/officeDocument/2006/relationships/hyperlink" Target="https://alpha.midjourney.com/jobs/86e09484-75c2-4d9e-b33e-31faa3d4e251?index=2" TargetMode="External"/><Relationship Id="rId187" Type="http://schemas.openxmlformats.org/officeDocument/2006/relationships/hyperlink" Target="https://alpha.midjourney.com/jobs/78ae5a97-8656-4c23-992f-61f8947a1950?index=3" TargetMode="External"/><Relationship Id="rId186" Type="http://schemas.openxmlformats.org/officeDocument/2006/relationships/hyperlink" Target="https://alpha.midjourney.com/jobs/ae00d456-a481-4034-a8c2-fdb97fffe7f6?index=2" TargetMode="External"/><Relationship Id="rId185" Type="http://schemas.openxmlformats.org/officeDocument/2006/relationships/hyperlink" Target="https://alpha.midjourney.com/jobs/ae00d456-a481-4034-a8c2-fdb97fffe7f6?index=1" TargetMode="External"/><Relationship Id="rId184" Type="http://schemas.openxmlformats.org/officeDocument/2006/relationships/hyperlink" Target="https://alpha.midjourney.com/jobs/8c7e4ea8-e35f-4309-86b6-e6a9f1efaecb?index=2" TargetMode="External"/><Relationship Id="rId189" Type="http://schemas.openxmlformats.org/officeDocument/2006/relationships/hyperlink" Target="https://alpha.midjourney.com/jobs/237ccf0b-0f9d-4e23-b6d4-df327207e61c?index=1" TargetMode="External"/><Relationship Id="rId188" Type="http://schemas.openxmlformats.org/officeDocument/2006/relationships/hyperlink" Target="https://alpha.midjourney.com/jobs/78ae5a97-8656-4c23-992f-61f8947a1950?index=2" TargetMode="External"/><Relationship Id="rId183" Type="http://schemas.openxmlformats.org/officeDocument/2006/relationships/hyperlink" Target="https://alpha.midjourney.com/jobs/8c7e4ea8-e35f-4309-86b6-e6a9f1efaecb?index=1" TargetMode="External"/><Relationship Id="rId182" Type="http://schemas.openxmlformats.org/officeDocument/2006/relationships/hyperlink" Target="https://alpha.midjourney.com/jobs/2245d2f9-6faa-4d4c-9ddb-94e018ca54af?index=2" TargetMode="External"/><Relationship Id="rId181" Type="http://schemas.openxmlformats.org/officeDocument/2006/relationships/hyperlink" Target="https://alpha.midjourney.com/jobs/2245d2f9-6faa-4d4c-9ddb-94e018ca54af?index=0" TargetMode="External"/><Relationship Id="rId180" Type="http://schemas.openxmlformats.org/officeDocument/2006/relationships/hyperlink" Target="https://alpha.midjourney.com/jobs/f076bedf-28b1-43a4-bdf8-5e57ad378122?index=3" TargetMode="External"/><Relationship Id="rId176" Type="http://schemas.openxmlformats.org/officeDocument/2006/relationships/hyperlink" Target="https://alpha.midjourney.com/jobs/f6913507-2389-4765-a6a4-189bde5ce495?index=2" TargetMode="External"/><Relationship Id="rId297" Type="http://schemas.openxmlformats.org/officeDocument/2006/relationships/hyperlink" Target="https://alpha.midjourney.com/jobs/7f7e7244-f70d-4340-bc00-db8ba5869d51?index=0" TargetMode="External"/><Relationship Id="rId175" Type="http://schemas.openxmlformats.org/officeDocument/2006/relationships/hyperlink" Target="https://alpha.midjourney.com/jobs/f6913507-2389-4765-a6a4-189bde5ce495?index=1" TargetMode="External"/><Relationship Id="rId296" Type="http://schemas.openxmlformats.org/officeDocument/2006/relationships/hyperlink" Target="https://alpha.midjourney.com/jobs/e641b986-4bf2-46ee-bff1-f15abfe257b6?index=0" TargetMode="External"/><Relationship Id="rId174" Type="http://schemas.openxmlformats.org/officeDocument/2006/relationships/hyperlink" Target="https://alpha.midjourney.com/jobs/3459e7cd-50f2-4130-be4c-42546280c0e7?index=3" TargetMode="External"/><Relationship Id="rId295" Type="http://schemas.openxmlformats.org/officeDocument/2006/relationships/hyperlink" Target="https://alpha.midjourney.com/jobs/081fdde2-8231-41d5-aa5c-be3ff2f37b5d?index=2" TargetMode="External"/><Relationship Id="rId173" Type="http://schemas.openxmlformats.org/officeDocument/2006/relationships/hyperlink" Target="https://alpha.midjourney.com/jobs/91bb5265-1010-4c14-8a17-c124ec7328be?index=3" TargetMode="External"/><Relationship Id="rId294" Type="http://schemas.openxmlformats.org/officeDocument/2006/relationships/hyperlink" Target="https://alpha.midjourney.com/jobs/78be4041-6983-4fec-ac2f-158748bc0f07?index=1" TargetMode="External"/><Relationship Id="rId179" Type="http://schemas.openxmlformats.org/officeDocument/2006/relationships/hyperlink" Target="https://alpha.midjourney.com/jobs/33065fbd-b99a-477c-aeda-1e82ea951a22?index=3" TargetMode="External"/><Relationship Id="rId178" Type="http://schemas.openxmlformats.org/officeDocument/2006/relationships/hyperlink" Target="https://alpha.midjourney.com/jobs/59d1a1e1-529a-4cc6-b261-fdc197b29a2b?index=1" TargetMode="External"/><Relationship Id="rId299" Type="http://schemas.openxmlformats.org/officeDocument/2006/relationships/hyperlink" Target="https://alpha.midjourney.com/jobs/ded5b3c8-a989-40e4-8be3-5ac67cf41736?index=0" TargetMode="External"/><Relationship Id="rId177" Type="http://schemas.openxmlformats.org/officeDocument/2006/relationships/hyperlink" Target="https://alpha.midjourney.com/jobs/1be84c96-df08-4398-88f9-09e5ad8ff402?index=2" TargetMode="External"/><Relationship Id="rId298" Type="http://schemas.openxmlformats.org/officeDocument/2006/relationships/hyperlink" Target="https://alpha.midjourney.com/jobs/fe6e9b6c-1cca-4a3d-b1ff-7bb7fd6ebc36?index=0" TargetMode="External"/><Relationship Id="rId198" Type="http://schemas.openxmlformats.org/officeDocument/2006/relationships/hyperlink" Target="https://alpha.midjourney.com/jobs/5e110d2e-a7e4-436b-bb11-4fb86e1580e9?index=2" TargetMode="External"/><Relationship Id="rId197" Type="http://schemas.openxmlformats.org/officeDocument/2006/relationships/hyperlink" Target="https://alpha.midjourney.com/jobs/5e110d2e-a7e4-436b-bb11-4fb86e1580e9?index=3" TargetMode="External"/><Relationship Id="rId196" Type="http://schemas.openxmlformats.org/officeDocument/2006/relationships/hyperlink" Target="https://alpha.midjourney.com/jobs/0e687280-8a8e-4bab-ba7e-71eecfd6f625?index=2" TargetMode="External"/><Relationship Id="rId195" Type="http://schemas.openxmlformats.org/officeDocument/2006/relationships/hyperlink" Target="https://alpha.midjourney.com/jobs/a02f660a-1dce-436f-acb5-465e63f5bbc5?index=1" TargetMode="External"/><Relationship Id="rId199" Type="http://schemas.openxmlformats.org/officeDocument/2006/relationships/hyperlink" Target="https://alpha.midjourney.com/jobs/750ed738-29ba-42b6-8f6f-d878ddac70d4?index=1" TargetMode="External"/><Relationship Id="rId150" Type="http://schemas.openxmlformats.org/officeDocument/2006/relationships/hyperlink" Target="https://alpha.midjourney.com/jobs/8b1af36f-4004-4f76-8321-39eadf6994de?index=1" TargetMode="External"/><Relationship Id="rId271" Type="http://schemas.openxmlformats.org/officeDocument/2006/relationships/hyperlink" Target="https://alpha.midjourney.com/jobs/d8a56be5-0fe5-434b-a77a-b6146873ea1a?index=0" TargetMode="External"/><Relationship Id="rId392" Type="http://schemas.openxmlformats.org/officeDocument/2006/relationships/hyperlink" Target="https://alpha.midjourney.com/jobs/ade40824-39ca-4001-a6f9-b17abaa7f8c9?index=2" TargetMode="External"/><Relationship Id="rId270" Type="http://schemas.openxmlformats.org/officeDocument/2006/relationships/hyperlink" Target="https://alpha.midjourney.com/jobs/d8a56be5-0fe5-434b-a77a-b6146873ea1a?index=3" TargetMode="External"/><Relationship Id="rId391" Type="http://schemas.openxmlformats.org/officeDocument/2006/relationships/hyperlink" Target="https://alpha.midjourney.com/jobs/89be5e2a-6702-40e7-bb2c-87dce748f051?index=0" TargetMode="External"/><Relationship Id="rId390" Type="http://schemas.openxmlformats.org/officeDocument/2006/relationships/hyperlink" Target="https://alpha.midjourney.com/jobs/5346acfb-9c48-4258-a97e-45266d64b6d2?index=3" TargetMode="External"/><Relationship Id="rId1" Type="http://schemas.openxmlformats.org/officeDocument/2006/relationships/hyperlink" Target="https://alpha.midjourney.com/jobs/7c7b4c53-2f2b-49df-a6bf-37f29b9e5746?index=3" TargetMode="External"/><Relationship Id="rId2" Type="http://schemas.openxmlformats.org/officeDocument/2006/relationships/hyperlink" Target="https://alpha.midjourney.com/jobs/db52578b-cf61-4cc6-b730-21e3bd1752ce?index=3" TargetMode="External"/><Relationship Id="rId3" Type="http://schemas.openxmlformats.org/officeDocument/2006/relationships/hyperlink" Target="https://alpha.midjourney.com/jobs/22993c97-4c0e-4b20-b61e-0765854b1d0c?index=2" TargetMode="External"/><Relationship Id="rId149" Type="http://schemas.openxmlformats.org/officeDocument/2006/relationships/hyperlink" Target="https://alpha.midjourney.com/jobs/93fb8cdb-1f21-49e7-be26-dc8ba099f499?index=3" TargetMode="External"/><Relationship Id="rId4" Type="http://schemas.openxmlformats.org/officeDocument/2006/relationships/hyperlink" Target="https://alpha.midjourney.com/jobs/b1e88fda-7d3b-4302-b0b0-4eee0012e193?index=1" TargetMode="External"/><Relationship Id="rId148" Type="http://schemas.openxmlformats.org/officeDocument/2006/relationships/hyperlink" Target="https://alpha.midjourney.com/jobs/f552819f-bae0-4fdc-aec9-3c948fadca96?index=0" TargetMode="External"/><Relationship Id="rId269" Type="http://schemas.openxmlformats.org/officeDocument/2006/relationships/hyperlink" Target="https://alpha.midjourney.com/jobs/ea69db27-0094-46a2-957d-df9c6587cd8f?index=1" TargetMode="External"/><Relationship Id="rId9" Type="http://schemas.openxmlformats.org/officeDocument/2006/relationships/hyperlink" Target="https://alpha.midjourney.com/jobs/9b1cd3ba-f0fb-43df-a5df-aa0555f184e0?index=0" TargetMode="External"/><Relationship Id="rId143" Type="http://schemas.openxmlformats.org/officeDocument/2006/relationships/hyperlink" Target="https://alpha.midjourney.com/jobs/3583175b-766d-4e6f-b226-cb8e97cd3444?index=2" TargetMode="External"/><Relationship Id="rId264" Type="http://schemas.openxmlformats.org/officeDocument/2006/relationships/hyperlink" Target="https://alpha.midjourney.com/jobs/ce81bdef-692d-43ea-9dce-a4b313702bd0?index=2" TargetMode="External"/><Relationship Id="rId385" Type="http://schemas.openxmlformats.org/officeDocument/2006/relationships/hyperlink" Target="https://alpha.midjourney.com/jobs/da05031f-b161-4dbf-82ed-34f56ec60f8b?index=3" TargetMode="External"/><Relationship Id="rId142" Type="http://schemas.openxmlformats.org/officeDocument/2006/relationships/hyperlink" Target="https://alpha.midjourney.com/jobs/6cad6adc-2697-4145-bdf0-efa0bf788436?index=0" TargetMode="External"/><Relationship Id="rId263" Type="http://schemas.openxmlformats.org/officeDocument/2006/relationships/hyperlink" Target="https://alpha.midjourney.com/jobs/ac379b8f-0976-49e8-9984-afd4fa85d72d?index=0" TargetMode="External"/><Relationship Id="rId384" Type="http://schemas.openxmlformats.org/officeDocument/2006/relationships/hyperlink" Target="https://alpha.midjourney.com/jobs/14907b72-ac7b-441a-89c1-206aa74ae3cc?index=3" TargetMode="External"/><Relationship Id="rId141" Type="http://schemas.openxmlformats.org/officeDocument/2006/relationships/hyperlink" Target="https://alpha.midjourney.com/jobs/6cad6adc-2697-4145-bdf0-efa0bf788436?index=2" TargetMode="External"/><Relationship Id="rId262" Type="http://schemas.openxmlformats.org/officeDocument/2006/relationships/hyperlink" Target="https://alpha.midjourney.com/jobs/ac379b8f-0976-49e8-9984-afd4fa85d72d?index=2" TargetMode="External"/><Relationship Id="rId383" Type="http://schemas.openxmlformats.org/officeDocument/2006/relationships/hyperlink" Target="https://alpha.midjourney.com/jobs/cbc1003a-54e1-4023-a949-d6248d86958a?index=1" TargetMode="External"/><Relationship Id="rId140" Type="http://schemas.openxmlformats.org/officeDocument/2006/relationships/hyperlink" Target="https://alpha.midjourney.com/jobs/30dad8d4-0f43-43a0-b5ad-94bc8b2c85d6?index=2" TargetMode="External"/><Relationship Id="rId261" Type="http://schemas.openxmlformats.org/officeDocument/2006/relationships/hyperlink" Target="https://alpha.midjourney.com/jobs/88722dbd-81e5-4a88-b7b1-4d119407e4eb?index=2" TargetMode="External"/><Relationship Id="rId382" Type="http://schemas.openxmlformats.org/officeDocument/2006/relationships/hyperlink" Target="https://alpha.midjourney.com/jobs/b85e9529-2c1c-43be-8887-f8653d2daa3e?index=1" TargetMode="External"/><Relationship Id="rId5" Type="http://schemas.openxmlformats.org/officeDocument/2006/relationships/hyperlink" Target="https://alpha.midjourney.com/jobs/a408d92c-6e6e-4d30-93ad-e526a5c9555f?index=3" TargetMode="External"/><Relationship Id="rId147" Type="http://schemas.openxmlformats.org/officeDocument/2006/relationships/hyperlink" Target="https://alpha.midjourney.com/jobs/dc135f3d-8b66-4450-857e-ed4b64a3e949?index=1" TargetMode="External"/><Relationship Id="rId268" Type="http://schemas.openxmlformats.org/officeDocument/2006/relationships/hyperlink" Target="https://alpha.midjourney.com/jobs/c014fa78-9b56-4e92-9380-05f3c1bc63f2?index=0" TargetMode="External"/><Relationship Id="rId389" Type="http://schemas.openxmlformats.org/officeDocument/2006/relationships/hyperlink" Target="https://alpha.midjourney.com/jobs/cb5ae9cc-bb0c-4b23-93f2-9aba3eead611?index=0" TargetMode="External"/><Relationship Id="rId6" Type="http://schemas.openxmlformats.org/officeDocument/2006/relationships/hyperlink" Target="https://alpha.midjourney.com/jobs/8c6c5803-34bd-4238-bf4b-5436f269949d?index=3" TargetMode="External"/><Relationship Id="rId146" Type="http://schemas.openxmlformats.org/officeDocument/2006/relationships/hyperlink" Target="https://alpha.midjourney.com/jobs/add90753-1409-4816-a77b-7200b76c544f?index=3" TargetMode="External"/><Relationship Id="rId267" Type="http://schemas.openxmlformats.org/officeDocument/2006/relationships/hyperlink" Target="https://alpha.midjourney.com/jobs/c014fa78-9b56-4e92-9380-05f3c1bc63f2?index=3" TargetMode="External"/><Relationship Id="rId388" Type="http://schemas.openxmlformats.org/officeDocument/2006/relationships/hyperlink" Target="https://alpha.midjourney.com/jobs/36f45aba-7dd3-4234-a291-4a6bd6317f10?index=0" TargetMode="External"/><Relationship Id="rId7" Type="http://schemas.openxmlformats.org/officeDocument/2006/relationships/hyperlink" Target="https://alpha.midjourney.com/jobs/250e747b-c7e8-4a5b-a483-65446cd307aa?index=2" TargetMode="External"/><Relationship Id="rId145" Type="http://schemas.openxmlformats.org/officeDocument/2006/relationships/hyperlink" Target="https://alpha.midjourney.com/jobs/26ae93ba-7660-44de-bc98-ff1f7b0710bb?index=0" TargetMode="External"/><Relationship Id="rId266" Type="http://schemas.openxmlformats.org/officeDocument/2006/relationships/hyperlink" Target="https://alpha.midjourney.com/jobs/23c28003-cb9d-4252-b47e-eb31b79c4746?index=3" TargetMode="External"/><Relationship Id="rId387" Type="http://schemas.openxmlformats.org/officeDocument/2006/relationships/hyperlink" Target="https://alpha.midjourney.com/jobs/36f45aba-7dd3-4234-a291-4a6bd6317f10?index=2" TargetMode="External"/><Relationship Id="rId8" Type="http://schemas.openxmlformats.org/officeDocument/2006/relationships/hyperlink" Target="https://alpha.midjourney.com/jobs/3644d9f4-a154-4538-96ea-489d6da10cda?index=2" TargetMode="External"/><Relationship Id="rId144" Type="http://schemas.openxmlformats.org/officeDocument/2006/relationships/hyperlink" Target="https://alpha.midjourney.com/jobs/9d3996dd-4cd9-4c61-9f0b-73b38822ab56?index=1" TargetMode="External"/><Relationship Id="rId265" Type="http://schemas.openxmlformats.org/officeDocument/2006/relationships/hyperlink" Target="https://alpha.midjourney.com/jobs/92e4fd9a-ec61-456e-ae1a-ccf89544238d?index=1" TargetMode="External"/><Relationship Id="rId386" Type="http://schemas.openxmlformats.org/officeDocument/2006/relationships/hyperlink" Target="https://alpha.midjourney.com/jobs/da05031f-b161-4dbf-82ed-34f56ec60f8b?index=0" TargetMode="External"/><Relationship Id="rId260" Type="http://schemas.openxmlformats.org/officeDocument/2006/relationships/hyperlink" Target="https://alpha.midjourney.com/jobs/648f33e0-f155-4776-b3ef-cb6a2da47ad2?index=0" TargetMode="External"/><Relationship Id="rId381" Type="http://schemas.openxmlformats.org/officeDocument/2006/relationships/hyperlink" Target="https://alpha.midjourney.com/jobs/c49fa673-bcd1-49dc-a65d-b262aa8d349c?index=3" TargetMode="External"/><Relationship Id="rId380" Type="http://schemas.openxmlformats.org/officeDocument/2006/relationships/hyperlink" Target="https://alpha.midjourney.com/jobs/49af1a65-37b2-43e7-abfb-fec1ef5ae6d3?index=2" TargetMode="External"/><Relationship Id="rId139" Type="http://schemas.openxmlformats.org/officeDocument/2006/relationships/hyperlink" Target="https://alpha.midjourney.com/jobs/2c70cf34-6786-4493-bc7e-731c0f15efba?index=1" TargetMode="External"/><Relationship Id="rId138" Type="http://schemas.openxmlformats.org/officeDocument/2006/relationships/hyperlink" Target="https://alpha.midjourney.com/jobs/1113a14a-e98b-4368-b526-2939a08de537?index=2" TargetMode="External"/><Relationship Id="rId259" Type="http://schemas.openxmlformats.org/officeDocument/2006/relationships/hyperlink" Target="https://alpha.midjourney.com/jobs/48fb748c-ced1-4a11-b902-08569b23ea3e?index=3" TargetMode="External"/><Relationship Id="rId137" Type="http://schemas.openxmlformats.org/officeDocument/2006/relationships/hyperlink" Target="https://alpha.midjourney.com/jobs/f14bf8bf-3033-40a6-9792-dd0d2005d4a4?index=1" TargetMode="External"/><Relationship Id="rId258" Type="http://schemas.openxmlformats.org/officeDocument/2006/relationships/hyperlink" Target="https://alpha.midjourney.com/jobs/bace0219-18ab-4fad-b1cf-6dd7f636ba09?index=1" TargetMode="External"/><Relationship Id="rId379" Type="http://schemas.openxmlformats.org/officeDocument/2006/relationships/hyperlink" Target="https://alpha.midjourney.com/jobs/24410310-250b-4dfc-957c-f04fe0d1851b?index=0" TargetMode="External"/><Relationship Id="rId132" Type="http://schemas.openxmlformats.org/officeDocument/2006/relationships/hyperlink" Target="https://alpha.midjourney.com/jobs/fdd4f64e-d836-4c8f-9358-77cc88394b13?index=1" TargetMode="External"/><Relationship Id="rId253" Type="http://schemas.openxmlformats.org/officeDocument/2006/relationships/hyperlink" Target="https://alpha.midjourney.com/jobs/b6935539-efed-401f-850a-d485cb53a209?index=2" TargetMode="External"/><Relationship Id="rId374" Type="http://schemas.openxmlformats.org/officeDocument/2006/relationships/hyperlink" Target="https://alpha.midjourney.com/jobs/e1308eb5-a0fa-420c-983e-4f03c2e8e1b1?index=3" TargetMode="External"/><Relationship Id="rId495" Type="http://schemas.openxmlformats.org/officeDocument/2006/relationships/hyperlink" Target="https://alpha.midjourney.com/jobs/aa227e04-65dd-48c2-abfd-6e6fa6008da2?index=3" TargetMode="External"/><Relationship Id="rId131" Type="http://schemas.openxmlformats.org/officeDocument/2006/relationships/hyperlink" Target="https://alpha.midjourney.com/jobs/ccfe11ca-d68d-42dd-b1cd-d5aa6d3c9b8b?index=0" TargetMode="External"/><Relationship Id="rId252" Type="http://schemas.openxmlformats.org/officeDocument/2006/relationships/hyperlink" Target="https://alpha.midjourney.com/jobs/efc96ed0-d87b-4d29-bb86-f29795728bf8?index=2" TargetMode="External"/><Relationship Id="rId373" Type="http://schemas.openxmlformats.org/officeDocument/2006/relationships/hyperlink" Target="https://alpha.midjourney.com/jobs/ce3cd5be-146d-4747-a725-96d02fce6988?index=3" TargetMode="External"/><Relationship Id="rId494" Type="http://schemas.openxmlformats.org/officeDocument/2006/relationships/hyperlink" Target="https://alpha.midjourney.com/jobs/aa227e04-65dd-48c2-abfd-6e6fa6008da2?index=0" TargetMode="External"/><Relationship Id="rId130" Type="http://schemas.openxmlformats.org/officeDocument/2006/relationships/hyperlink" Target="https://alpha.midjourney.com/jobs/ccfe11ca-d68d-42dd-b1cd-d5aa6d3c9b8b?index=2" TargetMode="External"/><Relationship Id="rId251" Type="http://schemas.openxmlformats.org/officeDocument/2006/relationships/hyperlink" Target="https://alpha.midjourney.com/jobs/3f700745-93e9-491e-b302-0f3b8129cd3a?index=3" TargetMode="External"/><Relationship Id="rId372" Type="http://schemas.openxmlformats.org/officeDocument/2006/relationships/hyperlink" Target="https://alpha.midjourney.com/jobs/ad69563e-8c74-41b0-8e13-8b39afa3b3cf?index=3" TargetMode="External"/><Relationship Id="rId493" Type="http://schemas.openxmlformats.org/officeDocument/2006/relationships/hyperlink" Target="https://alpha.midjourney.com/jobs/8eec2fb9-6cc5-4526-b1b2-63f80ac65f95?index=1" TargetMode="External"/><Relationship Id="rId250" Type="http://schemas.openxmlformats.org/officeDocument/2006/relationships/hyperlink" Target="https://alpha.midjourney.com/jobs/304afcfd-7894-408f-9075-b9665b0da9bb?index=1" TargetMode="External"/><Relationship Id="rId371" Type="http://schemas.openxmlformats.org/officeDocument/2006/relationships/hyperlink" Target="https://alpha.midjourney.com/jobs/888400b6-fc24-4382-9b4f-cb536d1c6259?index=2" TargetMode="External"/><Relationship Id="rId492" Type="http://schemas.openxmlformats.org/officeDocument/2006/relationships/hyperlink" Target="https://alpha.midjourney.com/jobs/7953e818-8128-4a30-b696-521dc3af66e0?index=2" TargetMode="External"/><Relationship Id="rId136" Type="http://schemas.openxmlformats.org/officeDocument/2006/relationships/hyperlink" Target="https://alpha.midjourney.com/jobs/f14bf8bf-3033-40a6-9792-dd0d2005d4a4?index=0" TargetMode="External"/><Relationship Id="rId257" Type="http://schemas.openxmlformats.org/officeDocument/2006/relationships/hyperlink" Target="https://alpha.midjourney.com/jobs/bace0219-18ab-4fad-b1cf-6dd7f636ba09?index=3" TargetMode="External"/><Relationship Id="rId378" Type="http://schemas.openxmlformats.org/officeDocument/2006/relationships/hyperlink" Target="https://alpha.midjourney.com/jobs/727e14da-bc4a-4671-9e13-4f06e7007152?index=0" TargetMode="External"/><Relationship Id="rId499" Type="http://schemas.openxmlformats.org/officeDocument/2006/relationships/hyperlink" Target="https://alpha.midjourney.com/jobs/18828197-cdfc-419a-ae08-acae2277df70?index=1" TargetMode="External"/><Relationship Id="rId135" Type="http://schemas.openxmlformats.org/officeDocument/2006/relationships/hyperlink" Target="https://alpha.midjourney.com/jobs/f14bf8bf-3033-40a6-9792-dd0d2005d4a4?index=2" TargetMode="External"/><Relationship Id="rId256" Type="http://schemas.openxmlformats.org/officeDocument/2006/relationships/hyperlink" Target="https://alpha.midjourney.com/jobs/b782234a-ae27-4ab3-a874-11519512ecce?index=1" TargetMode="External"/><Relationship Id="rId377" Type="http://schemas.openxmlformats.org/officeDocument/2006/relationships/hyperlink" Target="https://alpha.midjourney.com/jobs/eea88919-f1b3-40c0-9f43-d0e3f3705e14?index=2" TargetMode="External"/><Relationship Id="rId498" Type="http://schemas.openxmlformats.org/officeDocument/2006/relationships/hyperlink" Target="https://alpha.midjourney.com/jobs/af6bbace-c1a5-4a89-859d-e260f362a5a4?index=2" TargetMode="External"/><Relationship Id="rId134" Type="http://schemas.openxmlformats.org/officeDocument/2006/relationships/hyperlink" Target="https://alpha.midjourney.com/jobs/f309aeec-173a-46f1-b16b-f5f15141815a?index=2" TargetMode="External"/><Relationship Id="rId255" Type="http://schemas.openxmlformats.org/officeDocument/2006/relationships/hyperlink" Target="https://alpha.midjourney.com/jobs/b1f8f3d5-445f-4c75-8c69-dc3c00dd6a2a?index=1" TargetMode="External"/><Relationship Id="rId376" Type="http://schemas.openxmlformats.org/officeDocument/2006/relationships/hyperlink" Target="https://alpha.midjourney.com/jobs/915e002d-0994-4e3b-9b5b-10849e3c35ad?index=2" TargetMode="External"/><Relationship Id="rId497" Type="http://schemas.openxmlformats.org/officeDocument/2006/relationships/hyperlink" Target="https://alpha.midjourney.com/jobs/b4c3f4b0-05dc-4917-a882-3e522fb1d744?index=1" TargetMode="External"/><Relationship Id="rId133" Type="http://schemas.openxmlformats.org/officeDocument/2006/relationships/hyperlink" Target="https://alpha.midjourney.com/jobs/f309aeec-173a-46f1-b16b-f5f15141815a?index=0" TargetMode="External"/><Relationship Id="rId254" Type="http://schemas.openxmlformats.org/officeDocument/2006/relationships/hyperlink" Target="https://alpha.midjourney.com/jobs/b1f8f3d5-445f-4c75-8c69-dc3c00dd6a2a?index=3" TargetMode="External"/><Relationship Id="rId375" Type="http://schemas.openxmlformats.org/officeDocument/2006/relationships/hyperlink" Target="https://alpha.midjourney.com/jobs/0c8ecc9c-0eba-4e1f-88ef-eb8a6b5bb902?index=0" TargetMode="External"/><Relationship Id="rId496" Type="http://schemas.openxmlformats.org/officeDocument/2006/relationships/hyperlink" Target="https://alpha.midjourney.com/jobs/b4c3f4b0-05dc-4917-a882-3e522fb1d744?index=3" TargetMode="External"/><Relationship Id="rId172" Type="http://schemas.openxmlformats.org/officeDocument/2006/relationships/hyperlink" Target="https://alpha.midjourney.com/jobs/15eb18a9-adcc-4ad5-bb1a-b9ca187fa7e5?index=1" TargetMode="External"/><Relationship Id="rId293" Type="http://schemas.openxmlformats.org/officeDocument/2006/relationships/hyperlink" Target="https://alpha.midjourney.com/jobs/7dd032d6-0ed5-4d3f-926c-322526d5acea?index=3" TargetMode="External"/><Relationship Id="rId171" Type="http://schemas.openxmlformats.org/officeDocument/2006/relationships/hyperlink" Target="https://alpha.midjourney.com/jobs/c502c751-ced3-4cb3-aa77-ce7cf3c560d4?index=0" TargetMode="External"/><Relationship Id="rId292" Type="http://schemas.openxmlformats.org/officeDocument/2006/relationships/hyperlink" Target="https://alpha.midjourney.com/jobs/7daae98b-96af-490a-abb0-c40d53d449c6?index=1" TargetMode="External"/><Relationship Id="rId170" Type="http://schemas.openxmlformats.org/officeDocument/2006/relationships/hyperlink" Target="https://alpha.midjourney.com/jobs/ec1fb5cf-b226-482a-9fd2-005d6f927846?index=1" TargetMode="External"/><Relationship Id="rId291" Type="http://schemas.openxmlformats.org/officeDocument/2006/relationships/hyperlink" Target="https://alpha.midjourney.com/jobs/ff085a28-2be3-400f-b0aa-dfbaad7ad260?index=3" TargetMode="External"/><Relationship Id="rId290" Type="http://schemas.openxmlformats.org/officeDocument/2006/relationships/hyperlink" Target="https://alpha.midjourney.com/jobs/21aae87c-bcf0-4967-94c8-66c12bd2dd5f?index=2" TargetMode="External"/><Relationship Id="rId165" Type="http://schemas.openxmlformats.org/officeDocument/2006/relationships/hyperlink" Target="https://alpha.midjourney.com/jobs/677914ad-f8cb-4855-b453-f47da8640844?index=0" TargetMode="External"/><Relationship Id="rId286" Type="http://schemas.openxmlformats.org/officeDocument/2006/relationships/hyperlink" Target="https://alpha.midjourney.com/jobs/fcedc117-8f07-44fd-9b27-38403dc905eb?index=1" TargetMode="External"/><Relationship Id="rId164" Type="http://schemas.openxmlformats.org/officeDocument/2006/relationships/hyperlink" Target="https://alpha.midjourney.com/jobs/f0a7e593-e8a3-49a4-9357-69927b40e0a8?index=0" TargetMode="External"/><Relationship Id="rId285" Type="http://schemas.openxmlformats.org/officeDocument/2006/relationships/hyperlink" Target="https://alpha.midjourney.com/jobs/fcedc117-8f07-44fd-9b27-38403dc905eb?index=2" TargetMode="External"/><Relationship Id="rId163" Type="http://schemas.openxmlformats.org/officeDocument/2006/relationships/hyperlink" Target="https://alpha.midjourney.com/jobs/f0a7e593-e8a3-49a4-9357-69927b40e0a8?index=1" TargetMode="External"/><Relationship Id="rId284" Type="http://schemas.openxmlformats.org/officeDocument/2006/relationships/hyperlink" Target="https://alpha.midjourney.com/jobs/ebc002b1-7bb9-479e-a1ce-ea1c8ddf987b?index=1" TargetMode="External"/><Relationship Id="rId162" Type="http://schemas.openxmlformats.org/officeDocument/2006/relationships/hyperlink" Target="https://alpha.midjourney.com/jobs/8785718a-3cef-4d6b-adf4-3f611a3b965e?index=2" TargetMode="External"/><Relationship Id="rId283" Type="http://schemas.openxmlformats.org/officeDocument/2006/relationships/hyperlink" Target="https://alpha.midjourney.com/jobs/0c3b1178-de16-46bc-a164-f1739f41cd16?index=0" TargetMode="External"/><Relationship Id="rId169" Type="http://schemas.openxmlformats.org/officeDocument/2006/relationships/hyperlink" Target="https://alpha.midjourney.com/jobs/11cea0b5-15f6-46ea-9c98-85147c5d0c1d?index=2" TargetMode="External"/><Relationship Id="rId168" Type="http://schemas.openxmlformats.org/officeDocument/2006/relationships/hyperlink" Target="https://alpha.midjourney.com/jobs/cb83f03b-5441-4ab6-acd4-d6c23cfbf1b0?index=1" TargetMode="External"/><Relationship Id="rId289" Type="http://schemas.openxmlformats.org/officeDocument/2006/relationships/hyperlink" Target="https://alpha.midjourney.com/jobs/9abdcae0-7389-454b-bde3-fb534aec9fa4?index=1" TargetMode="External"/><Relationship Id="rId167" Type="http://schemas.openxmlformats.org/officeDocument/2006/relationships/hyperlink" Target="https://alpha.midjourney.com/jobs/cb83f03b-5441-4ab6-acd4-d6c23cfbf1b0?index=3" TargetMode="External"/><Relationship Id="rId288" Type="http://schemas.openxmlformats.org/officeDocument/2006/relationships/hyperlink" Target="https://alpha.midjourney.com/jobs/54179720-6bdf-4c71-8029-954ac967324e?index=2" TargetMode="External"/><Relationship Id="rId166" Type="http://schemas.openxmlformats.org/officeDocument/2006/relationships/hyperlink" Target="https://alpha.midjourney.com/jobs/0c2fcc58-1cd5-4e2c-9953-06ae99527acc?index=3" TargetMode="External"/><Relationship Id="rId287" Type="http://schemas.openxmlformats.org/officeDocument/2006/relationships/hyperlink" Target="https://alpha.midjourney.com/jobs/61c81789-079d-4284-bc11-8f18bf858e7a?index=0" TargetMode="External"/><Relationship Id="rId161" Type="http://schemas.openxmlformats.org/officeDocument/2006/relationships/hyperlink" Target="https://alpha.midjourney.com/jobs/ef31c8de-f61e-4972-86e9-aa9f1831afd5?index=0" TargetMode="External"/><Relationship Id="rId282" Type="http://schemas.openxmlformats.org/officeDocument/2006/relationships/hyperlink" Target="https://alpha.midjourney.com/jobs/4529965a-161b-46fc-84ef-11b6aa6505c0?index=1" TargetMode="External"/><Relationship Id="rId160" Type="http://schemas.openxmlformats.org/officeDocument/2006/relationships/hyperlink" Target="https://alpha.midjourney.com/jobs/855d9ad2-60fa-4317-90d5-dde695aa3863?index=2" TargetMode="External"/><Relationship Id="rId281" Type="http://schemas.openxmlformats.org/officeDocument/2006/relationships/hyperlink" Target="https://alpha.midjourney.com/jobs/90b1ef17-1840-43a4-a96b-9d42245755e5?index=2" TargetMode="External"/><Relationship Id="rId280" Type="http://schemas.openxmlformats.org/officeDocument/2006/relationships/hyperlink" Target="https://alpha.midjourney.com/jobs/edfa0ecc-62fe-4e23-8bad-51f3f37c3e52?index=0" TargetMode="External"/><Relationship Id="rId159" Type="http://schemas.openxmlformats.org/officeDocument/2006/relationships/hyperlink" Target="https://alpha.midjourney.com/jobs/f43fb0f9-219d-46ea-84e7-cebd02ca67fd?index=3" TargetMode="External"/><Relationship Id="rId154" Type="http://schemas.openxmlformats.org/officeDocument/2006/relationships/hyperlink" Target="https://alpha.midjourney.com/jobs/a3b699ae-45ef-4e90-9cb6-6448c1dd6ef3?index=3" TargetMode="External"/><Relationship Id="rId275" Type="http://schemas.openxmlformats.org/officeDocument/2006/relationships/hyperlink" Target="https://alpha.midjourney.com/jobs/855584b6-ff81-449c-bfc8-776b89e2e1b6?index=0" TargetMode="External"/><Relationship Id="rId396" Type="http://schemas.openxmlformats.org/officeDocument/2006/relationships/hyperlink" Target="https://alpha.midjourney.com/jobs/1147f4d1-0ebc-4af6-a726-d02c68d60b73?index=2" TargetMode="External"/><Relationship Id="rId153" Type="http://schemas.openxmlformats.org/officeDocument/2006/relationships/hyperlink" Target="https://alpha.midjourney.com/jobs/fef152fe-a54f-4993-8c0b-bdc6b255ff50?index=1" TargetMode="External"/><Relationship Id="rId274" Type="http://schemas.openxmlformats.org/officeDocument/2006/relationships/hyperlink" Target="https://alpha.midjourney.com/jobs/8267de13-464b-4475-8b89-635cac0d70bd?index=0" TargetMode="External"/><Relationship Id="rId395" Type="http://schemas.openxmlformats.org/officeDocument/2006/relationships/hyperlink" Target="https://alpha.midjourney.com/jobs/1147f4d1-0ebc-4af6-a726-d02c68d60b73?index=0" TargetMode="External"/><Relationship Id="rId152" Type="http://schemas.openxmlformats.org/officeDocument/2006/relationships/hyperlink" Target="https://alpha.midjourney.com/jobs/04b6c714-4150-4b67-bc7b-3b77d214c80e?index=1" TargetMode="External"/><Relationship Id="rId273" Type="http://schemas.openxmlformats.org/officeDocument/2006/relationships/hyperlink" Target="https://alpha.midjourney.com/jobs/855584b6-ff81-449c-bfc8-776b89e2e1b6?index=3" TargetMode="External"/><Relationship Id="rId394" Type="http://schemas.openxmlformats.org/officeDocument/2006/relationships/hyperlink" Target="https://alpha.midjourney.com/jobs/b817370e-a391-4a6b-9688-f381c88b69b0?index=2" TargetMode="External"/><Relationship Id="rId151" Type="http://schemas.openxmlformats.org/officeDocument/2006/relationships/hyperlink" Target="https://alpha.midjourney.com/jobs/6b2dd4db-47bc-4351-b9cb-56165501015d?index=0" TargetMode="External"/><Relationship Id="rId272" Type="http://schemas.openxmlformats.org/officeDocument/2006/relationships/hyperlink" Target="https://alpha.midjourney.com/jobs/855584b6-ff81-449c-bfc8-776b89e2e1b6?index=2" TargetMode="External"/><Relationship Id="rId393" Type="http://schemas.openxmlformats.org/officeDocument/2006/relationships/hyperlink" Target="https://alpha.midjourney.com/jobs/237069bf-4281-4ab7-875e-331a4121cc5c?index=2" TargetMode="External"/><Relationship Id="rId158" Type="http://schemas.openxmlformats.org/officeDocument/2006/relationships/hyperlink" Target="https://alpha.midjourney.com/jobs/ca73b5bd-6fc1-4339-9285-ae03c13a5f5d?index=0" TargetMode="External"/><Relationship Id="rId279" Type="http://schemas.openxmlformats.org/officeDocument/2006/relationships/hyperlink" Target="https://alpha.midjourney.com/jobs/64365801-a467-48b5-80fe-b2e14b46c622?index=3" TargetMode="External"/><Relationship Id="rId157" Type="http://schemas.openxmlformats.org/officeDocument/2006/relationships/hyperlink" Target="https://alpha.midjourney.com/jobs/cea0e01e-1930-45b5-b5c8-3ad52ddb3142?index=3" TargetMode="External"/><Relationship Id="rId278" Type="http://schemas.openxmlformats.org/officeDocument/2006/relationships/hyperlink" Target="https://alpha.midjourney.com/jobs/a18746cf-975e-483a-9c0c-94c134cf6af2?index=1" TargetMode="External"/><Relationship Id="rId399" Type="http://schemas.openxmlformats.org/officeDocument/2006/relationships/hyperlink" Target="https://alpha.midjourney.com/jobs/c0cf7df8-c1a5-454a-bfd0-19b8243d58cc?index=1" TargetMode="External"/><Relationship Id="rId156" Type="http://schemas.openxmlformats.org/officeDocument/2006/relationships/hyperlink" Target="https://alpha.midjourney.com/jobs/f4b87c3a-3e3c-48fa-b94a-c0514613a2cd?index=3" TargetMode="External"/><Relationship Id="rId277" Type="http://schemas.openxmlformats.org/officeDocument/2006/relationships/hyperlink" Target="https://alpha.midjourney.com/jobs/a18746cf-975e-483a-9c0c-94c134cf6af2?index=3" TargetMode="External"/><Relationship Id="rId398" Type="http://schemas.openxmlformats.org/officeDocument/2006/relationships/hyperlink" Target="https://alpha.midjourney.com/jobs/01a4f043-f235-41b9-8d46-7b35d6f18030?index=2" TargetMode="External"/><Relationship Id="rId155" Type="http://schemas.openxmlformats.org/officeDocument/2006/relationships/hyperlink" Target="https://alpha.midjourney.com/jobs/a3b699ae-45ef-4e90-9cb6-6448c1dd6ef3?index=2" TargetMode="External"/><Relationship Id="rId276" Type="http://schemas.openxmlformats.org/officeDocument/2006/relationships/hyperlink" Target="https://alpha.midjourney.com/jobs/ce13cd47-a205-4d28-96b0-bdf906fae89f?index=0" TargetMode="External"/><Relationship Id="rId397" Type="http://schemas.openxmlformats.org/officeDocument/2006/relationships/hyperlink" Target="https://alpha.midjourney.com/jobs/aad8229e-1d42-48dd-8179-36ff489b78e3?index=2" TargetMode="External"/><Relationship Id="rId40" Type="http://schemas.openxmlformats.org/officeDocument/2006/relationships/hyperlink" Target="https://alpha.midjourney.com/jobs/f92d2267-2cb6-459f-b8f4-07c280426a32?index=2" TargetMode="External"/><Relationship Id="rId42" Type="http://schemas.openxmlformats.org/officeDocument/2006/relationships/hyperlink" Target="https://alpha.midjourney.com/jobs/4b963210-17ec-4cc9-9a83-f38a7692af0e?index=3" TargetMode="External"/><Relationship Id="rId41" Type="http://schemas.openxmlformats.org/officeDocument/2006/relationships/hyperlink" Target="https://alpha.midjourney.com/jobs/fe304cba-fe68-4bea-a089-694d2e71a394?index=2" TargetMode="External"/><Relationship Id="rId44" Type="http://schemas.openxmlformats.org/officeDocument/2006/relationships/hyperlink" Target="https://alpha.midjourney.com/jobs/96dd861b-6cf4-403c-b701-35339b8bf72c?index=0" TargetMode="External"/><Relationship Id="rId43" Type="http://schemas.openxmlformats.org/officeDocument/2006/relationships/hyperlink" Target="https://alpha.midjourney.com/jobs/4efd2e1b-a113-49a0-8b09-a71768bc7f0a?index=1" TargetMode="External"/><Relationship Id="rId46" Type="http://schemas.openxmlformats.org/officeDocument/2006/relationships/hyperlink" Target="https://alpha.midjourney.com/jobs/ae7c802d-5bb3-4e5c-935f-0989f835981b?index=3" TargetMode="External"/><Relationship Id="rId45" Type="http://schemas.openxmlformats.org/officeDocument/2006/relationships/hyperlink" Target="https://alpha.midjourney.com/jobs/eb74e363-ce23-4333-bf1a-9e45b5410528?index=3" TargetMode="External"/><Relationship Id="rId509" Type="http://schemas.openxmlformats.org/officeDocument/2006/relationships/hyperlink" Target="https://alpha.midjourney.com/jobs/1ba85f4c-e36a-405c-84dd-450c9b836a2a?index=0" TargetMode="External"/><Relationship Id="rId508" Type="http://schemas.openxmlformats.org/officeDocument/2006/relationships/hyperlink" Target="https://alpha.midjourney.com/jobs/8cc237fc-a571-4903-b553-94f9efeddb14?index=2" TargetMode="External"/><Relationship Id="rId503" Type="http://schemas.openxmlformats.org/officeDocument/2006/relationships/hyperlink" Target="https://alpha.midjourney.com/jobs/1702a29f-fe1f-40f0-aeb3-2892a3f1c0bc?index=2" TargetMode="External"/><Relationship Id="rId502" Type="http://schemas.openxmlformats.org/officeDocument/2006/relationships/hyperlink" Target="https://alpha.midjourney.com/jobs/a770b241-fcb3-4872-830b-d7c0ffd5ae73?index=3" TargetMode="External"/><Relationship Id="rId501" Type="http://schemas.openxmlformats.org/officeDocument/2006/relationships/hyperlink" Target="https://alpha.midjourney.com/jobs/058ca6a3-cba6-4255-a098-e15d86ecc1d3?index=3" TargetMode="External"/><Relationship Id="rId500" Type="http://schemas.openxmlformats.org/officeDocument/2006/relationships/hyperlink" Target="https://alpha.midjourney.com/jobs/18828197-cdfc-419a-ae08-acae2277df70?index=0" TargetMode="External"/><Relationship Id="rId507" Type="http://schemas.openxmlformats.org/officeDocument/2006/relationships/hyperlink" Target="https://alpha.midjourney.com/jobs/8cc237fc-a571-4903-b553-94f9efeddb14?index=1" TargetMode="External"/><Relationship Id="rId506" Type="http://schemas.openxmlformats.org/officeDocument/2006/relationships/hyperlink" Target="https://alpha.midjourney.com/jobs/7de8364c-0f5a-4d7b-b841-1f453c148129?index=0" TargetMode="External"/><Relationship Id="rId505" Type="http://schemas.openxmlformats.org/officeDocument/2006/relationships/hyperlink" Target="https://alpha.midjourney.com/jobs/b2dbb6cd-e386-4a06-bf27-555adcb9d763?index=2" TargetMode="External"/><Relationship Id="rId504" Type="http://schemas.openxmlformats.org/officeDocument/2006/relationships/hyperlink" Target="https://alpha.midjourney.com/jobs/ce889b3b-91f9-4ff2-add2-e60285c57b17?index=1" TargetMode="External"/><Relationship Id="rId48" Type="http://schemas.openxmlformats.org/officeDocument/2006/relationships/hyperlink" Target="https://alpha.midjourney.com/jobs/85566897-5ef8-42df-8c72-36628a9dd9fc?index=1" TargetMode="External"/><Relationship Id="rId47" Type="http://schemas.openxmlformats.org/officeDocument/2006/relationships/hyperlink" Target="https://alpha.midjourney.com/jobs/d2520d33-6384-48e1-a0ac-2b40bcba9c67?index=2" TargetMode="External"/><Relationship Id="rId49" Type="http://schemas.openxmlformats.org/officeDocument/2006/relationships/hyperlink" Target="https://alpha.midjourney.com/jobs/e799950f-85b6-4223-b8ea-bc9ef93d3c23?index=1" TargetMode="External"/><Relationship Id="rId31" Type="http://schemas.openxmlformats.org/officeDocument/2006/relationships/hyperlink" Target="https://alpha.midjourney.com/jobs/355d3553-313f-4638-bf69-02b34f653fae?index=2" TargetMode="External"/><Relationship Id="rId30" Type="http://schemas.openxmlformats.org/officeDocument/2006/relationships/hyperlink" Target="https://alpha.midjourney.com/jobs/05eda290-6a12-4283-8598-0203ce13dc18?index=0" TargetMode="External"/><Relationship Id="rId33" Type="http://schemas.openxmlformats.org/officeDocument/2006/relationships/hyperlink" Target="https://alpha.midjourney.com/jobs/1352ae1c-e93b-4eeb-9c2b-8d45efc47f38?index=0" TargetMode="External"/><Relationship Id="rId32" Type="http://schemas.openxmlformats.org/officeDocument/2006/relationships/hyperlink" Target="https://alpha.midjourney.com/jobs/3be1dd1a-b5e1-4576-84ea-2c53a6c076e3?index=1" TargetMode="External"/><Relationship Id="rId35" Type="http://schemas.openxmlformats.org/officeDocument/2006/relationships/hyperlink" Target="https://alpha.midjourney.com/jobs/ed7547f6-59f6-4674-8e51-448f70e1a062?index=1" TargetMode="External"/><Relationship Id="rId34" Type="http://schemas.openxmlformats.org/officeDocument/2006/relationships/hyperlink" Target="https://alpha.midjourney.com/jobs/e58d0ede-21d0-4b9c-87b3-4745b329f97d?index=0" TargetMode="External"/><Relationship Id="rId37" Type="http://schemas.openxmlformats.org/officeDocument/2006/relationships/hyperlink" Target="https://alpha.midjourney.com/jobs/557ea44c-dc30-4519-93c0-96caf2f97815?index=3" TargetMode="External"/><Relationship Id="rId36" Type="http://schemas.openxmlformats.org/officeDocument/2006/relationships/hyperlink" Target="https://alpha.midjourney.com/jobs/2892cac4-ecfc-4b4f-a4e9-1eb61a4971a8?index=3" TargetMode="External"/><Relationship Id="rId39" Type="http://schemas.openxmlformats.org/officeDocument/2006/relationships/hyperlink" Target="https://alpha.midjourney.com/jobs/496903ec-9e29-4e96-baed-fbc1c72e67a2?index=3" TargetMode="External"/><Relationship Id="rId38" Type="http://schemas.openxmlformats.org/officeDocument/2006/relationships/hyperlink" Target="https://alpha.midjourney.com/jobs/0867635b-b993-4e89-adc9-840fac5e98ae?index=2" TargetMode="External"/><Relationship Id="rId20" Type="http://schemas.openxmlformats.org/officeDocument/2006/relationships/hyperlink" Target="https://alpha.midjourney.com/jobs/2fb88f6b-7b37-40f3-9ddf-e46da64b9024?index=2" TargetMode="External"/><Relationship Id="rId22" Type="http://schemas.openxmlformats.org/officeDocument/2006/relationships/hyperlink" Target="https://alpha.midjourney.com/jobs/9ccceaff-97a6-4625-9bea-6567b85c04ef?index=0" TargetMode="External"/><Relationship Id="rId21" Type="http://schemas.openxmlformats.org/officeDocument/2006/relationships/hyperlink" Target="https://alpha.midjourney.com/jobs/10569df3-af61-474e-9997-08b1211eac4b?index=3" TargetMode="External"/><Relationship Id="rId24" Type="http://schemas.openxmlformats.org/officeDocument/2006/relationships/hyperlink" Target="https://alpha.midjourney.com/jobs/16fb7678-58aa-43f4-976c-6411d373341c?index=1" TargetMode="External"/><Relationship Id="rId23" Type="http://schemas.openxmlformats.org/officeDocument/2006/relationships/hyperlink" Target="https://alpha.midjourney.com/jobs/0cf0be47-c57f-4feb-84e6-1790219ba54b?index=0" TargetMode="External"/><Relationship Id="rId409" Type="http://schemas.openxmlformats.org/officeDocument/2006/relationships/hyperlink" Target="https://alpha.midjourney.com/jobs/64fe4f62-cd24-4b28-8008-3a9184077878?index=1" TargetMode="External"/><Relationship Id="rId404" Type="http://schemas.openxmlformats.org/officeDocument/2006/relationships/hyperlink" Target="https://alpha.midjourney.com/jobs/dce6223e-4d4d-4a94-b8ed-94d249a1b876?index=2" TargetMode="External"/><Relationship Id="rId525" Type="http://schemas.openxmlformats.org/officeDocument/2006/relationships/hyperlink" Target="https://alpha.midjourney.com/jobs/a40c6919-d2e2-4cdd-a1de-4ce6a532def9?index=3" TargetMode="External"/><Relationship Id="rId403" Type="http://schemas.openxmlformats.org/officeDocument/2006/relationships/hyperlink" Target="https://alpha.midjourney.com/jobs/ce917096-e668-418b-8741-693ddbec1b5e?index=3" TargetMode="External"/><Relationship Id="rId524" Type="http://schemas.openxmlformats.org/officeDocument/2006/relationships/hyperlink" Target="https://alpha.midjourney.com/jobs/e9ced58e-d729-4c3b-b959-01736c8f312f?index=1" TargetMode="External"/><Relationship Id="rId402" Type="http://schemas.openxmlformats.org/officeDocument/2006/relationships/hyperlink" Target="https://alpha.midjourney.com/jobs/16b422f4-9fd2-4bb1-9674-585e0409a383?index=3" TargetMode="External"/><Relationship Id="rId523" Type="http://schemas.openxmlformats.org/officeDocument/2006/relationships/hyperlink" Target="https://alpha.midjourney.com/jobs/22a8f992-981f-46f6-9814-6acd4fd78883?index=2" TargetMode="External"/><Relationship Id="rId401" Type="http://schemas.openxmlformats.org/officeDocument/2006/relationships/hyperlink" Target="https://alpha.midjourney.com/jobs/4623ba22-8900-4ec0-baf7-811a3eacf3be?index=1" TargetMode="External"/><Relationship Id="rId522" Type="http://schemas.openxmlformats.org/officeDocument/2006/relationships/hyperlink" Target="https://alpha.midjourney.com/jobs/5bd0ca22-a83a-414a-9139-c2092a485671?index=1" TargetMode="External"/><Relationship Id="rId408" Type="http://schemas.openxmlformats.org/officeDocument/2006/relationships/hyperlink" Target="https://alpha.midjourney.com/jobs/2d36ed03-9eb8-4873-a6b6-490fa41bd145?index=2" TargetMode="External"/><Relationship Id="rId529" Type="http://schemas.openxmlformats.org/officeDocument/2006/relationships/hyperlink" Target="https://alpha.midjourney.com/jobs/cd0955a7-8a85-43d7-97b8-c639bd21502c?index=3" TargetMode="External"/><Relationship Id="rId407" Type="http://schemas.openxmlformats.org/officeDocument/2006/relationships/hyperlink" Target="https://alpha.midjourney.com/jobs/c6262938-a0bb-4c14-a59f-2cd741aebb5d?index=2" TargetMode="External"/><Relationship Id="rId528" Type="http://schemas.openxmlformats.org/officeDocument/2006/relationships/hyperlink" Target="https://alpha.midjourney.com/jobs/8edd484f-1cb1-4f1f-933e-b6506442c848?index=1" TargetMode="External"/><Relationship Id="rId406" Type="http://schemas.openxmlformats.org/officeDocument/2006/relationships/hyperlink" Target="https://alpha.midjourney.com/jobs/44b8a171-093e-48a9-b7dd-0eb68cf31160?index=0" TargetMode="External"/><Relationship Id="rId527" Type="http://schemas.openxmlformats.org/officeDocument/2006/relationships/hyperlink" Target="https://alpha.midjourney.com/jobs/08e98d57-c82d-41bf-974e-2594723e8387?index=3" TargetMode="External"/><Relationship Id="rId405" Type="http://schemas.openxmlformats.org/officeDocument/2006/relationships/hyperlink" Target="https://alpha.midjourney.com/jobs/993d4901-e479-4c23-8e37-374cc886632f?index=0" TargetMode="External"/><Relationship Id="rId526" Type="http://schemas.openxmlformats.org/officeDocument/2006/relationships/hyperlink" Target="https://alpha.midjourney.com/jobs/9d1c0ad9-d7ac-48b5-8887-39cdbcde27cd?index=2" TargetMode="External"/><Relationship Id="rId26" Type="http://schemas.openxmlformats.org/officeDocument/2006/relationships/hyperlink" Target="https://alpha.midjourney.com/jobs/3321903a-a303-44ee-8b5d-3487bd693fa9?index=3" TargetMode="External"/><Relationship Id="rId25" Type="http://schemas.openxmlformats.org/officeDocument/2006/relationships/hyperlink" Target="https://alpha.midjourney.com/jobs/4e1424fd-a4dd-430d-b5db-da68488eb78a?index=0" TargetMode="External"/><Relationship Id="rId28" Type="http://schemas.openxmlformats.org/officeDocument/2006/relationships/hyperlink" Target="https://alpha.midjourney.com/jobs/5742c34c-4780-42a9-88f6-56a1b9ce53f4?index=0" TargetMode="External"/><Relationship Id="rId27" Type="http://schemas.openxmlformats.org/officeDocument/2006/relationships/hyperlink" Target="https://alpha.midjourney.com/jobs/a6b9796b-edf3-4af3-9ed5-c8182508947e?index=1" TargetMode="External"/><Relationship Id="rId400" Type="http://schemas.openxmlformats.org/officeDocument/2006/relationships/hyperlink" Target="https://alpha.midjourney.com/jobs/16ae4b70-d224-42db-b6b6-ecf2124ed295?index=0" TargetMode="External"/><Relationship Id="rId521" Type="http://schemas.openxmlformats.org/officeDocument/2006/relationships/hyperlink" Target="https://alpha.midjourney.com/jobs/c6991389-b3bd-41f0-94f8-3a128fa5ced1?index=3" TargetMode="External"/><Relationship Id="rId29" Type="http://schemas.openxmlformats.org/officeDocument/2006/relationships/hyperlink" Target="https://alpha.midjourney.com/jobs/8b38cf8f-f197-4c3a-befd-e184edaf89b1?index=1" TargetMode="External"/><Relationship Id="rId520" Type="http://schemas.openxmlformats.org/officeDocument/2006/relationships/hyperlink" Target="https://alpha.midjourney.com/jobs/2ba47d27-dbef-49be-8e14-890b895409a3?index=2" TargetMode="External"/><Relationship Id="rId11" Type="http://schemas.openxmlformats.org/officeDocument/2006/relationships/hyperlink" Target="https://alpha.midjourney.com/jobs/7e6524d5-fc47-4a64-ac87-5ec5a5ddad4c?index=3" TargetMode="External"/><Relationship Id="rId10" Type="http://schemas.openxmlformats.org/officeDocument/2006/relationships/hyperlink" Target="https://alpha.midjourney.com/jobs/7e6524d5-fc47-4a64-ac87-5ec5a5ddad4c?index=1" TargetMode="External"/><Relationship Id="rId13" Type="http://schemas.openxmlformats.org/officeDocument/2006/relationships/hyperlink" Target="https://alpha.midjourney.com/jobs/bf2b9797-ca47-418b-8b51-f73b166d794e?index=0" TargetMode="External"/><Relationship Id="rId12" Type="http://schemas.openxmlformats.org/officeDocument/2006/relationships/hyperlink" Target="https://alpha.midjourney.com/jobs/e10bf9b3-3d4a-458c-b4e9-595c4cddd9bf?index=0" TargetMode="External"/><Relationship Id="rId519" Type="http://schemas.openxmlformats.org/officeDocument/2006/relationships/hyperlink" Target="https://alpha.midjourney.com/jobs/cbeba22e-057c-463e-8a6c-d84fec4e4147?index=0" TargetMode="External"/><Relationship Id="rId514" Type="http://schemas.openxmlformats.org/officeDocument/2006/relationships/hyperlink" Target="https://alpha.midjourney.com/jobs/3a69abc9-4dbb-4de3-8916-1f75f4991dac?index=3" TargetMode="External"/><Relationship Id="rId513" Type="http://schemas.openxmlformats.org/officeDocument/2006/relationships/hyperlink" Target="https://alpha.midjourney.com/jobs/aff786fd-7fc1-4a2d-9343-59060d86249f?index=0" TargetMode="External"/><Relationship Id="rId512" Type="http://schemas.openxmlformats.org/officeDocument/2006/relationships/hyperlink" Target="https://alpha.midjourney.com/jobs/beade48b-dfc3-4b0d-a7b3-e813a507b363?index=0" TargetMode="External"/><Relationship Id="rId511" Type="http://schemas.openxmlformats.org/officeDocument/2006/relationships/hyperlink" Target="https://alpha.midjourney.com/jobs/e6884d89-a8ec-43ec-85a8-dcc30ca69669?index=3" TargetMode="External"/><Relationship Id="rId518" Type="http://schemas.openxmlformats.org/officeDocument/2006/relationships/hyperlink" Target="https://alpha.midjourney.com/jobs/b1d61053-bd99-4609-9c8c-ba7d1af8873a?index=2" TargetMode="External"/><Relationship Id="rId517" Type="http://schemas.openxmlformats.org/officeDocument/2006/relationships/hyperlink" Target="https://alpha.midjourney.com/jobs/939e6242-52c0-48ac-b399-3e52fec2a04a?index=0" TargetMode="External"/><Relationship Id="rId516" Type="http://schemas.openxmlformats.org/officeDocument/2006/relationships/hyperlink" Target="https://alpha.midjourney.com/jobs/9782e556-bad6-4ad2-9833-8d831131a5eb?index=1" TargetMode="External"/><Relationship Id="rId515" Type="http://schemas.openxmlformats.org/officeDocument/2006/relationships/hyperlink" Target="https://alpha.midjourney.com/jobs/5c6c381c-6392-4f21-a9e1-c5126a4d283d?index=2" TargetMode="External"/><Relationship Id="rId15" Type="http://schemas.openxmlformats.org/officeDocument/2006/relationships/hyperlink" Target="https://alpha.midjourney.com/jobs/1ae58892-c0c7-4cd2-b4f2-61e436a76acb?index=0" TargetMode="External"/><Relationship Id="rId14" Type="http://schemas.openxmlformats.org/officeDocument/2006/relationships/hyperlink" Target="https://alpha.midjourney.com/jobs/bd138556-f391-44ec-ab68-5aa4b5a9f606?index=1" TargetMode="External"/><Relationship Id="rId17" Type="http://schemas.openxmlformats.org/officeDocument/2006/relationships/hyperlink" Target="https://alpha.midjourney.com/jobs/7b73514c-612c-4f7a-b7b0-8d03ff687646?index=1" TargetMode="External"/><Relationship Id="rId16" Type="http://schemas.openxmlformats.org/officeDocument/2006/relationships/hyperlink" Target="https://alpha.midjourney.com/jobs/13499ec2-9a5a-4595-9ccd-fbcfe0fffeaf?index=0" TargetMode="External"/><Relationship Id="rId19" Type="http://schemas.openxmlformats.org/officeDocument/2006/relationships/hyperlink" Target="https://alpha.midjourney.com/jobs/fb9ad282-f768-4726-b79b-f40c11d0277b?index=3" TargetMode="External"/><Relationship Id="rId510" Type="http://schemas.openxmlformats.org/officeDocument/2006/relationships/hyperlink" Target="https://alpha.midjourney.com/jobs/d8f42a0c-63c6-40cf-9275-6ffc2157f99f?index=1" TargetMode="External"/><Relationship Id="rId18" Type="http://schemas.openxmlformats.org/officeDocument/2006/relationships/hyperlink" Target="https://alpha.midjourney.com/jobs/13533eea-4c56-4787-a8d1-5b5de4d2fe40?index=0" TargetMode="External"/><Relationship Id="rId84" Type="http://schemas.openxmlformats.org/officeDocument/2006/relationships/hyperlink" Target="https://alpha.midjourney.com/jobs/da9010de-44c1-42bf-8bbc-f7eb026c1882?index=2" TargetMode="External"/><Relationship Id="rId83" Type="http://schemas.openxmlformats.org/officeDocument/2006/relationships/hyperlink" Target="https://alpha.midjourney.com/jobs/42ab612c-d4a4-4640-b0eb-a0098355068a?index=1" TargetMode="External"/><Relationship Id="rId86" Type="http://schemas.openxmlformats.org/officeDocument/2006/relationships/hyperlink" Target="https://alpha.midjourney.com/jobs/5af4932e-1176-4e5d-a15a-6e1142f73928?index=2" TargetMode="External"/><Relationship Id="rId85" Type="http://schemas.openxmlformats.org/officeDocument/2006/relationships/hyperlink" Target="https://alpha.midjourney.com/jobs/bdfca501-4b58-4f97-83e7-bcf89c7e7f5e?index=0" TargetMode="External"/><Relationship Id="rId88" Type="http://schemas.openxmlformats.org/officeDocument/2006/relationships/hyperlink" Target="https://alpha.midjourney.com/jobs/a530c54d-e253-4627-adf2-00999c92b877?index=1" TargetMode="External"/><Relationship Id="rId87" Type="http://schemas.openxmlformats.org/officeDocument/2006/relationships/hyperlink" Target="https://alpha.midjourney.com/jobs/e6e0a2be-8317-493d-9a2a-cb227f34a270?index=0" TargetMode="External"/><Relationship Id="rId89" Type="http://schemas.openxmlformats.org/officeDocument/2006/relationships/hyperlink" Target="https://alpha.midjourney.com/jobs/05e7dc87-7c7f-400d-b1d6-3bce616d0bfb?index=0" TargetMode="External"/><Relationship Id="rId80" Type="http://schemas.openxmlformats.org/officeDocument/2006/relationships/hyperlink" Target="https://alpha.midjourney.com/jobs/20fb2d42-8fe0-4690-82e2-b7936769540e?index=1" TargetMode="External"/><Relationship Id="rId82" Type="http://schemas.openxmlformats.org/officeDocument/2006/relationships/hyperlink" Target="https://alpha.midjourney.com/jobs/42ab612c-d4a4-4640-b0eb-a0098355068a?index=2" TargetMode="External"/><Relationship Id="rId81" Type="http://schemas.openxmlformats.org/officeDocument/2006/relationships/hyperlink" Target="https://alpha.midjourney.com/jobs/bb160c1d-6202-4543-88a9-152dadcce248?index=2" TargetMode="External"/><Relationship Id="rId73" Type="http://schemas.openxmlformats.org/officeDocument/2006/relationships/hyperlink" Target="https://alpha.midjourney.com/jobs/93adb4ae-5796-400d-8a5b-0445ab93be6c?index=3" TargetMode="External"/><Relationship Id="rId72" Type="http://schemas.openxmlformats.org/officeDocument/2006/relationships/hyperlink" Target="https://alpha.midjourney.com/jobs/d19499fa-993e-4909-94ee-2b9c8761e795?index=1" TargetMode="External"/><Relationship Id="rId75" Type="http://schemas.openxmlformats.org/officeDocument/2006/relationships/hyperlink" Target="https://alpha.midjourney.com/jobs/02764ac5-6b69-4645-b186-6ada5c5faed8?index=3" TargetMode="External"/><Relationship Id="rId74" Type="http://schemas.openxmlformats.org/officeDocument/2006/relationships/hyperlink" Target="https://alpha.midjourney.com/jobs/cd0a04f4-a1cb-40f4-910e-eb46d3902255?index=0" TargetMode="External"/><Relationship Id="rId77" Type="http://schemas.openxmlformats.org/officeDocument/2006/relationships/hyperlink" Target="https://alpha.midjourney.com/jobs/172ae98b-46c0-4825-b85b-219a47dfecc0?index=2" TargetMode="External"/><Relationship Id="rId76" Type="http://schemas.openxmlformats.org/officeDocument/2006/relationships/hyperlink" Target="https://alpha.midjourney.com/jobs/4cc82fb7-ff66-4625-86b9-bd6b6019e512?index=2" TargetMode="External"/><Relationship Id="rId79" Type="http://schemas.openxmlformats.org/officeDocument/2006/relationships/hyperlink" Target="https://alpha.midjourney.com/jobs/2780038d-6258-4c7a-a5e0-700cdfe423f9?index=0" TargetMode="External"/><Relationship Id="rId78" Type="http://schemas.openxmlformats.org/officeDocument/2006/relationships/hyperlink" Target="https://alpha.midjourney.com/jobs/ab137782-70f1-4ba3-840a-49cf4fda7bbe?index=3" TargetMode="External"/><Relationship Id="rId71" Type="http://schemas.openxmlformats.org/officeDocument/2006/relationships/hyperlink" Target="https://alpha.midjourney.com/jobs/0852a4f6-c4cd-4d01-a719-8673b0ba2f74?index=1" TargetMode="External"/><Relationship Id="rId70" Type="http://schemas.openxmlformats.org/officeDocument/2006/relationships/hyperlink" Target="https://alpha.midjourney.com/jobs/bce13b19-a5b7-4895-991c-a343e7295bea?index=2" TargetMode="External"/><Relationship Id="rId62" Type="http://schemas.openxmlformats.org/officeDocument/2006/relationships/hyperlink" Target="https://alpha.midjourney.com/jobs/ff5ef09d-ca5a-4078-8295-e865d3f5ef86?index=3" TargetMode="External"/><Relationship Id="rId61" Type="http://schemas.openxmlformats.org/officeDocument/2006/relationships/hyperlink" Target="https://alpha.midjourney.com/jobs/68687551-a06f-4550-bc88-6c49a58ac029?index=2" TargetMode="External"/><Relationship Id="rId64" Type="http://schemas.openxmlformats.org/officeDocument/2006/relationships/hyperlink" Target="https://alpha.midjourney.com/jobs/c2526578-9eb7-4bfc-b6cd-0f981333543c?index=1" TargetMode="External"/><Relationship Id="rId63" Type="http://schemas.openxmlformats.org/officeDocument/2006/relationships/hyperlink" Target="https://alpha.midjourney.com/jobs/804192d1-d6b1-471f-8286-b2c1ae535674?index=3" TargetMode="External"/><Relationship Id="rId66" Type="http://schemas.openxmlformats.org/officeDocument/2006/relationships/hyperlink" Target="https://alpha.midjourney.com/jobs/65856a62-0cc5-4789-aeaa-4499b714d3e5?index=0" TargetMode="External"/><Relationship Id="rId65" Type="http://schemas.openxmlformats.org/officeDocument/2006/relationships/hyperlink" Target="https://alpha.midjourney.com/jobs/12474128-0863-4da2-aff8-997b73fe9878?index=3" TargetMode="External"/><Relationship Id="rId68" Type="http://schemas.openxmlformats.org/officeDocument/2006/relationships/hyperlink" Target="https://alpha.midjourney.com/jobs/f0b193a4-3e5e-45a0-b6e9-a1b7fcfb4f49?index=2" TargetMode="External"/><Relationship Id="rId67" Type="http://schemas.openxmlformats.org/officeDocument/2006/relationships/hyperlink" Target="https://alpha.midjourney.com/jobs/9062fc96-38af-4b94-bb8b-58724ee3e784?index=3" TargetMode="External"/><Relationship Id="rId60" Type="http://schemas.openxmlformats.org/officeDocument/2006/relationships/hyperlink" Target="https://alpha.midjourney.com/jobs/903c649b-d0e0-4b79-8d43-b2091e120243?index=0" TargetMode="External"/><Relationship Id="rId69" Type="http://schemas.openxmlformats.org/officeDocument/2006/relationships/hyperlink" Target="https://alpha.midjourney.com/jobs/2593ed6f-b67a-4e7f-a8f9-a36157ed8f86?index=1" TargetMode="External"/><Relationship Id="rId51" Type="http://schemas.openxmlformats.org/officeDocument/2006/relationships/hyperlink" Target="https://alpha.midjourney.com/jobs/957a1f61-1c1b-4a33-82ab-c17bcc78d8f9?index=0" TargetMode="External"/><Relationship Id="rId50" Type="http://schemas.openxmlformats.org/officeDocument/2006/relationships/hyperlink" Target="https://alpha.midjourney.com/jobs/957a1f61-1c1b-4a33-82ab-c17bcc78d8f9?index=1" TargetMode="External"/><Relationship Id="rId53" Type="http://schemas.openxmlformats.org/officeDocument/2006/relationships/hyperlink" Target="https://alpha.midjourney.com/jobs/011a319f-3ec2-43a4-ae07-e31e88bbcfcf?index=2" TargetMode="External"/><Relationship Id="rId52" Type="http://schemas.openxmlformats.org/officeDocument/2006/relationships/hyperlink" Target="https://alpha.midjourney.com/jobs/a05bda9e-586e-49de-8c32-0f6e47fd8831?index=2" TargetMode="External"/><Relationship Id="rId55" Type="http://schemas.openxmlformats.org/officeDocument/2006/relationships/hyperlink" Target="https://alpha.midjourney.com/jobs/7515835a-18c0-492f-95bd-2b1b2539a4df?index=1" TargetMode="External"/><Relationship Id="rId54" Type="http://schemas.openxmlformats.org/officeDocument/2006/relationships/hyperlink" Target="https://alpha.midjourney.com/jobs/34302934-0ce2-4d12-9b6b-bcbfb2dd2748?index=0" TargetMode="External"/><Relationship Id="rId57" Type="http://schemas.openxmlformats.org/officeDocument/2006/relationships/hyperlink" Target="https://alpha.midjourney.com/jobs/faebf78e-524b-4699-86cf-5a06ec2912c9?index=0" TargetMode="External"/><Relationship Id="rId56" Type="http://schemas.openxmlformats.org/officeDocument/2006/relationships/hyperlink" Target="https://alpha.midjourney.com/jobs/219392dd-7217-4d08-88a4-07fe545e4e60?index=0" TargetMode="External"/><Relationship Id="rId59" Type="http://schemas.openxmlformats.org/officeDocument/2006/relationships/hyperlink" Target="https://alpha.midjourney.com/jobs/903c649b-d0e0-4b79-8d43-b2091e120243?index=3" TargetMode="External"/><Relationship Id="rId58" Type="http://schemas.openxmlformats.org/officeDocument/2006/relationships/hyperlink" Target="https://alpha.midjourney.com/jobs/ff5ef09d-ca5a-4078-8295-e865d3f5ef86?index=1" TargetMode="External"/><Relationship Id="rId590" Type="http://schemas.openxmlformats.org/officeDocument/2006/relationships/hyperlink" Target="https://alpha.midjourney.com/jobs/b6b028b1-6920-4dde-9694-73d589c7969e?index=1" TargetMode="External"/><Relationship Id="rId107" Type="http://schemas.openxmlformats.org/officeDocument/2006/relationships/hyperlink" Target="https://alpha.midjourney.com/jobs/97f8b1ac-677e-491b-803f-a08321d0a5b3?index=0" TargetMode="External"/><Relationship Id="rId228" Type="http://schemas.openxmlformats.org/officeDocument/2006/relationships/hyperlink" Target="https://alpha.midjourney.com/jobs/0ac155c4-dccd-49ea-a6ba-b70dd8d8e9a3?index=2" TargetMode="External"/><Relationship Id="rId349" Type="http://schemas.openxmlformats.org/officeDocument/2006/relationships/hyperlink" Target="https://alpha.midjourney.com/jobs/04e07353-17ab-4846-84bc-818bc402f09d?index=1" TargetMode="External"/><Relationship Id="rId106" Type="http://schemas.openxmlformats.org/officeDocument/2006/relationships/hyperlink" Target="https://alpha.midjourney.com/jobs/7e117333-a3b5-48ce-84fb-ea1d5889f52c?index=3" TargetMode="External"/><Relationship Id="rId227" Type="http://schemas.openxmlformats.org/officeDocument/2006/relationships/hyperlink" Target="https://alpha.midjourney.com/jobs/712bc1b1-a311-4c9e-8fd3-9084faf62db5?index=2" TargetMode="External"/><Relationship Id="rId348" Type="http://schemas.openxmlformats.org/officeDocument/2006/relationships/hyperlink" Target="https://alpha.midjourney.com/jobs/c0768680-bd4c-4545-846f-002afd6a854b?index=0" TargetMode="External"/><Relationship Id="rId469" Type="http://schemas.openxmlformats.org/officeDocument/2006/relationships/hyperlink" Target="https://alpha.midjourney.com/jobs/9978fdf6-d358-4abc-9d71-d32a8d78e40a?index=1" TargetMode="External"/><Relationship Id="rId105" Type="http://schemas.openxmlformats.org/officeDocument/2006/relationships/hyperlink" Target="https://alpha.midjourney.com/jobs/7438c9cc-d782-4fee-9713-d3f301d7df3e?index=1" TargetMode="External"/><Relationship Id="rId226" Type="http://schemas.openxmlformats.org/officeDocument/2006/relationships/hyperlink" Target="https://alpha.midjourney.com/jobs/712bc1b1-a311-4c9e-8fd3-9084faf62db5?index=1" TargetMode="External"/><Relationship Id="rId347" Type="http://schemas.openxmlformats.org/officeDocument/2006/relationships/hyperlink" Target="https://alpha.midjourney.com/jobs/3ffc8199-7676-44a0-b357-0e6a826b2531?index=1" TargetMode="External"/><Relationship Id="rId468" Type="http://schemas.openxmlformats.org/officeDocument/2006/relationships/hyperlink" Target="https://alpha.midjourney.com/jobs/2627db62-ac7f-48d3-8657-931ef0586217?index=0" TargetMode="External"/><Relationship Id="rId589" Type="http://schemas.openxmlformats.org/officeDocument/2006/relationships/hyperlink" Target="https://alpha.midjourney.com/jobs/d32d623f-8304-4652-a723-5e08c4834598?index=0" TargetMode="External"/><Relationship Id="rId104" Type="http://schemas.openxmlformats.org/officeDocument/2006/relationships/hyperlink" Target="https://alpha.midjourney.com/jobs/6364f253-c9ef-441f-a5a5-5cd35f3f48b4?index=1" TargetMode="External"/><Relationship Id="rId225" Type="http://schemas.openxmlformats.org/officeDocument/2006/relationships/hyperlink" Target="https://alpha.midjourney.com/jobs/edce3cff-dccc-4dd6-927a-c86b99379750?index=1" TargetMode="External"/><Relationship Id="rId346" Type="http://schemas.openxmlformats.org/officeDocument/2006/relationships/hyperlink" Target="https://alpha.midjourney.com/jobs/f4364281-c341-4325-823b-cc159f62e3fa?index=1" TargetMode="External"/><Relationship Id="rId467" Type="http://schemas.openxmlformats.org/officeDocument/2006/relationships/hyperlink" Target="https://alpha.midjourney.com/jobs/cd68eca5-b2a0-4c1c-8754-be10ef5594c4?index=0" TargetMode="External"/><Relationship Id="rId588" Type="http://schemas.openxmlformats.org/officeDocument/2006/relationships/hyperlink" Target="https://alpha.midjourney.com/jobs/d32d623f-8304-4652-a723-5e08c4834598?index=1" TargetMode="External"/><Relationship Id="rId109" Type="http://schemas.openxmlformats.org/officeDocument/2006/relationships/hyperlink" Target="https://alpha.midjourney.com/jobs/97d76fab-e567-498a-9cd5-fce2669c45a7?index=1" TargetMode="External"/><Relationship Id="rId108" Type="http://schemas.openxmlformats.org/officeDocument/2006/relationships/hyperlink" Target="https://alpha.midjourney.com/jobs/9b9f1932-7b85-4dc2-b89b-c5db313881fe?index=1" TargetMode="External"/><Relationship Id="rId229" Type="http://schemas.openxmlformats.org/officeDocument/2006/relationships/hyperlink" Target="https://alpha.midjourney.com/jobs/4675fbf5-6bfc-4c8a-9092-aaf4e3643f28?index=2" TargetMode="External"/><Relationship Id="rId220" Type="http://schemas.openxmlformats.org/officeDocument/2006/relationships/hyperlink" Target="https://alpha.midjourney.com/jobs/aa3828cc-da5b-44fd-a991-7dfa8d358eca?index=1" TargetMode="External"/><Relationship Id="rId341" Type="http://schemas.openxmlformats.org/officeDocument/2006/relationships/hyperlink" Target="https://alpha.midjourney.com/jobs/cb44e85d-870b-4bc6-8948-450c772daf5c?index=0" TargetMode="External"/><Relationship Id="rId462" Type="http://schemas.openxmlformats.org/officeDocument/2006/relationships/hyperlink" Target="https://alpha.midjourney.com/jobs/c05760f1-f3cd-41ec-8511-d7268f2ece64?index=2" TargetMode="External"/><Relationship Id="rId583" Type="http://schemas.openxmlformats.org/officeDocument/2006/relationships/hyperlink" Target="https://alpha.midjourney.com/jobs/a3f9b0a5-cf95-46d6-b2ad-b875e23a9b7b?index=2" TargetMode="External"/><Relationship Id="rId340" Type="http://schemas.openxmlformats.org/officeDocument/2006/relationships/hyperlink" Target="https://alpha.midjourney.com/jobs/23732ab2-74d0-4739-baaf-5e6c23e8873a?index=0" TargetMode="External"/><Relationship Id="rId461" Type="http://schemas.openxmlformats.org/officeDocument/2006/relationships/hyperlink" Target="https://alpha.midjourney.com/jobs/c05760f1-f3cd-41ec-8511-d7268f2ece64?index=0" TargetMode="External"/><Relationship Id="rId582" Type="http://schemas.openxmlformats.org/officeDocument/2006/relationships/hyperlink" Target="https://alpha.midjourney.com/jobs/a3f9b0a5-cf95-46d6-b2ad-b875e23a9b7b?index=3" TargetMode="External"/><Relationship Id="rId460" Type="http://schemas.openxmlformats.org/officeDocument/2006/relationships/hyperlink" Target="https://alpha.midjourney.com/jobs/c05760f1-f3cd-41ec-8511-d7268f2ece64?index=3" TargetMode="External"/><Relationship Id="rId581" Type="http://schemas.openxmlformats.org/officeDocument/2006/relationships/hyperlink" Target="https://alpha.midjourney.com/jobs/2be582e5-299d-470b-9cbc-a89027a4991d?index=3" TargetMode="External"/><Relationship Id="rId580" Type="http://schemas.openxmlformats.org/officeDocument/2006/relationships/hyperlink" Target="https://alpha.midjourney.com/jobs/82cf010f-86e1-4c76-bba4-1f5a5c122086?index=3" TargetMode="External"/><Relationship Id="rId103" Type="http://schemas.openxmlformats.org/officeDocument/2006/relationships/hyperlink" Target="https://alpha.midjourney.com/jobs/6364f253-c9ef-441f-a5a5-5cd35f3f48b4?index=2" TargetMode="External"/><Relationship Id="rId224" Type="http://schemas.openxmlformats.org/officeDocument/2006/relationships/hyperlink" Target="https://alpha.midjourney.com/jobs/4a4fcd20-cf99-4f08-98be-e4a9a21447fd?index=2" TargetMode="External"/><Relationship Id="rId345" Type="http://schemas.openxmlformats.org/officeDocument/2006/relationships/hyperlink" Target="https://alpha.midjourney.com/jobs/f4364281-c341-4325-823b-cc159f62e3fa?index=3" TargetMode="External"/><Relationship Id="rId466" Type="http://schemas.openxmlformats.org/officeDocument/2006/relationships/hyperlink" Target="https://alpha.midjourney.com/jobs/cd68eca5-b2a0-4c1c-8754-be10ef5594c4?index=2" TargetMode="External"/><Relationship Id="rId587" Type="http://schemas.openxmlformats.org/officeDocument/2006/relationships/hyperlink" Target="https://alpha.midjourney.com/jobs/74ae0134-7c5f-4b5f-b25f-6d6412423dc0?index=1" TargetMode="External"/><Relationship Id="rId102" Type="http://schemas.openxmlformats.org/officeDocument/2006/relationships/hyperlink" Target="https://alpha.midjourney.com/jobs/f9350fe6-d4bf-4a09-be2d-6d486b1be787?index=3" TargetMode="External"/><Relationship Id="rId223" Type="http://schemas.openxmlformats.org/officeDocument/2006/relationships/hyperlink" Target="https://alpha.midjourney.com/jobs/9d22a6ef-3cfd-4390-83a1-bcb607bfc60e?index=2" TargetMode="External"/><Relationship Id="rId344" Type="http://schemas.openxmlformats.org/officeDocument/2006/relationships/hyperlink" Target="https://alpha.midjourney.com/jobs/736a8fe4-c031-4266-a180-8d5fa8d7a20c?index=3" TargetMode="External"/><Relationship Id="rId465" Type="http://schemas.openxmlformats.org/officeDocument/2006/relationships/hyperlink" Target="https://alpha.midjourney.com/jobs/ffb1e104-375b-4f63-8128-521e20f32108?index=3" TargetMode="External"/><Relationship Id="rId586" Type="http://schemas.openxmlformats.org/officeDocument/2006/relationships/hyperlink" Target="https://alpha.midjourney.com/jobs/b446efd1-d0f0-46e6-bb05-0789f08d931d?index=3" TargetMode="External"/><Relationship Id="rId101" Type="http://schemas.openxmlformats.org/officeDocument/2006/relationships/hyperlink" Target="https://alpha.midjourney.com/jobs/522c30ba-cd4c-47ac-8df5-bc6a0c728eef?index=0" TargetMode="External"/><Relationship Id="rId222" Type="http://schemas.openxmlformats.org/officeDocument/2006/relationships/hyperlink" Target="https://alpha.midjourney.com/jobs/9d22a6ef-3cfd-4390-83a1-bcb607bfc60e?index=0" TargetMode="External"/><Relationship Id="rId343" Type="http://schemas.openxmlformats.org/officeDocument/2006/relationships/hyperlink" Target="https://alpha.midjourney.com/jobs/97987280-b216-408a-9bcb-dd348cfcb803?index=1" TargetMode="External"/><Relationship Id="rId464" Type="http://schemas.openxmlformats.org/officeDocument/2006/relationships/hyperlink" Target="https://alpha.midjourney.com/jobs/60b4cdd1-0eb4-42fa-9e84-240b001d2af7?index=1" TargetMode="External"/><Relationship Id="rId585" Type="http://schemas.openxmlformats.org/officeDocument/2006/relationships/hyperlink" Target="https://alpha.midjourney.com/jobs/b446efd1-d0f0-46e6-bb05-0789f08d931d?index=1" TargetMode="External"/><Relationship Id="rId100" Type="http://schemas.openxmlformats.org/officeDocument/2006/relationships/hyperlink" Target="https://alpha.midjourney.com/jobs/c5421a0e-601f-4a74-bd6d-431efe095978?index=2" TargetMode="External"/><Relationship Id="rId221" Type="http://schemas.openxmlformats.org/officeDocument/2006/relationships/hyperlink" Target="https://alpha.midjourney.com/jobs/bb66d639-f343-4845-af2a-5eb193006647?index=0" TargetMode="External"/><Relationship Id="rId342" Type="http://schemas.openxmlformats.org/officeDocument/2006/relationships/hyperlink" Target="https://alpha.midjourney.com/jobs/258f8be4-8fc8-47e9-9423-4d7e9f7e209b?index=0" TargetMode="External"/><Relationship Id="rId463" Type="http://schemas.openxmlformats.org/officeDocument/2006/relationships/hyperlink" Target="https://alpha.midjourney.com/jobs/14c4af69-8e71-4174-ab81-7b2daa2c165f?index=3" TargetMode="External"/><Relationship Id="rId584" Type="http://schemas.openxmlformats.org/officeDocument/2006/relationships/hyperlink" Target="https://alpha.midjourney.com/jobs/a3f9b0a5-cf95-46d6-b2ad-b875e23a9b7b?index=1" TargetMode="External"/><Relationship Id="rId217" Type="http://schemas.openxmlformats.org/officeDocument/2006/relationships/hyperlink" Target="https://alpha.midjourney.com/jobs/87f09264-db69-471c-a5b1-db98d924778f?index=0" TargetMode="External"/><Relationship Id="rId338" Type="http://schemas.openxmlformats.org/officeDocument/2006/relationships/hyperlink" Target="https://alpha.midjourney.com/jobs/89af2c6d-773c-4b37-a02a-c29797ab5507?index=2" TargetMode="External"/><Relationship Id="rId459" Type="http://schemas.openxmlformats.org/officeDocument/2006/relationships/hyperlink" Target="https://alpha.midjourney.com/jobs/f73f0149-0f46-4732-a763-e53b93a1af4c?index=2" TargetMode="External"/><Relationship Id="rId216" Type="http://schemas.openxmlformats.org/officeDocument/2006/relationships/hyperlink" Target="https://alpha.midjourney.com/jobs/53760255-c6fe-4c4c-ac76-95aa017993f9?index=1" TargetMode="External"/><Relationship Id="rId337" Type="http://schemas.openxmlformats.org/officeDocument/2006/relationships/hyperlink" Target="https://alpha.midjourney.com/jobs/c57f1fec-7402-4dfa-a0da-3df1bc5a18a7?index=2" TargetMode="External"/><Relationship Id="rId458" Type="http://schemas.openxmlformats.org/officeDocument/2006/relationships/hyperlink" Target="https://alpha.midjourney.com/jobs/4ff343f0-4546-4f8f-bb97-7214850f4953?index=3" TargetMode="External"/><Relationship Id="rId579" Type="http://schemas.openxmlformats.org/officeDocument/2006/relationships/hyperlink" Target="https://alpha.midjourney.com/jobs/82cf010f-86e1-4c76-bba4-1f5a5c122086?index=2" TargetMode="External"/><Relationship Id="rId215" Type="http://schemas.openxmlformats.org/officeDocument/2006/relationships/hyperlink" Target="https://alpha.midjourney.com/jobs/841174db-5c68-41e8-819a-09fa028c5943?index=0" TargetMode="External"/><Relationship Id="rId336" Type="http://schemas.openxmlformats.org/officeDocument/2006/relationships/hyperlink" Target="https://alpha.midjourney.com/jobs/c01595f3-8df5-40fb-ad79-c4ab3f4993bf?index=3" TargetMode="External"/><Relationship Id="rId457" Type="http://schemas.openxmlformats.org/officeDocument/2006/relationships/hyperlink" Target="https://alpha.midjourney.com/jobs/4ff343f0-4546-4f8f-bb97-7214850f4953?index=1" TargetMode="External"/><Relationship Id="rId578" Type="http://schemas.openxmlformats.org/officeDocument/2006/relationships/hyperlink" Target="https://alpha.midjourney.com/jobs/22a34a29-1762-4b99-a1b7-f4960f0961b3?index=0" TargetMode="External"/><Relationship Id="rId214" Type="http://schemas.openxmlformats.org/officeDocument/2006/relationships/hyperlink" Target="https://alpha.midjourney.com/jobs/841174db-5c68-41e8-819a-09fa028c5943?index=3" TargetMode="External"/><Relationship Id="rId335" Type="http://schemas.openxmlformats.org/officeDocument/2006/relationships/hyperlink" Target="https://alpha.midjourney.com/jobs/eca24b96-706c-4dc3-98e0-b7e7167890f1?index=1" TargetMode="External"/><Relationship Id="rId456" Type="http://schemas.openxmlformats.org/officeDocument/2006/relationships/hyperlink" Target="https://alpha.midjourney.com/jobs/81588d14-ce8b-416b-ab7d-351ff14b045b?index=1" TargetMode="External"/><Relationship Id="rId577" Type="http://schemas.openxmlformats.org/officeDocument/2006/relationships/hyperlink" Target="https://alpha.midjourney.com/jobs/b4e6f87d-bee5-4e2c-bc71-25002b90cf7b?index=2" TargetMode="External"/><Relationship Id="rId219" Type="http://schemas.openxmlformats.org/officeDocument/2006/relationships/hyperlink" Target="https://alpha.midjourney.com/jobs/b5789562-2e2e-4ceb-8443-0ae424a3c7dd?index=3" TargetMode="External"/><Relationship Id="rId218" Type="http://schemas.openxmlformats.org/officeDocument/2006/relationships/hyperlink" Target="https://alpha.midjourney.com/jobs/87f09264-db69-471c-a5b1-db98d924778f?index=3" TargetMode="External"/><Relationship Id="rId339" Type="http://schemas.openxmlformats.org/officeDocument/2006/relationships/hyperlink" Target="https://alpha.midjourney.com/jobs/f04b4fbf-83ad-4f50-9c3a-68843e69ef11?index=2" TargetMode="External"/><Relationship Id="rId330" Type="http://schemas.openxmlformats.org/officeDocument/2006/relationships/hyperlink" Target="https://alpha.midjourney.com/jobs/13f74e45-15bf-4673-a15e-3672c00526da?index=2" TargetMode="External"/><Relationship Id="rId451" Type="http://schemas.openxmlformats.org/officeDocument/2006/relationships/hyperlink" Target="https://alpha.midjourney.com/jobs/1c7bdaca-4cf8-4915-ae8e-aacfc7c209d2?index=3" TargetMode="External"/><Relationship Id="rId572" Type="http://schemas.openxmlformats.org/officeDocument/2006/relationships/hyperlink" Target="https://alpha.midjourney.com/jobs/e9cfddb2-74e8-4821-93ef-db5a57e9c0e6?index=1" TargetMode="External"/><Relationship Id="rId450" Type="http://schemas.openxmlformats.org/officeDocument/2006/relationships/hyperlink" Target="https://alpha.midjourney.com/jobs/cb3ef15b-833e-4f93-9735-f5e82d3fc66a?index=0" TargetMode="External"/><Relationship Id="rId571" Type="http://schemas.openxmlformats.org/officeDocument/2006/relationships/hyperlink" Target="https://alpha.midjourney.com/jobs/a407a34c-2a7a-47d2-858a-c385875cdc0c?index=0" TargetMode="External"/><Relationship Id="rId570" Type="http://schemas.openxmlformats.org/officeDocument/2006/relationships/hyperlink" Target="https://alpha.midjourney.com/jobs/210e4748-4c39-4d6d-84d6-16b05dcaab37?index=1" TargetMode="External"/><Relationship Id="rId213" Type="http://schemas.openxmlformats.org/officeDocument/2006/relationships/hyperlink" Target="https://alpha.midjourney.com/jobs/8f47bfa6-8da8-478d-aba1-dff1a5520f1c?index=0" TargetMode="External"/><Relationship Id="rId334" Type="http://schemas.openxmlformats.org/officeDocument/2006/relationships/hyperlink" Target="https://alpha.midjourney.com/jobs/22bb3e8d-5c52-4c44-8587-02c99977f143?index=0" TargetMode="External"/><Relationship Id="rId455" Type="http://schemas.openxmlformats.org/officeDocument/2006/relationships/hyperlink" Target="https://alpha.midjourney.com/jobs/a70a1341-a55b-41e0-af0e-c975f47bf9b4?index=0" TargetMode="External"/><Relationship Id="rId576" Type="http://schemas.openxmlformats.org/officeDocument/2006/relationships/hyperlink" Target="https://alpha.midjourney.com/jobs/b4e6f87d-bee5-4e2c-bc71-25002b90cf7b?index=3" TargetMode="External"/><Relationship Id="rId212" Type="http://schemas.openxmlformats.org/officeDocument/2006/relationships/hyperlink" Target="https://alpha.midjourney.com/jobs/61d71d29-7f19-4719-9f9d-b595a90e7eac?index=3" TargetMode="External"/><Relationship Id="rId333" Type="http://schemas.openxmlformats.org/officeDocument/2006/relationships/hyperlink" Target="https://alpha.midjourney.com/jobs/7ab22aed-daaa-486c-bcb0-51549f984fe3?index=0" TargetMode="External"/><Relationship Id="rId454" Type="http://schemas.openxmlformats.org/officeDocument/2006/relationships/hyperlink" Target="https://alpha.midjourney.com/jobs/54b00b16-65a7-4baa-b8e3-37fd71f85d8f?index=3" TargetMode="External"/><Relationship Id="rId575" Type="http://schemas.openxmlformats.org/officeDocument/2006/relationships/hyperlink" Target="https://alpha.midjourney.com/jobs/7f83f9df-7679-4c80-af2f-aaa0f9a41c1e?index=0" TargetMode="External"/><Relationship Id="rId211" Type="http://schemas.openxmlformats.org/officeDocument/2006/relationships/hyperlink" Target="https://alpha.midjourney.com/jobs/792d59ef-82cf-4773-9eb4-65105c9208ec?index=2" TargetMode="External"/><Relationship Id="rId332" Type="http://schemas.openxmlformats.org/officeDocument/2006/relationships/hyperlink" Target="https://alpha.midjourney.com/jobs/670cd204-5704-4f12-9125-5eb354177f5f?index=2" TargetMode="External"/><Relationship Id="rId453" Type="http://schemas.openxmlformats.org/officeDocument/2006/relationships/hyperlink" Target="https://alpha.midjourney.com/jobs/fdf1b8f9-ccc0-4aaa-8191-4fab233512d4?index=0" TargetMode="External"/><Relationship Id="rId574" Type="http://schemas.openxmlformats.org/officeDocument/2006/relationships/hyperlink" Target="https://alpha.midjourney.com/jobs/37b0498c-4b19-4c10-b0ef-756203163b3f?index=2" TargetMode="External"/><Relationship Id="rId210" Type="http://schemas.openxmlformats.org/officeDocument/2006/relationships/hyperlink" Target="https://alpha.midjourney.com/jobs/e4901e8f-dc64-4a32-8b4e-4db18f9edb34?index=2" TargetMode="External"/><Relationship Id="rId331" Type="http://schemas.openxmlformats.org/officeDocument/2006/relationships/hyperlink" Target="https://alpha.midjourney.com/jobs/710d0cf8-ce38-4aa4-b3f2-876f350c95e5?index=1" TargetMode="External"/><Relationship Id="rId452" Type="http://schemas.openxmlformats.org/officeDocument/2006/relationships/hyperlink" Target="https://alpha.midjourney.com/jobs/8d1657bf-8d7f-4836-b474-5c1cff1916c0?index=2" TargetMode="External"/><Relationship Id="rId573" Type="http://schemas.openxmlformats.org/officeDocument/2006/relationships/hyperlink" Target="https://alpha.midjourney.com/jobs/3bf3147f-0874-4e69-a5cf-babf4744fc51?index=3" TargetMode="External"/><Relationship Id="rId370" Type="http://schemas.openxmlformats.org/officeDocument/2006/relationships/hyperlink" Target="https://alpha.midjourney.com/jobs/3500932c-0e0c-496e-8393-7f54603731c9?index=3" TargetMode="External"/><Relationship Id="rId491" Type="http://schemas.openxmlformats.org/officeDocument/2006/relationships/hyperlink" Target="https://alpha.midjourney.com/jobs/8300a565-8179-4b9c-9445-18cd11e30feb?index=2" TargetMode="External"/><Relationship Id="rId490" Type="http://schemas.openxmlformats.org/officeDocument/2006/relationships/hyperlink" Target="https://alpha.midjourney.com/jobs/6a68bc3e-bd7f-4880-954d-ff357e0580c0?index=2" TargetMode="External"/><Relationship Id="rId129" Type="http://schemas.openxmlformats.org/officeDocument/2006/relationships/hyperlink" Target="https://alpha.midjourney.com/jobs/3e4015d3-c57e-4d12-9ddb-df5fcfb9d19d?index=0" TargetMode="External"/><Relationship Id="rId128" Type="http://schemas.openxmlformats.org/officeDocument/2006/relationships/hyperlink" Target="https://alpha.midjourney.com/jobs/1368b59f-6a3a-4f37-b704-dc0023c5a39b?index=3" TargetMode="External"/><Relationship Id="rId249" Type="http://schemas.openxmlformats.org/officeDocument/2006/relationships/hyperlink" Target="https://alpha.midjourney.com/jobs/c9877abe-5367-4550-95bd-009c5ca1c395?index=2" TargetMode="External"/><Relationship Id="rId127" Type="http://schemas.openxmlformats.org/officeDocument/2006/relationships/hyperlink" Target="https://alpha.midjourney.com/jobs/1368b59f-6a3a-4f37-b704-dc0023c5a39b?index=0" TargetMode="External"/><Relationship Id="rId248" Type="http://schemas.openxmlformats.org/officeDocument/2006/relationships/hyperlink" Target="https://alpha.midjourney.com/jobs/2ddb8064-c0f9-4c6e-bd7c-5450e649e0ba?index=0" TargetMode="External"/><Relationship Id="rId369" Type="http://schemas.openxmlformats.org/officeDocument/2006/relationships/hyperlink" Target="https://alpha.midjourney.com/jobs/48703433-d069-4669-a233-4fb736b88afa?index=0" TargetMode="External"/><Relationship Id="rId126" Type="http://schemas.openxmlformats.org/officeDocument/2006/relationships/hyperlink" Target="https://alpha.midjourney.com/jobs/a4c0044f-a986-4aa9-87bf-000b67966a4b?index=0" TargetMode="External"/><Relationship Id="rId247" Type="http://schemas.openxmlformats.org/officeDocument/2006/relationships/hyperlink" Target="https://alpha.midjourney.com/jobs/2ddb8064-c0f9-4c6e-bd7c-5450e649e0ba?index=1" TargetMode="External"/><Relationship Id="rId368" Type="http://schemas.openxmlformats.org/officeDocument/2006/relationships/hyperlink" Target="https://alpha.midjourney.com/jobs/48703433-d069-4669-a233-4fb736b88afa?index=2" TargetMode="External"/><Relationship Id="rId489" Type="http://schemas.openxmlformats.org/officeDocument/2006/relationships/hyperlink" Target="https://alpha.midjourney.com/jobs/1896af7e-08b8-4744-8b7a-ffb98cf9d3de?index=1" TargetMode="External"/><Relationship Id="rId121" Type="http://schemas.openxmlformats.org/officeDocument/2006/relationships/hyperlink" Target="https://alpha.midjourney.com/jobs/9f273a40-8ff4-4686-8521-a3d630b0eaf9?index=1" TargetMode="External"/><Relationship Id="rId242" Type="http://schemas.openxmlformats.org/officeDocument/2006/relationships/hyperlink" Target="https://alpha.midjourney.com/jobs/7fc25a68-b33f-47f1-a6ec-9553717b1c97?index=0" TargetMode="External"/><Relationship Id="rId363" Type="http://schemas.openxmlformats.org/officeDocument/2006/relationships/hyperlink" Target="https://alpha.midjourney.com/jobs/95d4bd24-c3f9-417f-be00-e2b02341a172?index=0" TargetMode="External"/><Relationship Id="rId484" Type="http://schemas.openxmlformats.org/officeDocument/2006/relationships/hyperlink" Target="https://alpha.midjourney.com/jobs/cad89887-2107-4a4a-a838-1f9e91e99c08?index=3" TargetMode="External"/><Relationship Id="rId120" Type="http://schemas.openxmlformats.org/officeDocument/2006/relationships/hyperlink" Target="https://alpha.midjourney.com/jobs/a9cd8a18-681f-4ef7-927f-65a2d9169d26?index=0" TargetMode="External"/><Relationship Id="rId241" Type="http://schemas.openxmlformats.org/officeDocument/2006/relationships/hyperlink" Target="https://alpha.midjourney.com/jobs/a57b5b64-f263-4fdf-af6b-1b93580bfe5e?index=0" TargetMode="External"/><Relationship Id="rId362" Type="http://schemas.openxmlformats.org/officeDocument/2006/relationships/hyperlink" Target="https://alpha.midjourney.com/jobs/64a2413c-9261-4124-ba7d-e64c2319aae0?index=0" TargetMode="External"/><Relationship Id="rId483" Type="http://schemas.openxmlformats.org/officeDocument/2006/relationships/hyperlink" Target="https://alpha.midjourney.com/jobs/e18914ea-b88b-4850-b270-9a974e0f9c38?index=3" TargetMode="External"/><Relationship Id="rId240" Type="http://schemas.openxmlformats.org/officeDocument/2006/relationships/hyperlink" Target="https://alpha.midjourney.com/jobs/99049fea-fc5d-4752-b9db-6d8c91ccc8ae?index=2" TargetMode="External"/><Relationship Id="rId361" Type="http://schemas.openxmlformats.org/officeDocument/2006/relationships/hyperlink" Target="https://alpha.midjourney.com/jobs/b7fa891c-92aa-4309-9f37-1140cd8df7b3?index=2" TargetMode="External"/><Relationship Id="rId482" Type="http://schemas.openxmlformats.org/officeDocument/2006/relationships/hyperlink" Target="https://alpha.midjourney.com/jobs/a7bc418c-0990-4a3f-bc7d-3afbdf436f51?index=3" TargetMode="External"/><Relationship Id="rId360" Type="http://schemas.openxmlformats.org/officeDocument/2006/relationships/hyperlink" Target="https://alpha.midjourney.com/jobs/4f36ce57-0d46-485b-824d-f5324b716d84?index=1" TargetMode="External"/><Relationship Id="rId481" Type="http://schemas.openxmlformats.org/officeDocument/2006/relationships/hyperlink" Target="https://alpha.midjourney.com/jobs/f7f3688f-3853-44d1-bca6-d995d6876cc0?index=3" TargetMode="External"/><Relationship Id="rId125" Type="http://schemas.openxmlformats.org/officeDocument/2006/relationships/hyperlink" Target="https://alpha.midjourney.com/jobs/7a2e29fb-bd98-4d30-88b2-8bfee70c4a47?index=0" TargetMode="External"/><Relationship Id="rId246" Type="http://schemas.openxmlformats.org/officeDocument/2006/relationships/hyperlink" Target="https://alpha.midjourney.com/jobs/fb929c6c-57e6-433a-a266-d6503efa9f59?index=3" TargetMode="External"/><Relationship Id="rId367" Type="http://schemas.openxmlformats.org/officeDocument/2006/relationships/hyperlink" Target="https://alpha.midjourney.com/jobs/fc65d230-0b7a-4bbd-9653-6fa105e5bcec?index=3" TargetMode="External"/><Relationship Id="rId488" Type="http://schemas.openxmlformats.org/officeDocument/2006/relationships/hyperlink" Target="https://alpha.midjourney.com/jobs/c9d4bd01-17d8-4d2f-9739-b9d56ab0d774?index=0" TargetMode="External"/><Relationship Id="rId124" Type="http://schemas.openxmlformats.org/officeDocument/2006/relationships/hyperlink" Target="https://alpha.midjourney.com/jobs/e3dc4ec9-31d3-451f-b89d-f3942b80c042?index=2" TargetMode="External"/><Relationship Id="rId245" Type="http://schemas.openxmlformats.org/officeDocument/2006/relationships/hyperlink" Target="https://alpha.midjourney.com/jobs/8572f917-df31-4408-8707-1d30d6ca5130?index=2" TargetMode="External"/><Relationship Id="rId366" Type="http://schemas.openxmlformats.org/officeDocument/2006/relationships/hyperlink" Target="https://alpha.midjourney.com/jobs/0bfb1ddb-5317-44ca-ac28-18bec4484bb2?index=2" TargetMode="External"/><Relationship Id="rId487" Type="http://schemas.openxmlformats.org/officeDocument/2006/relationships/hyperlink" Target="https://alpha.midjourney.com/jobs/c9d4bd01-17d8-4d2f-9739-b9d56ab0d774?index=2" TargetMode="External"/><Relationship Id="rId123" Type="http://schemas.openxmlformats.org/officeDocument/2006/relationships/hyperlink" Target="https://alpha.midjourney.com/jobs/7c0c6fe5-3d11-46e9-9fb2-27a3e4ad98d5?index=0" TargetMode="External"/><Relationship Id="rId244" Type="http://schemas.openxmlformats.org/officeDocument/2006/relationships/hyperlink" Target="https://alpha.midjourney.com/jobs/9f59a1ed-24af-4d99-acaa-6a2a05df2427?index=3" TargetMode="External"/><Relationship Id="rId365" Type="http://schemas.openxmlformats.org/officeDocument/2006/relationships/hyperlink" Target="https://alpha.midjourney.com/jobs/eb6b6ed8-09d8-4cb7-8e72-89daeeb5ad45?index=1" TargetMode="External"/><Relationship Id="rId486" Type="http://schemas.openxmlformats.org/officeDocument/2006/relationships/hyperlink" Target="https://alpha.midjourney.com/jobs/4472fa6e-c6fb-4157-b854-c8e1d2b42995?index=3" TargetMode="External"/><Relationship Id="rId122" Type="http://schemas.openxmlformats.org/officeDocument/2006/relationships/hyperlink" Target="https://alpha.midjourney.com/jobs/7c0c6fe5-3d11-46e9-9fb2-27a3e4ad98d5?index=3" TargetMode="External"/><Relationship Id="rId243" Type="http://schemas.openxmlformats.org/officeDocument/2006/relationships/hyperlink" Target="https://alpha.midjourney.com/jobs/7fc25a68-b33f-47f1-a6ec-9553717b1c97?index=1" TargetMode="External"/><Relationship Id="rId364" Type="http://schemas.openxmlformats.org/officeDocument/2006/relationships/hyperlink" Target="https://alpha.midjourney.com/jobs/0d462342-adfb-4bc1-8852-2f568fbc9684?index=2" TargetMode="External"/><Relationship Id="rId485" Type="http://schemas.openxmlformats.org/officeDocument/2006/relationships/hyperlink" Target="https://alpha.midjourney.com/jobs/cad89887-2107-4a4a-a838-1f9e91e99c08?index=0" TargetMode="External"/><Relationship Id="rId95" Type="http://schemas.openxmlformats.org/officeDocument/2006/relationships/hyperlink" Target="https://alpha.midjourney.com/jobs/b96d47c1-e03b-4dad-bc97-123945866ebe?index=3" TargetMode="External"/><Relationship Id="rId94" Type="http://schemas.openxmlformats.org/officeDocument/2006/relationships/hyperlink" Target="https://alpha.midjourney.com/jobs/05e7dc87-7c7f-400d-b1d6-3bce616d0bfb?index=2" TargetMode="External"/><Relationship Id="rId97" Type="http://schemas.openxmlformats.org/officeDocument/2006/relationships/hyperlink" Target="https://alpha.midjourney.com/jobs/9bfd0617-c169-4772-bad8-21583764dcf1?index=1" TargetMode="External"/><Relationship Id="rId96" Type="http://schemas.openxmlformats.org/officeDocument/2006/relationships/hyperlink" Target="https://alpha.midjourney.com/jobs/3583fb04-e10f-4436-a53d-ac6033c51e68?index=3" TargetMode="External"/><Relationship Id="rId99" Type="http://schemas.openxmlformats.org/officeDocument/2006/relationships/hyperlink" Target="https://alpha.midjourney.com/jobs/3506fd93-a468-430b-b68e-56e0adb3bfa1?index=3" TargetMode="External"/><Relationship Id="rId480" Type="http://schemas.openxmlformats.org/officeDocument/2006/relationships/hyperlink" Target="https://alpha.midjourney.com/jobs/1c4b3aa0-24ce-4b0d-932d-a4ef2357ffd3?index=3" TargetMode="External"/><Relationship Id="rId98" Type="http://schemas.openxmlformats.org/officeDocument/2006/relationships/hyperlink" Target="https://alpha.midjourney.com/jobs/bd88a85c-62e5-4ed4-9515-3411b61e2af9?index=2" TargetMode="External"/><Relationship Id="rId91" Type="http://schemas.openxmlformats.org/officeDocument/2006/relationships/hyperlink" Target="https://alpha.midjourney.com/jobs/e7a204c6-76d5-4cd7-9a02-e06393503315?index=2" TargetMode="External"/><Relationship Id="rId90" Type="http://schemas.openxmlformats.org/officeDocument/2006/relationships/hyperlink" Target="https://alpha.midjourney.com/jobs/a0c2bdad-9975-4339-8646-d109edd1ea08?index=0" TargetMode="External"/><Relationship Id="rId93" Type="http://schemas.openxmlformats.org/officeDocument/2006/relationships/hyperlink" Target="https://alpha.midjourney.com/jobs/e7a204c6-76d5-4cd7-9a02-e06393503315?index=0" TargetMode="External"/><Relationship Id="rId92" Type="http://schemas.openxmlformats.org/officeDocument/2006/relationships/hyperlink" Target="https://alpha.midjourney.com/jobs/36d433e2-f591-4ea5-b62a-5cb266b18ca8?index=3" TargetMode="External"/><Relationship Id="rId118" Type="http://schemas.openxmlformats.org/officeDocument/2006/relationships/hyperlink" Target="https://alpha.midjourney.com/jobs/bce87206-d1bc-4ae5-b2a8-99df10be783b?index=3" TargetMode="External"/><Relationship Id="rId239" Type="http://schemas.openxmlformats.org/officeDocument/2006/relationships/hyperlink" Target="https://alpha.midjourney.com/jobs/8c585bc8-5180-439e-8adb-c3a47c0150fe?index=2" TargetMode="External"/><Relationship Id="rId117" Type="http://schemas.openxmlformats.org/officeDocument/2006/relationships/hyperlink" Target="https://alpha.midjourney.com/jobs/8fbe44e4-705c-4ee4-adbc-6e435546facc?index=3" TargetMode="External"/><Relationship Id="rId238" Type="http://schemas.openxmlformats.org/officeDocument/2006/relationships/hyperlink" Target="https://alpha.midjourney.com/jobs/a3874385-0194-4c0f-ba14-08b4d7628a67?index=1" TargetMode="External"/><Relationship Id="rId359" Type="http://schemas.openxmlformats.org/officeDocument/2006/relationships/hyperlink" Target="https://alpha.midjourney.com/jobs/64811c7a-9306-4518-8d43-b94ca602125b?index=2" TargetMode="External"/><Relationship Id="rId116" Type="http://schemas.openxmlformats.org/officeDocument/2006/relationships/hyperlink" Target="https://alpha.midjourney.com/jobs/f82cb067-a26e-43e4-a7b7-872ad83abf92?index=1" TargetMode="External"/><Relationship Id="rId237" Type="http://schemas.openxmlformats.org/officeDocument/2006/relationships/hyperlink" Target="https://alpha.midjourney.com/jobs/eaad0536-abea-4999-883c-e3e793929cf4?index=3" TargetMode="External"/><Relationship Id="rId358" Type="http://schemas.openxmlformats.org/officeDocument/2006/relationships/hyperlink" Target="https://alpha.midjourney.com/jobs/35a72dcd-bf6d-4211-a3ec-b4a56e9266de?index=3" TargetMode="External"/><Relationship Id="rId479" Type="http://schemas.openxmlformats.org/officeDocument/2006/relationships/hyperlink" Target="https://alpha.midjourney.com/jobs/2d0e2890-33fe-48d4-b23e-7e57b1b55461?index=2" TargetMode="External"/><Relationship Id="rId115" Type="http://schemas.openxmlformats.org/officeDocument/2006/relationships/hyperlink" Target="https://alpha.midjourney.com/jobs/41adfac4-fb2e-4621-a9ff-3a8e7c83e591?index=3" TargetMode="External"/><Relationship Id="rId236" Type="http://schemas.openxmlformats.org/officeDocument/2006/relationships/hyperlink" Target="https://alpha.midjourney.com/jobs/e30e77bd-955e-4e8e-afe4-eae7161982c4?index=3" TargetMode="External"/><Relationship Id="rId357" Type="http://schemas.openxmlformats.org/officeDocument/2006/relationships/hyperlink" Target="https://alpha.midjourney.com/jobs/60403217-9653-4c7f-8bd1-52389abddd0b?index=2" TargetMode="External"/><Relationship Id="rId478" Type="http://schemas.openxmlformats.org/officeDocument/2006/relationships/hyperlink" Target="https://alpha.midjourney.com/jobs/c4613f86-a57d-47d7-a262-96719837ce9c?index=1" TargetMode="External"/><Relationship Id="rId119" Type="http://schemas.openxmlformats.org/officeDocument/2006/relationships/hyperlink" Target="https://alpha.midjourney.com/jobs/bce87206-d1bc-4ae5-b2a8-99df10be783b?index=2" TargetMode="External"/><Relationship Id="rId110" Type="http://schemas.openxmlformats.org/officeDocument/2006/relationships/hyperlink" Target="https://alpha.midjourney.com/jobs/e476fa49-0867-4ba0-b9df-543b391f48db?index=0" TargetMode="External"/><Relationship Id="rId231" Type="http://schemas.openxmlformats.org/officeDocument/2006/relationships/hyperlink" Target="https://alpha.midjourney.com/jobs/8ccfe4e3-0dd5-4f9c-be98-1629ec29694f?index=2" TargetMode="External"/><Relationship Id="rId352" Type="http://schemas.openxmlformats.org/officeDocument/2006/relationships/hyperlink" Target="https://alpha.midjourney.com/jobs/a5b23374-c9e0-4cc3-ac9e-7cc693ab07b6?index=1" TargetMode="External"/><Relationship Id="rId473" Type="http://schemas.openxmlformats.org/officeDocument/2006/relationships/hyperlink" Target="https://alpha.midjourney.com/jobs/f1e95a77-2ca1-473a-a951-6d24ac381780?index=0" TargetMode="External"/><Relationship Id="rId230" Type="http://schemas.openxmlformats.org/officeDocument/2006/relationships/hyperlink" Target="https://alpha.midjourney.com/jobs/8ccfe4e3-0dd5-4f9c-be98-1629ec29694f?index=0" TargetMode="External"/><Relationship Id="rId351" Type="http://schemas.openxmlformats.org/officeDocument/2006/relationships/hyperlink" Target="https://alpha.midjourney.com/jobs/ee08debf-6dfa-4c1a-b68d-af2815e27ecd?index=0" TargetMode="External"/><Relationship Id="rId472" Type="http://schemas.openxmlformats.org/officeDocument/2006/relationships/hyperlink" Target="https://alpha.midjourney.com/jobs/71ad0300-4ba1-428b-8822-b9eb4533ed5b?index=2" TargetMode="External"/><Relationship Id="rId350" Type="http://schemas.openxmlformats.org/officeDocument/2006/relationships/hyperlink" Target="https://alpha.midjourney.com/jobs/e8e96f76-94bd-41ae-b1bd-4ca96aebdd1e?index=3" TargetMode="External"/><Relationship Id="rId471" Type="http://schemas.openxmlformats.org/officeDocument/2006/relationships/hyperlink" Target="https://alpha.midjourney.com/jobs/0e512ffb-8345-4946-84e7-5131a9bbf7ae?index=0" TargetMode="External"/><Relationship Id="rId592" Type="http://schemas.openxmlformats.org/officeDocument/2006/relationships/drawing" Target="../drawings/drawing1.xml"/><Relationship Id="rId470" Type="http://schemas.openxmlformats.org/officeDocument/2006/relationships/hyperlink" Target="https://alpha.midjourney.com/jobs/0e512ffb-8345-4946-84e7-5131a9bbf7ae?index=2" TargetMode="External"/><Relationship Id="rId591" Type="http://schemas.openxmlformats.org/officeDocument/2006/relationships/hyperlink" Target="https://alpha.midjourney.com/jobs/5531e7cf-23f3-4725-986f-2de126d022b2?index=2" TargetMode="External"/><Relationship Id="rId114" Type="http://schemas.openxmlformats.org/officeDocument/2006/relationships/hyperlink" Target="https://alpha.midjourney.com/jobs/960b0142-dad3-4a5e-9497-c50337bfa517?index=0" TargetMode="External"/><Relationship Id="rId235" Type="http://schemas.openxmlformats.org/officeDocument/2006/relationships/hyperlink" Target="https://alpha.midjourney.com/jobs/0a1168a7-16a3-4022-b822-fd13a508a624?index=0" TargetMode="External"/><Relationship Id="rId356" Type="http://schemas.openxmlformats.org/officeDocument/2006/relationships/hyperlink" Target="https://alpha.midjourney.com/jobs/a6b8108d-1bb5-42d2-a7a0-28095eb3d2c2?index=2" TargetMode="External"/><Relationship Id="rId477" Type="http://schemas.openxmlformats.org/officeDocument/2006/relationships/hyperlink" Target="https://alpha.midjourney.com/jobs/2d0e2890-33fe-48d4-b23e-7e57b1b55461?index=3" TargetMode="External"/><Relationship Id="rId113" Type="http://schemas.openxmlformats.org/officeDocument/2006/relationships/hyperlink" Target="https://alpha.midjourney.com/jobs/02663ec4-f725-4dc6-b3bf-a41c24089531?index=2" TargetMode="External"/><Relationship Id="rId234" Type="http://schemas.openxmlformats.org/officeDocument/2006/relationships/hyperlink" Target="https://alpha.midjourney.com/jobs/e27864a6-cc07-4984-b181-922b584c0d96?index=3" TargetMode="External"/><Relationship Id="rId355" Type="http://schemas.openxmlformats.org/officeDocument/2006/relationships/hyperlink" Target="https://alpha.midjourney.com/jobs/7f15e033-4d9d-48a2-9a39-7197c3b9bf07?index=3" TargetMode="External"/><Relationship Id="rId476" Type="http://schemas.openxmlformats.org/officeDocument/2006/relationships/hyperlink" Target="https://alpha.midjourney.com/jobs/7f3fc151-552c-4fdc-8562-e0fb8c45fd4e?index=1" TargetMode="External"/><Relationship Id="rId112" Type="http://schemas.openxmlformats.org/officeDocument/2006/relationships/hyperlink" Target="https://alpha.midjourney.com/jobs/ecf46218-d382-4bbc-897b-729a460f33de?index=0" TargetMode="External"/><Relationship Id="rId233" Type="http://schemas.openxmlformats.org/officeDocument/2006/relationships/hyperlink" Target="https://alpha.midjourney.com/jobs/c0bbf41e-da40-447a-8817-ba761c755907?index=1" TargetMode="External"/><Relationship Id="rId354" Type="http://schemas.openxmlformats.org/officeDocument/2006/relationships/hyperlink" Target="https://alpha.midjourney.com/jobs/f29821d3-a78b-46a9-ab7b-9b476d6ecfd7?index=1" TargetMode="External"/><Relationship Id="rId475" Type="http://schemas.openxmlformats.org/officeDocument/2006/relationships/hyperlink" Target="https://alpha.midjourney.com/jobs/f49f8020-8320-4fdc-ae76-8030c07ee2b5?index=0" TargetMode="External"/><Relationship Id="rId111" Type="http://schemas.openxmlformats.org/officeDocument/2006/relationships/hyperlink" Target="https://alpha.midjourney.com/jobs/c55ff963-8780-49f5-820d-fdb412bd03ab?index=3" TargetMode="External"/><Relationship Id="rId232" Type="http://schemas.openxmlformats.org/officeDocument/2006/relationships/hyperlink" Target="https://alpha.midjourney.com/jobs/47e93cbb-0e71-491a-a49b-5685172b96b1?index=2" TargetMode="External"/><Relationship Id="rId353" Type="http://schemas.openxmlformats.org/officeDocument/2006/relationships/hyperlink" Target="https://alpha.midjourney.com/jobs/da48772a-b4d4-44f8-8d55-428c4b7750df?index=1" TargetMode="External"/><Relationship Id="rId474" Type="http://schemas.openxmlformats.org/officeDocument/2006/relationships/hyperlink" Target="https://alpha.midjourney.com/jobs/f1e95a77-2ca1-473a-a951-6d24ac381780?index=1" TargetMode="External"/><Relationship Id="rId305" Type="http://schemas.openxmlformats.org/officeDocument/2006/relationships/hyperlink" Target="https://alpha.midjourney.com/jobs/658a4dd0-bf6d-47e7-86d8-52ee52a8f214?index=2" TargetMode="External"/><Relationship Id="rId426" Type="http://schemas.openxmlformats.org/officeDocument/2006/relationships/hyperlink" Target="https://alpha.midjourney.com/jobs/b305aa77-1f10-402e-b176-99e909abfb9d?index=3" TargetMode="External"/><Relationship Id="rId547" Type="http://schemas.openxmlformats.org/officeDocument/2006/relationships/hyperlink" Target="https://alpha.midjourney.com/jobs/51236e4b-aa09-40de-ae37-9c9b9cd7e7e5?index=2" TargetMode="External"/><Relationship Id="rId304" Type="http://schemas.openxmlformats.org/officeDocument/2006/relationships/hyperlink" Target="https://alpha.midjourney.com/jobs/436c6169-6856-4831-9b5e-36c538fafa7c?index=3" TargetMode="External"/><Relationship Id="rId425" Type="http://schemas.openxmlformats.org/officeDocument/2006/relationships/hyperlink" Target="https://alpha.midjourney.com/jobs/651c5e10-daa8-4734-8d9e-45e6e71afe5e?index=3" TargetMode="External"/><Relationship Id="rId546" Type="http://schemas.openxmlformats.org/officeDocument/2006/relationships/hyperlink" Target="https://alpha.midjourney.com/jobs/6aaaa00b-e42b-42c5-ba0e-45f3ec7aae7e?index=1" TargetMode="External"/><Relationship Id="rId303" Type="http://schemas.openxmlformats.org/officeDocument/2006/relationships/hyperlink" Target="https://alpha.midjourney.com/jobs/5b8a0ee5-409e-4609-8aba-0c49858830f9?index=0" TargetMode="External"/><Relationship Id="rId424" Type="http://schemas.openxmlformats.org/officeDocument/2006/relationships/hyperlink" Target="https://alpha.midjourney.com/jobs/0e38f1ce-471e-455b-890a-7a46d67a8c3c?index=3" TargetMode="External"/><Relationship Id="rId545" Type="http://schemas.openxmlformats.org/officeDocument/2006/relationships/hyperlink" Target="https://alpha.midjourney.com/jobs/6aaaa00b-e42b-42c5-ba0e-45f3ec7aae7e?index=2" TargetMode="External"/><Relationship Id="rId302" Type="http://schemas.openxmlformats.org/officeDocument/2006/relationships/hyperlink" Target="https://alpha.midjourney.com/jobs/5b8a0ee5-409e-4609-8aba-0c49858830f9?index=3" TargetMode="External"/><Relationship Id="rId423" Type="http://schemas.openxmlformats.org/officeDocument/2006/relationships/hyperlink" Target="https://alpha.midjourney.com/jobs/cb5a0d7d-cfdf-4743-8f88-5b4c20641ec8?index=0" TargetMode="External"/><Relationship Id="rId544" Type="http://schemas.openxmlformats.org/officeDocument/2006/relationships/hyperlink" Target="https://alpha.midjourney.com/jobs/6449d263-572c-48fd-abea-49b336ed533e?index=0" TargetMode="External"/><Relationship Id="rId309" Type="http://schemas.openxmlformats.org/officeDocument/2006/relationships/hyperlink" Target="https://alpha.midjourney.com/jobs/33f7cc2c-e93d-4e2c-9b65-000f7fec5b4d?index=3" TargetMode="External"/><Relationship Id="rId308" Type="http://schemas.openxmlformats.org/officeDocument/2006/relationships/hyperlink" Target="https://alpha.midjourney.com/jobs/7f81eb9e-f062-46de-9105-f93730a4e7fb?index=0" TargetMode="External"/><Relationship Id="rId429" Type="http://schemas.openxmlformats.org/officeDocument/2006/relationships/hyperlink" Target="https://alpha.midjourney.com/jobs/acb30613-f9af-4a64-81e9-e6b568cba824?index=2" TargetMode="External"/><Relationship Id="rId307" Type="http://schemas.openxmlformats.org/officeDocument/2006/relationships/hyperlink" Target="https://alpha.midjourney.com/jobs/4ccb8031-ae89-47b6-a633-e16eac63166b?index=3" TargetMode="External"/><Relationship Id="rId428" Type="http://schemas.openxmlformats.org/officeDocument/2006/relationships/hyperlink" Target="https://alpha.midjourney.com/jobs/05ead972-45fd-4d93-b3b6-736da52e9d68?index=1" TargetMode="External"/><Relationship Id="rId549" Type="http://schemas.openxmlformats.org/officeDocument/2006/relationships/hyperlink" Target="https://alpha.midjourney.com/jobs/615b65df-6059-4623-9a52-ba6e23fd19a8?index=3" TargetMode="External"/><Relationship Id="rId306" Type="http://schemas.openxmlformats.org/officeDocument/2006/relationships/hyperlink" Target="https://alpha.midjourney.com/jobs/7bb8e808-62d2-41bb-8749-200a9089a3e9?index=2" TargetMode="External"/><Relationship Id="rId427" Type="http://schemas.openxmlformats.org/officeDocument/2006/relationships/hyperlink" Target="https://alpha.midjourney.com/jobs/3f1e36e7-8385-4701-8ad1-a8a145d654d4?index=2" TargetMode="External"/><Relationship Id="rId548" Type="http://schemas.openxmlformats.org/officeDocument/2006/relationships/hyperlink" Target="https://alpha.midjourney.com/jobs/51236e4b-aa09-40de-ae37-9c9b9cd7e7e5?index=0" TargetMode="External"/><Relationship Id="rId301" Type="http://schemas.openxmlformats.org/officeDocument/2006/relationships/hyperlink" Target="https://alpha.midjourney.com/jobs/affa39b4-9e17-48c4-8895-78b1f433b9f7?index=0" TargetMode="External"/><Relationship Id="rId422" Type="http://schemas.openxmlformats.org/officeDocument/2006/relationships/hyperlink" Target="https://alpha.midjourney.com/jobs/d0513e19-1ac0-4d65-b7d1-c084eaa39eb1?index=1" TargetMode="External"/><Relationship Id="rId543" Type="http://schemas.openxmlformats.org/officeDocument/2006/relationships/hyperlink" Target="https://alpha.midjourney.com/jobs/80b0da3a-75e9-4521-9a8a-d80a02376aef?index=3" TargetMode="External"/><Relationship Id="rId300" Type="http://schemas.openxmlformats.org/officeDocument/2006/relationships/hyperlink" Target="https://alpha.midjourney.com/jobs/7f5227db-8efa-4198-aad8-a7303c4834f9?index=0" TargetMode="External"/><Relationship Id="rId421" Type="http://schemas.openxmlformats.org/officeDocument/2006/relationships/hyperlink" Target="https://alpha.midjourney.com/jobs/1611e437-755b-410f-b205-ccef721ff7ae?index=2" TargetMode="External"/><Relationship Id="rId542" Type="http://schemas.openxmlformats.org/officeDocument/2006/relationships/hyperlink" Target="https://alpha.midjourney.com/jobs/aee22cf0-e1c9-45a5-a846-dba786d16a8c?index=2" TargetMode="External"/><Relationship Id="rId420" Type="http://schemas.openxmlformats.org/officeDocument/2006/relationships/hyperlink" Target="https://alpha.midjourney.com/jobs/1611e437-755b-410f-b205-ccef721ff7ae?index=1" TargetMode="External"/><Relationship Id="rId541" Type="http://schemas.openxmlformats.org/officeDocument/2006/relationships/hyperlink" Target="https://alpha.midjourney.com/jobs/ca45b97d-ac28-459d-8fb9-5efff2a635e4?index=1" TargetMode="External"/><Relationship Id="rId540" Type="http://schemas.openxmlformats.org/officeDocument/2006/relationships/hyperlink" Target="https://alpha.midjourney.com/jobs/ca45b97d-ac28-459d-8fb9-5efff2a635e4?index=0" TargetMode="External"/><Relationship Id="rId415" Type="http://schemas.openxmlformats.org/officeDocument/2006/relationships/hyperlink" Target="https://alpha.midjourney.com/jobs/59597b80-8b3f-4d4b-806c-dcf5365bda0f?index=2" TargetMode="External"/><Relationship Id="rId536" Type="http://schemas.openxmlformats.org/officeDocument/2006/relationships/hyperlink" Target="https://alpha.midjourney.com/jobs/d04ef1e9-013f-4c58-8d1d-7d6410f55644?index=3" TargetMode="External"/><Relationship Id="rId414" Type="http://schemas.openxmlformats.org/officeDocument/2006/relationships/hyperlink" Target="https://alpha.midjourney.com/jobs/2148c090-768e-48c9-837a-fed7af76f1c3?index=1" TargetMode="External"/><Relationship Id="rId535" Type="http://schemas.openxmlformats.org/officeDocument/2006/relationships/hyperlink" Target="https://alpha.midjourney.com/jobs/104896b4-1644-44c0-97cb-a115a5a27f3b?index=0" TargetMode="External"/><Relationship Id="rId413" Type="http://schemas.openxmlformats.org/officeDocument/2006/relationships/hyperlink" Target="https://alpha.midjourney.com/jobs/57f88d60-31a2-4dbc-a2ac-7dd5f12faad2?index=1" TargetMode="External"/><Relationship Id="rId534" Type="http://schemas.openxmlformats.org/officeDocument/2006/relationships/hyperlink" Target="https://alpha.midjourney.com/jobs/834cdaa2-b2f5-4156-998e-506a5ca68984?index=2" TargetMode="External"/><Relationship Id="rId412" Type="http://schemas.openxmlformats.org/officeDocument/2006/relationships/hyperlink" Target="https://alpha.midjourney.com/jobs/de56e6d6-8aad-4bd2-87f9-f0c5f1ec9d8d?index=0" TargetMode="External"/><Relationship Id="rId533" Type="http://schemas.openxmlformats.org/officeDocument/2006/relationships/hyperlink" Target="https://alpha.midjourney.com/jobs/d75ae876-16de-4a4f-80fb-098c3204e2e3?index=2" TargetMode="External"/><Relationship Id="rId419" Type="http://schemas.openxmlformats.org/officeDocument/2006/relationships/hyperlink" Target="https://alpha.midjourney.com/jobs/9837fc27-5358-46a5-b2d5-4b2eccd5199c?index=0" TargetMode="External"/><Relationship Id="rId418" Type="http://schemas.openxmlformats.org/officeDocument/2006/relationships/hyperlink" Target="https://alpha.midjourney.com/jobs/672168db-d4c7-464a-9a08-3f0b7300f117?index=0" TargetMode="External"/><Relationship Id="rId539" Type="http://schemas.openxmlformats.org/officeDocument/2006/relationships/hyperlink" Target="https://alpha.midjourney.com/jobs/f708086f-145d-4ad0-9476-e5c3de78f661?index=3" TargetMode="External"/><Relationship Id="rId417" Type="http://schemas.openxmlformats.org/officeDocument/2006/relationships/hyperlink" Target="https://alpha.midjourney.com/jobs/e4ab81e9-3fd7-4319-9c94-67577b4742fc?index=1" TargetMode="External"/><Relationship Id="rId538" Type="http://schemas.openxmlformats.org/officeDocument/2006/relationships/hyperlink" Target="https://alpha.midjourney.com/jobs/32c69796-a1fc-4d40-86e1-8b215a05bb23?index=0" TargetMode="External"/><Relationship Id="rId416" Type="http://schemas.openxmlformats.org/officeDocument/2006/relationships/hyperlink" Target="https://alpha.midjourney.com/jobs/721910bd-16ac-4a72-aa68-a72421d90c86?index=1" TargetMode="External"/><Relationship Id="rId537" Type="http://schemas.openxmlformats.org/officeDocument/2006/relationships/hyperlink" Target="https://alpha.midjourney.com/jobs/b1a05e1b-d3e7-4c3b-8a21-e208cfcab472?index=0" TargetMode="External"/><Relationship Id="rId411" Type="http://schemas.openxmlformats.org/officeDocument/2006/relationships/hyperlink" Target="https://alpha.midjourney.com/jobs/21d93227-da2e-4a58-8af8-8d84f202d465?index=1" TargetMode="External"/><Relationship Id="rId532" Type="http://schemas.openxmlformats.org/officeDocument/2006/relationships/hyperlink" Target="https://alpha.midjourney.com/jobs/d5d7a3d8-bc57-4d5e-9030-e092ef28934d?index=1" TargetMode="External"/><Relationship Id="rId410" Type="http://schemas.openxmlformats.org/officeDocument/2006/relationships/hyperlink" Target="https://alpha.midjourney.com/jobs/66f83bd6-353d-4924-b469-c22fdaf65162?index=2" TargetMode="External"/><Relationship Id="rId531" Type="http://schemas.openxmlformats.org/officeDocument/2006/relationships/hyperlink" Target="https://alpha.midjourney.com/jobs/1b7457f5-ab2d-4751-b1f3-3957be5a28c2?index=2" TargetMode="External"/><Relationship Id="rId530" Type="http://schemas.openxmlformats.org/officeDocument/2006/relationships/hyperlink" Target="https://alpha.midjourney.com/jobs/2a3b4bb4-107d-4a0e-82e5-32c1dc607528?index=0" TargetMode="External"/><Relationship Id="rId206" Type="http://schemas.openxmlformats.org/officeDocument/2006/relationships/hyperlink" Target="https://alpha.midjourney.com/jobs/9b90030e-860f-496a-a734-a45969d1b0dd?index=1" TargetMode="External"/><Relationship Id="rId327" Type="http://schemas.openxmlformats.org/officeDocument/2006/relationships/hyperlink" Target="https://alpha.midjourney.com/jobs/22f743bd-9c45-49eb-bcae-584391aba2aa?index=1" TargetMode="External"/><Relationship Id="rId448" Type="http://schemas.openxmlformats.org/officeDocument/2006/relationships/hyperlink" Target="https://alpha.midjourney.com/jobs/b950d7fe-0373-44bc-876b-60878bbaa0ab?index=1" TargetMode="External"/><Relationship Id="rId569" Type="http://schemas.openxmlformats.org/officeDocument/2006/relationships/hyperlink" Target="https://alpha.midjourney.com/jobs/1ee1739c-f460-4f92-977f-b926ed62b9c9?index=2" TargetMode="External"/><Relationship Id="rId205" Type="http://schemas.openxmlformats.org/officeDocument/2006/relationships/hyperlink" Target="https://alpha.midjourney.com/jobs/50351124-cb8d-40c5-ba32-ab7ed7975d03?index=3" TargetMode="External"/><Relationship Id="rId326" Type="http://schemas.openxmlformats.org/officeDocument/2006/relationships/hyperlink" Target="https://alpha.midjourney.com/jobs/dabe2c88-7609-4d23-9be4-b6d03f5043ec?index=2" TargetMode="External"/><Relationship Id="rId447" Type="http://schemas.openxmlformats.org/officeDocument/2006/relationships/hyperlink" Target="https://alpha.midjourney.com/jobs/460856be-5a5a-4e01-880f-a9cc4ae12568?index=3" TargetMode="External"/><Relationship Id="rId568" Type="http://schemas.openxmlformats.org/officeDocument/2006/relationships/hyperlink" Target="https://alpha.midjourney.com/jobs/bb65025a-3646-4b47-89da-e109c9da39f9?index=2" TargetMode="External"/><Relationship Id="rId204" Type="http://schemas.openxmlformats.org/officeDocument/2006/relationships/hyperlink" Target="https://alpha.midjourney.com/jobs/914ae491-f842-47a7-972e-d9a4a84c90f6?index=0" TargetMode="External"/><Relationship Id="rId325" Type="http://schemas.openxmlformats.org/officeDocument/2006/relationships/hyperlink" Target="https://alpha.midjourney.com/jobs/5764c6a2-ac2a-45d1-bd44-3056e5b71fde?index=3" TargetMode="External"/><Relationship Id="rId446" Type="http://schemas.openxmlformats.org/officeDocument/2006/relationships/hyperlink" Target="https://alpha.midjourney.com/jobs/49574fbd-fd5a-42b4-ba67-f1956f3a5a0d?index=1" TargetMode="External"/><Relationship Id="rId567" Type="http://schemas.openxmlformats.org/officeDocument/2006/relationships/hyperlink" Target="https://alpha.midjourney.com/jobs/26cf6a40-ae53-40b8-b6e8-cf911b9a91a6?index=3" TargetMode="External"/><Relationship Id="rId203" Type="http://schemas.openxmlformats.org/officeDocument/2006/relationships/hyperlink" Target="https://alpha.midjourney.com/jobs/5eca18e5-b521-4e2a-9848-bc98673ae4d2?index=0" TargetMode="External"/><Relationship Id="rId324" Type="http://schemas.openxmlformats.org/officeDocument/2006/relationships/hyperlink" Target="https://alpha.midjourney.com/jobs/83e9cfe5-7b3e-4733-9009-d3e420db215a?index=1" TargetMode="External"/><Relationship Id="rId445" Type="http://schemas.openxmlformats.org/officeDocument/2006/relationships/hyperlink" Target="https://alpha.midjourney.com/jobs/4ebf7027-ca2f-44a2-9f30-1afa66999935?index=3" TargetMode="External"/><Relationship Id="rId566" Type="http://schemas.openxmlformats.org/officeDocument/2006/relationships/hyperlink" Target="https://alpha.midjourney.com/jobs/a1a13900-c801-42e6-af4f-64055214e78b?index=2" TargetMode="External"/><Relationship Id="rId209" Type="http://schemas.openxmlformats.org/officeDocument/2006/relationships/hyperlink" Target="https://alpha.midjourney.com/jobs/12dd80f9-bb06-4d38-91d8-e146559471c0?index=0" TargetMode="External"/><Relationship Id="rId208" Type="http://schemas.openxmlformats.org/officeDocument/2006/relationships/hyperlink" Target="https://alpha.midjourney.com/jobs/6e8217f3-8ac2-45b0-8dc4-ef5352b479ea?index=2" TargetMode="External"/><Relationship Id="rId329" Type="http://schemas.openxmlformats.org/officeDocument/2006/relationships/hyperlink" Target="https://alpha.midjourney.com/jobs/b3f1d5b4-d271-4bb7-9615-dec247ec2937?index=0" TargetMode="External"/><Relationship Id="rId207" Type="http://schemas.openxmlformats.org/officeDocument/2006/relationships/hyperlink" Target="https://alpha.midjourney.com/jobs/54eedfaf-453e-4a49-bd5b-d4012761a293?index=1" TargetMode="External"/><Relationship Id="rId328" Type="http://schemas.openxmlformats.org/officeDocument/2006/relationships/hyperlink" Target="https://alpha.midjourney.com/jobs/16ee0dc4-08e6-49e0-be6c-5041c7b5d4f9?index=1" TargetMode="External"/><Relationship Id="rId449" Type="http://schemas.openxmlformats.org/officeDocument/2006/relationships/hyperlink" Target="https://alpha.midjourney.com/jobs/284a6f4c-c46f-4a01-9341-585d947f44bd?index=1" TargetMode="External"/><Relationship Id="rId440" Type="http://schemas.openxmlformats.org/officeDocument/2006/relationships/hyperlink" Target="https://alpha.midjourney.com/jobs/64dbf7d3-51d9-49d7-826e-908e3f7f1760?index=0" TargetMode="External"/><Relationship Id="rId561" Type="http://schemas.openxmlformats.org/officeDocument/2006/relationships/hyperlink" Target="https://alpha.midjourney.com/jobs/12fada4d-5aaf-4322-b3d3-24be5496e64d?index=3" TargetMode="External"/><Relationship Id="rId560" Type="http://schemas.openxmlformats.org/officeDocument/2006/relationships/hyperlink" Target="https://alpha.midjourney.com/jobs/83be14db-adaf-4786-aeef-ad19b39bd2ca?index=2" TargetMode="External"/><Relationship Id="rId202" Type="http://schemas.openxmlformats.org/officeDocument/2006/relationships/hyperlink" Target="https://alpha.midjourney.com/jobs/01e8e033-593c-490d-a32f-a166ab8baa48?index=2" TargetMode="External"/><Relationship Id="rId323" Type="http://schemas.openxmlformats.org/officeDocument/2006/relationships/hyperlink" Target="https://alpha.midjourney.com/jobs/de56f839-6491-46cf-880d-6d928a2517da?index=0" TargetMode="External"/><Relationship Id="rId444" Type="http://schemas.openxmlformats.org/officeDocument/2006/relationships/hyperlink" Target="https://alpha.midjourney.com/jobs/ef758448-e6c6-4375-a43a-ca7ef038fb25?index=0" TargetMode="External"/><Relationship Id="rId565" Type="http://schemas.openxmlformats.org/officeDocument/2006/relationships/hyperlink" Target="https://alpha.midjourney.com/jobs/47bd8a99-96cc-4b41-bc50-6ab93ee3369d?index=0" TargetMode="External"/><Relationship Id="rId201" Type="http://schemas.openxmlformats.org/officeDocument/2006/relationships/hyperlink" Target="https://alpha.midjourney.com/jobs/ba533218-851c-4bf4-a8d6-1d40dd59d983?index=0" TargetMode="External"/><Relationship Id="rId322" Type="http://schemas.openxmlformats.org/officeDocument/2006/relationships/hyperlink" Target="https://alpha.midjourney.com/jobs/032d003e-cfc5-416a-b659-1bdded298c0e?index=1" TargetMode="External"/><Relationship Id="rId443" Type="http://schemas.openxmlformats.org/officeDocument/2006/relationships/hyperlink" Target="https://alpha.midjourney.com/jobs/8681b697-3ab5-4ab3-8d4d-13ada408b719?index=2" TargetMode="External"/><Relationship Id="rId564" Type="http://schemas.openxmlformats.org/officeDocument/2006/relationships/hyperlink" Target="https://alpha.midjourney.com/jobs/bdf467d6-4699-4676-a6f9-39e3cbb899e5?index=0" TargetMode="External"/><Relationship Id="rId200" Type="http://schemas.openxmlformats.org/officeDocument/2006/relationships/hyperlink" Target="https://alpha.midjourney.com/jobs/e1671c8d-c48c-402d-addf-9a0fccad1761?index=0" TargetMode="External"/><Relationship Id="rId321" Type="http://schemas.openxmlformats.org/officeDocument/2006/relationships/hyperlink" Target="https://alpha.midjourney.com/jobs/1c379fb0-c7fe-4bce-a2e2-c1046dca0a59?index=0" TargetMode="External"/><Relationship Id="rId442" Type="http://schemas.openxmlformats.org/officeDocument/2006/relationships/hyperlink" Target="https://alpha.midjourney.com/jobs/7ebb9929-e2ad-442f-b9a8-ea6f82e7e006?index=3" TargetMode="External"/><Relationship Id="rId563" Type="http://schemas.openxmlformats.org/officeDocument/2006/relationships/hyperlink" Target="https://alpha.midjourney.com/jobs/c4a83c37-4d6d-4f59-96bb-5d38ce1a9de6?index=3" TargetMode="External"/><Relationship Id="rId320" Type="http://schemas.openxmlformats.org/officeDocument/2006/relationships/hyperlink" Target="https://alpha.midjourney.com/jobs/1c379fb0-c7fe-4bce-a2e2-c1046dca0a59?index=1" TargetMode="External"/><Relationship Id="rId441" Type="http://schemas.openxmlformats.org/officeDocument/2006/relationships/hyperlink" Target="https://alpha.midjourney.com/jobs/3f24055e-e0a2-47c1-8470-64c33d0f6866?index=2" TargetMode="External"/><Relationship Id="rId562" Type="http://schemas.openxmlformats.org/officeDocument/2006/relationships/hyperlink" Target="https://alpha.midjourney.com/jobs/dc99fa2e-811a-4134-88e2-76ee3a711eec?index=3" TargetMode="External"/><Relationship Id="rId316" Type="http://schemas.openxmlformats.org/officeDocument/2006/relationships/hyperlink" Target="https://alpha.midjourney.com/jobs/e7c5e4fe-638b-4178-857e-6623f117ac1e?index=3" TargetMode="External"/><Relationship Id="rId437" Type="http://schemas.openxmlformats.org/officeDocument/2006/relationships/hyperlink" Target="https://alpha.midjourney.com/jobs/aea064ae-88ea-47ba-a280-c9e470d12b69?index=2" TargetMode="External"/><Relationship Id="rId558" Type="http://schemas.openxmlformats.org/officeDocument/2006/relationships/hyperlink" Target="https://alpha.midjourney.com/jobs/1712423c-8247-4d89-938a-b7a8f72676d3?index=3" TargetMode="External"/><Relationship Id="rId315" Type="http://schemas.openxmlformats.org/officeDocument/2006/relationships/hyperlink" Target="https://alpha.midjourney.com/jobs/23146584-f12d-4df7-9044-bc3fddd5aed1?index=2" TargetMode="External"/><Relationship Id="rId436" Type="http://schemas.openxmlformats.org/officeDocument/2006/relationships/hyperlink" Target="https://alpha.midjourney.com/jobs/86b3223b-25b2-49c4-9ba0-56eef1eedbbf?index=1" TargetMode="External"/><Relationship Id="rId557" Type="http://schemas.openxmlformats.org/officeDocument/2006/relationships/hyperlink" Target="https://alpha.midjourney.com/jobs/48ee5064-30f0-4f2f-bf04-ffa46a4af4b3?index=2" TargetMode="External"/><Relationship Id="rId314" Type="http://schemas.openxmlformats.org/officeDocument/2006/relationships/hyperlink" Target="https://alpha.midjourney.com/jobs/3ece9766-fbca-4a9f-b43c-ceacdfd34356?index=0" TargetMode="External"/><Relationship Id="rId435" Type="http://schemas.openxmlformats.org/officeDocument/2006/relationships/hyperlink" Target="https://alpha.midjourney.com/jobs/3b50b5d8-08a1-4b97-8366-8e40ccb84ae0?index=3" TargetMode="External"/><Relationship Id="rId556" Type="http://schemas.openxmlformats.org/officeDocument/2006/relationships/hyperlink" Target="https://alpha.midjourney.com/jobs/88e3f9b4-074b-4645-969f-b36b4a03b283?index=0" TargetMode="External"/><Relationship Id="rId313" Type="http://schemas.openxmlformats.org/officeDocument/2006/relationships/hyperlink" Target="https://alpha.midjourney.com/jobs/7b986382-842d-4894-bfa5-8f3a13c28048?index=1" TargetMode="External"/><Relationship Id="rId434" Type="http://schemas.openxmlformats.org/officeDocument/2006/relationships/hyperlink" Target="https://alpha.midjourney.com/jobs/f8601415-70ff-4ce2-aed0-f550f9d08f3d?index=0" TargetMode="External"/><Relationship Id="rId555" Type="http://schemas.openxmlformats.org/officeDocument/2006/relationships/hyperlink" Target="https://alpha.midjourney.com/jobs/fbd01acd-ec46-450e-a41b-df9c33a118ab?index=1" TargetMode="External"/><Relationship Id="rId319" Type="http://schemas.openxmlformats.org/officeDocument/2006/relationships/hyperlink" Target="https://alpha.midjourney.com/jobs/1c379fb0-c7fe-4bce-a2e2-c1046dca0a59?index=3" TargetMode="External"/><Relationship Id="rId318" Type="http://schemas.openxmlformats.org/officeDocument/2006/relationships/hyperlink" Target="https://alpha.midjourney.com/jobs/1b37b6ab-c626-42c3-a564-3b3f1a292370?index=3" TargetMode="External"/><Relationship Id="rId439" Type="http://schemas.openxmlformats.org/officeDocument/2006/relationships/hyperlink" Target="https://alpha.midjourney.com/jobs/64dbf7d3-51d9-49d7-826e-908e3f7f1760?index=1" TargetMode="External"/><Relationship Id="rId317" Type="http://schemas.openxmlformats.org/officeDocument/2006/relationships/hyperlink" Target="https://alpha.midjourney.com/jobs/d1d4e43a-6294-4cca-b9e9-a8a9b7c14773?index=2" TargetMode="External"/><Relationship Id="rId438" Type="http://schemas.openxmlformats.org/officeDocument/2006/relationships/hyperlink" Target="https://alpha.midjourney.com/jobs/8e48c3ce-1b90-4253-abcc-2da0b25ad425?index=1" TargetMode="External"/><Relationship Id="rId559" Type="http://schemas.openxmlformats.org/officeDocument/2006/relationships/hyperlink" Target="https://alpha.midjourney.com/jobs/52110149-5889-41ad-8d65-2ed05aed8c38?index=3" TargetMode="External"/><Relationship Id="rId550" Type="http://schemas.openxmlformats.org/officeDocument/2006/relationships/hyperlink" Target="https://alpha.midjourney.com/jobs/615b65df-6059-4623-9a52-ba6e23fd19a8?index=0" TargetMode="External"/><Relationship Id="rId312" Type="http://schemas.openxmlformats.org/officeDocument/2006/relationships/hyperlink" Target="https://alpha.midjourney.com/jobs/7b986382-842d-4894-bfa5-8f3a13c28048?index=2" TargetMode="External"/><Relationship Id="rId433" Type="http://schemas.openxmlformats.org/officeDocument/2006/relationships/hyperlink" Target="https://alpha.midjourney.com/jobs/2a292725-24e5-4da2-ae58-2f0eadedb275?index=2" TargetMode="External"/><Relationship Id="rId554" Type="http://schemas.openxmlformats.org/officeDocument/2006/relationships/hyperlink" Target="https://alpha.midjourney.com/jobs/b697235d-58dc-46a5-852e-9cf127307d53?index=2" TargetMode="External"/><Relationship Id="rId311" Type="http://schemas.openxmlformats.org/officeDocument/2006/relationships/hyperlink" Target="https://alpha.midjourney.com/jobs/ded1343a-822d-4000-b96d-307220437a47?index=3" TargetMode="External"/><Relationship Id="rId432" Type="http://schemas.openxmlformats.org/officeDocument/2006/relationships/hyperlink" Target="https://alpha.midjourney.com/jobs/f8601415-70ff-4ce2-aed0-f550f9d08f3d?index=2" TargetMode="External"/><Relationship Id="rId553" Type="http://schemas.openxmlformats.org/officeDocument/2006/relationships/hyperlink" Target="https://alpha.midjourney.com/jobs/9a06b103-b5a9-4d2f-a06c-f2a3692244cc?index=0" TargetMode="External"/><Relationship Id="rId310" Type="http://schemas.openxmlformats.org/officeDocument/2006/relationships/hyperlink" Target="https://alpha.midjourney.com/jobs/d85c9fc4-fcbf-4427-9461-c7d69924fd22?index=3" TargetMode="External"/><Relationship Id="rId431" Type="http://schemas.openxmlformats.org/officeDocument/2006/relationships/hyperlink" Target="https://alpha.midjourney.com/jobs/f8601415-70ff-4ce2-aed0-f550f9d08f3d?index=1" TargetMode="External"/><Relationship Id="rId552" Type="http://schemas.openxmlformats.org/officeDocument/2006/relationships/hyperlink" Target="https://alpha.midjourney.com/jobs/4b96f219-952d-4629-9ea5-07d8b6625b64?index=3" TargetMode="External"/><Relationship Id="rId430" Type="http://schemas.openxmlformats.org/officeDocument/2006/relationships/hyperlink" Target="https://alpha.midjourney.com/jobs/f8601415-70ff-4ce2-aed0-f550f9d08f3d?index=0" TargetMode="External"/><Relationship Id="rId551" Type="http://schemas.openxmlformats.org/officeDocument/2006/relationships/hyperlink" Target="https://alpha.midjourney.com/jobs/615b65df-6059-4623-9a52-ba6e23fd19a8?index=1"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0" outlineLevelCol="1"/>
  <cols>
    <col customWidth="1" min="1" max="1" width="28.14"/>
    <col customWidth="1" min="2" max="2" width="20.57" outlineLevel="1"/>
    <col customWidth="1" min="3" max="3" width="7.71" outlineLevel="1"/>
    <col customWidth="1" min="4" max="4" width="28.14" outlineLevel="1"/>
    <col customWidth="1" min="5" max="5" width="80.43" outlineLevel="1"/>
    <col customWidth="1" min="6" max="7" width="11.0" outlineLevel="1"/>
    <col min="8" max="9" width="14.43" outlineLevel="1"/>
    <col customWidth="1" min="10" max="10" width="15.57" outlineLevel="1"/>
  </cols>
  <sheetData>
    <row r="1">
      <c r="A1" s="1" t="s">
        <v>0</v>
      </c>
      <c r="B1" s="2" t="s">
        <v>1</v>
      </c>
      <c r="C1" s="3" t="s">
        <v>2</v>
      </c>
      <c r="D1" s="4" t="s">
        <v>3</v>
      </c>
      <c r="E1" s="2" t="s">
        <v>4</v>
      </c>
      <c r="F1" s="5" t="s">
        <v>5</v>
      </c>
      <c r="G1" s="4" t="s">
        <v>6</v>
      </c>
      <c r="H1" s="4" t="s">
        <v>7</v>
      </c>
      <c r="I1" s="4" t="s">
        <v>8</v>
      </c>
      <c r="J1" s="6" t="s">
        <v>9</v>
      </c>
      <c r="K1" s="1" t="s">
        <v>10</v>
      </c>
      <c r="L1" s="1" t="s">
        <v>11</v>
      </c>
      <c r="M1" s="1" t="s">
        <v>12</v>
      </c>
      <c r="N1" s="1" t="s">
        <v>13</v>
      </c>
      <c r="O1" s="1" t="s">
        <v>14</v>
      </c>
      <c r="P1" s="1" t="s">
        <v>15</v>
      </c>
      <c r="Q1" s="1" t="s">
        <v>16</v>
      </c>
      <c r="R1" s="1" t="s">
        <v>17</v>
      </c>
      <c r="S1" s="1" t="s">
        <v>18</v>
      </c>
      <c r="T1" s="1" t="s">
        <v>19</v>
      </c>
    </row>
    <row r="2" hidden="1">
      <c r="A2" s="7" t="s">
        <v>20</v>
      </c>
      <c r="B2" s="8" t="s">
        <v>21</v>
      </c>
      <c r="C2" s="9">
        <v>2.0</v>
      </c>
      <c r="D2" s="9" t="s">
        <v>22</v>
      </c>
      <c r="E2" s="7" t="s">
        <v>23</v>
      </c>
      <c r="F2" s="10" t="s">
        <v>24</v>
      </c>
      <c r="G2" s="9">
        <v>1.0</v>
      </c>
      <c r="H2" s="9" t="s">
        <v>25</v>
      </c>
      <c r="I2" s="9" t="s">
        <v>26</v>
      </c>
    </row>
    <row r="3">
      <c r="A3" s="7" t="s">
        <v>27</v>
      </c>
      <c r="B3" s="7" t="s">
        <v>21</v>
      </c>
      <c r="C3" s="9">
        <v>1.0</v>
      </c>
      <c r="D3" s="9" t="s">
        <v>28</v>
      </c>
      <c r="E3" s="7" t="s">
        <v>29</v>
      </c>
      <c r="F3" s="10" t="s">
        <v>30</v>
      </c>
      <c r="G3" s="9">
        <v>4.0</v>
      </c>
      <c r="H3" s="9" t="s">
        <v>31</v>
      </c>
      <c r="I3" s="9" t="s">
        <v>32</v>
      </c>
      <c r="J3" s="11" t="s">
        <v>33</v>
      </c>
      <c r="K3" s="12" t="s">
        <v>34</v>
      </c>
      <c r="L3" s="13" t="s">
        <v>35</v>
      </c>
    </row>
    <row r="4" hidden="1">
      <c r="A4" s="7" t="s">
        <v>36</v>
      </c>
      <c r="B4" s="14" t="s">
        <v>21</v>
      </c>
      <c r="C4" s="15">
        <v>2.0</v>
      </c>
      <c r="D4" s="15" t="s">
        <v>37</v>
      </c>
      <c r="E4" s="16" t="s">
        <v>38</v>
      </c>
      <c r="F4" s="17" t="s">
        <v>24</v>
      </c>
      <c r="G4" s="15">
        <v>1.0</v>
      </c>
      <c r="H4" s="15" t="s">
        <v>25</v>
      </c>
      <c r="I4" s="15" t="s">
        <v>26</v>
      </c>
    </row>
    <row r="5">
      <c r="A5" s="7" t="s">
        <v>39</v>
      </c>
      <c r="B5" s="7" t="s">
        <v>21</v>
      </c>
      <c r="C5" s="9">
        <v>1.0</v>
      </c>
      <c r="D5" s="9" t="s">
        <v>40</v>
      </c>
      <c r="E5" s="18" t="s">
        <v>41</v>
      </c>
      <c r="F5" s="19" t="s">
        <v>42</v>
      </c>
      <c r="G5" s="9">
        <v>5.0</v>
      </c>
      <c r="H5" s="9" t="s">
        <v>31</v>
      </c>
      <c r="I5" s="9" t="s">
        <v>32</v>
      </c>
      <c r="J5" s="11" t="s">
        <v>43</v>
      </c>
      <c r="K5" s="13" t="s">
        <v>44</v>
      </c>
    </row>
    <row r="6">
      <c r="A6" s="20" t="s">
        <v>45</v>
      </c>
      <c r="B6" s="7" t="s">
        <v>21</v>
      </c>
      <c r="C6" s="9">
        <v>1.0</v>
      </c>
      <c r="D6" s="9" t="s">
        <v>46</v>
      </c>
      <c r="E6" s="16" t="s">
        <v>47</v>
      </c>
      <c r="F6" s="17" t="s">
        <v>48</v>
      </c>
      <c r="G6" s="9">
        <v>2.0</v>
      </c>
      <c r="H6" s="9" t="s">
        <v>49</v>
      </c>
      <c r="I6" s="21" t="s">
        <v>32</v>
      </c>
      <c r="J6" s="11" t="s">
        <v>50</v>
      </c>
      <c r="K6" s="13" t="s">
        <v>51</v>
      </c>
    </row>
    <row r="7">
      <c r="A7" s="7" t="s">
        <v>52</v>
      </c>
      <c r="B7" s="7" t="s">
        <v>21</v>
      </c>
      <c r="C7" s="9">
        <v>1.0</v>
      </c>
      <c r="D7" s="15" t="s">
        <v>53</v>
      </c>
      <c r="E7" s="16" t="s">
        <v>54</v>
      </c>
      <c r="F7" s="17" t="s">
        <v>55</v>
      </c>
      <c r="G7" s="15">
        <v>6.0</v>
      </c>
      <c r="H7" s="15" t="s">
        <v>56</v>
      </c>
      <c r="I7" s="9" t="s">
        <v>26</v>
      </c>
      <c r="J7" s="11" t="s">
        <v>57</v>
      </c>
      <c r="K7" s="13" t="s">
        <v>58</v>
      </c>
    </row>
    <row r="8">
      <c r="A8" s="22" t="s">
        <v>59</v>
      </c>
      <c r="B8" s="7" t="s">
        <v>21</v>
      </c>
      <c r="C8" s="9">
        <v>1.0</v>
      </c>
      <c r="D8" s="9" t="s">
        <v>46</v>
      </c>
      <c r="E8" s="7" t="s">
        <v>60</v>
      </c>
      <c r="F8" s="10" t="s">
        <v>61</v>
      </c>
      <c r="G8" s="9">
        <v>5.0</v>
      </c>
      <c r="H8" s="9" t="s">
        <v>56</v>
      </c>
      <c r="I8" s="9" t="s">
        <v>62</v>
      </c>
      <c r="J8" s="11" t="s">
        <v>63</v>
      </c>
      <c r="K8" s="13" t="s">
        <v>64</v>
      </c>
    </row>
    <row r="9" hidden="1">
      <c r="A9" s="7" t="s">
        <v>65</v>
      </c>
      <c r="B9" s="23" t="s">
        <v>21</v>
      </c>
      <c r="C9" s="9">
        <v>2.0</v>
      </c>
      <c r="D9" s="9" t="s">
        <v>66</v>
      </c>
      <c r="E9" s="7" t="s">
        <v>67</v>
      </c>
      <c r="F9" s="10" t="s">
        <v>68</v>
      </c>
      <c r="G9" s="9">
        <v>4.0</v>
      </c>
      <c r="H9" s="9" t="s">
        <v>49</v>
      </c>
      <c r="I9" s="9" t="s">
        <v>62</v>
      </c>
    </row>
    <row r="10">
      <c r="A10" s="24" t="s">
        <v>69</v>
      </c>
      <c r="B10" s="7" t="s">
        <v>21</v>
      </c>
      <c r="C10" s="9">
        <v>1.0</v>
      </c>
      <c r="D10" s="21" t="s">
        <v>70</v>
      </c>
      <c r="E10" s="7" t="s">
        <v>71</v>
      </c>
      <c r="F10" s="17" t="s">
        <v>72</v>
      </c>
      <c r="G10" s="21">
        <v>4.0</v>
      </c>
      <c r="H10" s="9" t="s">
        <v>49</v>
      </c>
      <c r="I10" s="21" t="s">
        <v>26</v>
      </c>
      <c r="J10" s="11" t="s">
        <v>73</v>
      </c>
      <c r="K10" s="13" t="s">
        <v>74</v>
      </c>
    </row>
    <row r="11">
      <c r="A11" s="24" t="s">
        <v>75</v>
      </c>
      <c r="B11" s="7" t="s">
        <v>21</v>
      </c>
      <c r="C11" s="9">
        <v>1.0</v>
      </c>
      <c r="D11" s="9" t="s">
        <v>76</v>
      </c>
      <c r="E11" s="7" t="s">
        <v>77</v>
      </c>
      <c r="F11" s="17" t="s">
        <v>78</v>
      </c>
      <c r="G11" s="9">
        <v>2.0</v>
      </c>
      <c r="H11" s="9" t="s">
        <v>25</v>
      </c>
      <c r="I11" s="21" t="s">
        <v>26</v>
      </c>
      <c r="J11" s="11" t="s">
        <v>79</v>
      </c>
      <c r="K11" s="13" t="s">
        <v>80</v>
      </c>
    </row>
    <row r="12">
      <c r="A12" s="16" t="s">
        <v>81</v>
      </c>
      <c r="B12" s="25" t="s">
        <v>21</v>
      </c>
      <c r="C12" s="9">
        <v>1.0</v>
      </c>
      <c r="D12" s="9" t="s">
        <v>82</v>
      </c>
      <c r="E12" s="7" t="s">
        <v>83</v>
      </c>
      <c r="F12" s="10" t="s">
        <v>84</v>
      </c>
      <c r="G12" s="9">
        <v>3.0</v>
      </c>
      <c r="H12" s="9" t="s">
        <v>85</v>
      </c>
      <c r="I12" s="9" t="s">
        <v>62</v>
      </c>
      <c r="J12" s="11" t="s">
        <v>86</v>
      </c>
      <c r="K12" s="13" t="s">
        <v>87</v>
      </c>
      <c r="L12" s="13" t="s">
        <v>88</v>
      </c>
      <c r="M12" s="13" t="s">
        <v>89</v>
      </c>
    </row>
    <row r="13">
      <c r="A13" s="24" t="s">
        <v>90</v>
      </c>
      <c r="B13" s="7" t="s">
        <v>21</v>
      </c>
      <c r="C13" s="9">
        <v>1.0</v>
      </c>
      <c r="D13" s="9" t="s">
        <v>40</v>
      </c>
      <c r="F13" s="10" t="s">
        <v>91</v>
      </c>
      <c r="G13" s="9">
        <v>3.0</v>
      </c>
      <c r="H13" s="9" t="s">
        <v>92</v>
      </c>
      <c r="I13" s="9" t="s">
        <v>26</v>
      </c>
      <c r="J13" s="26" t="s">
        <v>93</v>
      </c>
      <c r="K13" s="27" t="s">
        <v>94</v>
      </c>
      <c r="L13" s="27" t="s">
        <v>95</v>
      </c>
      <c r="M13" s="28"/>
      <c r="N13" s="28"/>
      <c r="O13" s="28"/>
      <c r="P13" s="28"/>
      <c r="Q13" s="28"/>
      <c r="R13" s="28"/>
      <c r="S13" s="28"/>
      <c r="T13" s="28"/>
    </row>
    <row r="14">
      <c r="A14" s="7" t="s">
        <v>96</v>
      </c>
      <c r="B14" s="7" t="s">
        <v>21</v>
      </c>
      <c r="C14" s="9">
        <v>1.0</v>
      </c>
      <c r="D14" s="9" t="s">
        <v>97</v>
      </c>
      <c r="E14" s="7" t="s">
        <v>98</v>
      </c>
      <c r="F14" s="10" t="s">
        <v>99</v>
      </c>
      <c r="G14" s="9">
        <v>1.0</v>
      </c>
      <c r="H14" s="9" t="s">
        <v>92</v>
      </c>
      <c r="I14" s="9" t="s">
        <v>26</v>
      </c>
      <c r="J14" s="11" t="s">
        <v>100</v>
      </c>
      <c r="K14" s="13" t="s">
        <v>101</v>
      </c>
    </row>
    <row r="15">
      <c r="A15" s="16" t="s">
        <v>102</v>
      </c>
      <c r="B15" s="16" t="s">
        <v>21</v>
      </c>
      <c r="C15" s="15">
        <v>1.0</v>
      </c>
      <c r="D15" s="15" t="s">
        <v>28</v>
      </c>
      <c r="E15" s="16" t="s">
        <v>103</v>
      </c>
      <c r="F15" s="17" t="s">
        <v>104</v>
      </c>
      <c r="G15" s="15">
        <v>2.0</v>
      </c>
      <c r="H15" s="15" t="s">
        <v>85</v>
      </c>
      <c r="I15" s="15" t="s">
        <v>62</v>
      </c>
      <c r="J15" s="11" t="s">
        <v>93</v>
      </c>
      <c r="K15" s="13" t="s">
        <v>105</v>
      </c>
    </row>
    <row r="16">
      <c r="A16" s="7" t="s">
        <v>106</v>
      </c>
      <c r="B16" s="7" t="s">
        <v>21</v>
      </c>
      <c r="C16" s="9">
        <v>1.0</v>
      </c>
      <c r="D16" s="9" t="s">
        <v>107</v>
      </c>
      <c r="E16" s="7" t="s">
        <v>108</v>
      </c>
      <c r="F16" s="10" t="s">
        <v>109</v>
      </c>
      <c r="G16" s="9">
        <v>6.0</v>
      </c>
      <c r="H16" s="9" t="s">
        <v>110</v>
      </c>
      <c r="I16" s="9" t="s">
        <v>26</v>
      </c>
      <c r="J16" s="11" t="s">
        <v>111</v>
      </c>
      <c r="K16" s="13" t="s">
        <v>112</v>
      </c>
    </row>
    <row r="17">
      <c r="A17" s="7" t="s">
        <v>113</v>
      </c>
      <c r="B17" s="7" t="s">
        <v>21</v>
      </c>
      <c r="C17" s="9">
        <v>1.0</v>
      </c>
      <c r="D17" s="9" t="s">
        <v>114</v>
      </c>
      <c r="E17" s="7" t="s">
        <v>115</v>
      </c>
      <c r="F17" s="10" t="s">
        <v>116</v>
      </c>
      <c r="G17" s="9">
        <v>2.0</v>
      </c>
      <c r="H17" s="9" t="s">
        <v>92</v>
      </c>
      <c r="I17" s="9" t="s">
        <v>26</v>
      </c>
      <c r="J17" s="26" t="s">
        <v>117</v>
      </c>
      <c r="K17" s="27" t="s">
        <v>118</v>
      </c>
      <c r="L17" s="28"/>
      <c r="M17" s="28"/>
      <c r="N17" s="28"/>
      <c r="O17" s="28"/>
      <c r="P17" s="28"/>
      <c r="Q17" s="28"/>
      <c r="R17" s="28"/>
      <c r="S17" s="28"/>
      <c r="T17" s="28"/>
    </row>
    <row r="18">
      <c r="A18" s="24" t="s">
        <v>119</v>
      </c>
      <c r="B18" s="7" t="s">
        <v>21</v>
      </c>
      <c r="C18" s="9">
        <v>1.0</v>
      </c>
      <c r="D18" s="21" t="s">
        <v>70</v>
      </c>
      <c r="E18" s="16" t="s">
        <v>120</v>
      </c>
      <c r="F18" s="17" t="s">
        <v>121</v>
      </c>
      <c r="G18" s="9">
        <v>3.0</v>
      </c>
      <c r="H18" s="9" t="s">
        <v>49</v>
      </c>
      <c r="I18" s="21" t="s">
        <v>26</v>
      </c>
      <c r="J18" s="11" t="s">
        <v>122</v>
      </c>
      <c r="K18" s="13" t="s">
        <v>123</v>
      </c>
    </row>
    <row r="19" hidden="1">
      <c r="A19" s="7" t="s">
        <v>124</v>
      </c>
      <c r="B19" s="8" t="s">
        <v>21</v>
      </c>
      <c r="C19" s="9">
        <v>2.0</v>
      </c>
      <c r="D19" s="9" t="s">
        <v>28</v>
      </c>
      <c r="E19" s="7" t="s">
        <v>125</v>
      </c>
      <c r="F19" s="10" t="s">
        <v>126</v>
      </c>
      <c r="G19" s="9">
        <v>4.0</v>
      </c>
      <c r="H19" s="9" t="s">
        <v>31</v>
      </c>
      <c r="I19" s="9" t="s">
        <v>62</v>
      </c>
    </row>
    <row r="20">
      <c r="A20" s="7" t="s">
        <v>127</v>
      </c>
      <c r="B20" s="7" t="s">
        <v>21</v>
      </c>
      <c r="C20" s="9">
        <v>1.0</v>
      </c>
      <c r="D20" s="9" t="s">
        <v>128</v>
      </c>
      <c r="E20" s="7" t="s">
        <v>129</v>
      </c>
      <c r="F20" s="10" t="s">
        <v>130</v>
      </c>
      <c r="G20" s="9">
        <v>2.0</v>
      </c>
      <c r="H20" s="9" t="s">
        <v>92</v>
      </c>
      <c r="I20" s="9" t="s">
        <v>26</v>
      </c>
      <c r="J20" s="11" t="s">
        <v>131</v>
      </c>
      <c r="K20" s="13" t="s">
        <v>132</v>
      </c>
    </row>
    <row r="21">
      <c r="A21" s="7" t="s">
        <v>133</v>
      </c>
      <c r="B21" s="7" t="s">
        <v>21</v>
      </c>
      <c r="C21" s="9">
        <v>1.0</v>
      </c>
      <c r="D21" s="9" t="s">
        <v>134</v>
      </c>
      <c r="E21" s="7" t="s">
        <v>135</v>
      </c>
      <c r="F21" s="10" t="s">
        <v>136</v>
      </c>
      <c r="G21" s="9">
        <v>4.0</v>
      </c>
      <c r="H21" s="9" t="s">
        <v>137</v>
      </c>
      <c r="I21" s="9" t="s">
        <v>62</v>
      </c>
      <c r="J21" s="11" t="s">
        <v>138</v>
      </c>
      <c r="K21" s="13" t="s">
        <v>139</v>
      </c>
    </row>
    <row r="22">
      <c r="A22" s="7" t="s">
        <v>140</v>
      </c>
      <c r="B22" s="7" t="s">
        <v>21</v>
      </c>
      <c r="C22" s="9">
        <v>1.0</v>
      </c>
      <c r="D22" s="9" t="s">
        <v>114</v>
      </c>
      <c r="E22" s="7" t="s">
        <v>141</v>
      </c>
      <c r="F22" s="10" t="s">
        <v>142</v>
      </c>
      <c r="G22" s="9">
        <v>3.0</v>
      </c>
      <c r="H22" s="9" t="s">
        <v>85</v>
      </c>
      <c r="I22" s="15" t="s">
        <v>62</v>
      </c>
      <c r="J22" s="26" t="s">
        <v>143</v>
      </c>
      <c r="K22" s="27" t="s">
        <v>144</v>
      </c>
      <c r="L22" s="28"/>
      <c r="M22" s="28"/>
      <c r="N22" s="28"/>
      <c r="O22" s="28"/>
      <c r="P22" s="28"/>
      <c r="Q22" s="28"/>
      <c r="R22" s="28"/>
      <c r="S22" s="28"/>
      <c r="T22" s="28"/>
    </row>
    <row r="23" hidden="1">
      <c r="A23" s="16" t="s">
        <v>145</v>
      </c>
      <c r="B23" s="16" t="s">
        <v>21</v>
      </c>
      <c r="C23" s="15">
        <v>0.0</v>
      </c>
      <c r="D23" s="15" t="s">
        <v>82</v>
      </c>
      <c r="E23" s="16" t="s">
        <v>146</v>
      </c>
      <c r="F23" s="17" t="s">
        <v>147</v>
      </c>
      <c r="G23" s="15">
        <v>4.0</v>
      </c>
      <c r="H23" s="15" t="s">
        <v>31</v>
      </c>
      <c r="I23" s="15" t="s">
        <v>62</v>
      </c>
    </row>
    <row r="24">
      <c r="A24" s="16" t="s">
        <v>148</v>
      </c>
      <c r="B24" s="7" t="s">
        <v>21</v>
      </c>
      <c r="C24" s="9">
        <v>1.0</v>
      </c>
      <c r="D24" s="9" t="s">
        <v>70</v>
      </c>
      <c r="E24" s="7" t="s">
        <v>149</v>
      </c>
      <c r="F24" s="10" t="s">
        <v>150</v>
      </c>
      <c r="G24" s="9">
        <v>3.0</v>
      </c>
      <c r="H24" s="9" t="s">
        <v>137</v>
      </c>
      <c r="I24" s="9" t="s">
        <v>62</v>
      </c>
      <c r="J24" s="11" t="s">
        <v>151</v>
      </c>
      <c r="K24" s="13" t="s">
        <v>152</v>
      </c>
    </row>
    <row r="25" hidden="1">
      <c r="A25" s="16" t="s">
        <v>153</v>
      </c>
      <c r="B25" s="8" t="s">
        <v>21</v>
      </c>
      <c r="C25" s="9">
        <v>2.0</v>
      </c>
      <c r="D25" s="15" t="s">
        <v>28</v>
      </c>
      <c r="E25" s="16" t="s">
        <v>154</v>
      </c>
      <c r="F25" s="17" t="s">
        <v>155</v>
      </c>
      <c r="G25" s="15">
        <v>4.0</v>
      </c>
      <c r="H25" s="15" t="s">
        <v>85</v>
      </c>
      <c r="I25" s="15" t="s">
        <v>62</v>
      </c>
    </row>
    <row r="26" hidden="1">
      <c r="A26" s="7" t="s">
        <v>156</v>
      </c>
      <c r="B26" s="8" t="s">
        <v>21</v>
      </c>
      <c r="C26" s="9">
        <v>2.0</v>
      </c>
      <c r="D26" s="9" t="s">
        <v>40</v>
      </c>
      <c r="E26" s="7" t="s">
        <v>157</v>
      </c>
      <c r="F26" s="10" t="s">
        <v>158</v>
      </c>
      <c r="G26" s="9">
        <v>2.0</v>
      </c>
      <c r="H26" s="9" t="s">
        <v>49</v>
      </c>
      <c r="I26" s="9" t="s">
        <v>62</v>
      </c>
    </row>
    <row r="27" hidden="1">
      <c r="A27" s="16" t="s">
        <v>159</v>
      </c>
      <c r="B27" s="14" t="s">
        <v>21</v>
      </c>
      <c r="C27" s="15">
        <v>2.0</v>
      </c>
      <c r="D27" s="15" t="s">
        <v>160</v>
      </c>
      <c r="E27" s="29" t="s">
        <v>161</v>
      </c>
      <c r="F27" s="17" t="s">
        <v>162</v>
      </c>
      <c r="G27" s="15">
        <v>0.0</v>
      </c>
      <c r="H27" s="15" t="s">
        <v>49</v>
      </c>
      <c r="I27" s="15" t="s">
        <v>62</v>
      </c>
    </row>
    <row r="28">
      <c r="A28" s="22" t="s">
        <v>163</v>
      </c>
      <c r="B28" s="7" t="s">
        <v>21</v>
      </c>
      <c r="C28" s="9">
        <v>1.0</v>
      </c>
      <c r="D28" s="9" t="s">
        <v>70</v>
      </c>
      <c r="E28" s="16" t="s">
        <v>164</v>
      </c>
      <c r="F28" s="10" t="s">
        <v>165</v>
      </c>
      <c r="G28" s="9">
        <v>6.0</v>
      </c>
      <c r="H28" s="9" t="s">
        <v>166</v>
      </c>
      <c r="I28" s="15" t="s">
        <v>62</v>
      </c>
      <c r="J28" s="11" t="s">
        <v>167</v>
      </c>
      <c r="K28" s="13" t="s">
        <v>168</v>
      </c>
    </row>
    <row r="29" hidden="1">
      <c r="A29" s="22" t="s">
        <v>169</v>
      </c>
      <c r="B29" s="8" t="s">
        <v>21</v>
      </c>
      <c r="C29" s="9">
        <v>2.0</v>
      </c>
      <c r="D29" s="9" t="s">
        <v>46</v>
      </c>
      <c r="E29" s="7" t="s">
        <v>170</v>
      </c>
      <c r="F29" s="10" t="s">
        <v>171</v>
      </c>
      <c r="G29" s="9">
        <v>4.0</v>
      </c>
      <c r="H29" s="9" t="s">
        <v>172</v>
      </c>
      <c r="I29" s="9" t="s">
        <v>62</v>
      </c>
    </row>
    <row r="30">
      <c r="A30" s="22" t="s">
        <v>173</v>
      </c>
      <c r="B30" s="7" t="s">
        <v>21</v>
      </c>
      <c r="C30" s="9">
        <v>1.0</v>
      </c>
      <c r="D30" s="9" t="s">
        <v>174</v>
      </c>
      <c r="E30" s="7" t="s">
        <v>175</v>
      </c>
      <c r="F30" s="10" t="s">
        <v>176</v>
      </c>
      <c r="G30" s="9">
        <v>2.0</v>
      </c>
      <c r="H30" s="9" t="s">
        <v>137</v>
      </c>
      <c r="I30" s="9" t="s">
        <v>26</v>
      </c>
      <c r="J30" s="11" t="s">
        <v>177</v>
      </c>
      <c r="K30" s="13" t="s">
        <v>178</v>
      </c>
    </row>
    <row r="31">
      <c r="A31" s="7" t="s">
        <v>179</v>
      </c>
      <c r="B31" s="7" t="s">
        <v>21</v>
      </c>
      <c r="C31" s="9">
        <v>1.0</v>
      </c>
      <c r="D31" s="9" t="s">
        <v>180</v>
      </c>
      <c r="E31" s="16" t="s">
        <v>181</v>
      </c>
      <c r="F31" s="17" t="s">
        <v>182</v>
      </c>
      <c r="G31" s="9">
        <v>2.0</v>
      </c>
      <c r="H31" s="9" t="s">
        <v>25</v>
      </c>
      <c r="I31" s="9" t="s">
        <v>26</v>
      </c>
      <c r="J31" s="11" t="s">
        <v>183</v>
      </c>
      <c r="K31" s="13" t="s">
        <v>184</v>
      </c>
    </row>
    <row r="32">
      <c r="A32" s="7" t="s">
        <v>185</v>
      </c>
      <c r="B32" s="7" t="s">
        <v>21</v>
      </c>
      <c r="C32" s="9">
        <v>1.0</v>
      </c>
      <c r="D32" s="9" t="s">
        <v>97</v>
      </c>
      <c r="E32" s="7" t="s">
        <v>186</v>
      </c>
      <c r="F32" s="10" t="s">
        <v>187</v>
      </c>
      <c r="G32" s="9">
        <v>0.0</v>
      </c>
      <c r="H32" s="9" t="s">
        <v>49</v>
      </c>
      <c r="I32" s="9" t="s">
        <v>32</v>
      </c>
      <c r="J32" s="11" t="s">
        <v>188</v>
      </c>
      <c r="K32" s="13" t="s">
        <v>189</v>
      </c>
    </row>
    <row r="33" hidden="1">
      <c r="A33" s="16" t="s">
        <v>190</v>
      </c>
      <c r="B33" s="8" t="s">
        <v>21</v>
      </c>
      <c r="C33" s="9">
        <v>2.0</v>
      </c>
      <c r="D33" s="15" t="s">
        <v>70</v>
      </c>
      <c r="E33" s="16" t="s">
        <v>191</v>
      </c>
      <c r="F33" s="17" t="s">
        <v>192</v>
      </c>
      <c r="G33" s="15">
        <v>1.0</v>
      </c>
      <c r="H33" s="15" t="s">
        <v>25</v>
      </c>
      <c r="I33" s="15" t="s">
        <v>62</v>
      </c>
    </row>
    <row r="34">
      <c r="A34" s="7" t="s">
        <v>193</v>
      </c>
      <c r="B34" s="7" t="s">
        <v>21</v>
      </c>
      <c r="C34" s="9">
        <v>1.0</v>
      </c>
      <c r="D34" s="9" t="s">
        <v>114</v>
      </c>
      <c r="E34" s="7" t="s">
        <v>194</v>
      </c>
      <c r="F34" s="10" t="s">
        <v>195</v>
      </c>
      <c r="G34" s="9">
        <v>4.0</v>
      </c>
      <c r="H34" s="9" t="s">
        <v>137</v>
      </c>
      <c r="I34" s="9" t="s">
        <v>26</v>
      </c>
      <c r="J34" s="11" t="s">
        <v>196</v>
      </c>
      <c r="K34" s="13" t="s">
        <v>197</v>
      </c>
    </row>
    <row r="35">
      <c r="A35" s="24" t="s">
        <v>198</v>
      </c>
      <c r="B35" s="7" t="s">
        <v>21</v>
      </c>
      <c r="C35" s="9">
        <v>1.0</v>
      </c>
      <c r="D35" s="9" t="s">
        <v>199</v>
      </c>
      <c r="F35" s="10" t="s">
        <v>200</v>
      </c>
      <c r="G35" s="21">
        <v>3.0</v>
      </c>
      <c r="H35" s="9" t="s">
        <v>25</v>
      </c>
      <c r="I35" s="21" t="s">
        <v>62</v>
      </c>
      <c r="J35" s="11" t="s">
        <v>201</v>
      </c>
      <c r="K35" s="13" t="s">
        <v>202</v>
      </c>
      <c r="L35" s="13" t="s">
        <v>203</v>
      </c>
      <c r="M35" s="13" t="s">
        <v>204</v>
      </c>
      <c r="N35" s="13" t="s">
        <v>205</v>
      </c>
      <c r="O35" s="13" t="s">
        <v>206</v>
      </c>
    </row>
    <row r="36" hidden="1">
      <c r="A36" s="16" t="s">
        <v>207</v>
      </c>
      <c r="B36" s="14" t="s">
        <v>21</v>
      </c>
      <c r="C36" s="15">
        <v>2.0</v>
      </c>
      <c r="D36" s="15" t="s">
        <v>37</v>
      </c>
      <c r="E36" s="16" t="s">
        <v>208</v>
      </c>
      <c r="F36" s="17" t="s">
        <v>24</v>
      </c>
      <c r="G36" s="15">
        <v>0.0</v>
      </c>
      <c r="H36" s="15" t="s">
        <v>85</v>
      </c>
      <c r="I36" s="15" t="s">
        <v>26</v>
      </c>
    </row>
    <row r="37" hidden="1">
      <c r="A37" s="16" t="s">
        <v>209</v>
      </c>
      <c r="B37" s="14" t="s">
        <v>21</v>
      </c>
      <c r="C37" s="15">
        <v>2.0</v>
      </c>
      <c r="D37" s="15" t="s">
        <v>46</v>
      </c>
      <c r="E37" s="30" t="s">
        <v>210</v>
      </c>
      <c r="F37" s="17" t="s">
        <v>211</v>
      </c>
      <c r="G37" s="15">
        <v>8.0</v>
      </c>
      <c r="H37" s="15" t="s">
        <v>212</v>
      </c>
      <c r="I37" s="15" t="s">
        <v>32</v>
      </c>
    </row>
    <row r="38" hidden="1">
      <c r="A38" s="16" t="s">
        <v>213</v>
      </c>
      <c r="B38" s="16" t="s">
        <v>21</v>
      </c>
      <c r="C38" s="15">
        <v>2.0</v>
      </c>
      <c r="D38" s="15" t="s">
        <v>40</v>
      </c>
      <c r="E38" s="16" t="s">
        <v>214</v>
      </c>
      <c r="F38" s="17" t="s">
        <v>215</v>
      </c>
      <c r="G38" s="15">
        <v>5.0</v>
      </c>
      <c r="H38" s="9" t="s">
        <v>31</v>
      </c>
      <c r="I38" s="9" t="s">
        <v>62</v>
      </c>
    </row>
    <row r="39" hidden="1">
      <c r="A39" s="31" t="s">
        <v>216</v>
      </c>
      <c r="B39" s="14" t="s">
        <v>21</v>
      </c>
      <c r="C39" s="15">
        <v>2.0</v>
      </c>
      <c r="D39" s="15" t="s">
        <v>217</v>
      </c>
      <c r="E39" s="16" t="s">
        <v>218</v>
      </c>
      <c r="F39" s="17" t="s">
        <v>219</v>
      </c>
      <c r="G39" s="15">
        <v>2.0</v>
      </c>
      <c r="H39" s="15" t="s">
        <v>92</v>
      </c>
      <c r="I39" s="15" t="s">
        <v>62</v>
      </c>
    </row>
    <row r="40">
      <c r="A40" s="7" t="s">
        <v>220</v>
      </c>
      <c r="B40" s="7" t="s">
        <v>21</v>
      </c>
      <c r="C40" s="9">
        <v>1.0</v>
      </c>
      <c r="D40" s="9" t="s">
        <v>221</v>
      </c>
      <c r="E40" s="7" t="s">
        <v>222</v>
      </c>
      <c r="F40" s="10" t="s">
        <v>223</v>
      </c>
      <c r="G40" s="9">
        <v>3.0</v>
      </c>
      <c r="H40" s="9" t="s">
        <v>224</v>
      </c>
      <c r="I40" s="9" t="s">
        <v>62</v>
      </c>
      <c r="J40" s="11" t="s">
        <v>225</v>
      </c>
      <c r="K40" s="13" t="s">
        <v>226</v>
      </c>
      <c r="L40" s="13" t="s">
        <v>227</v>
      </c>
    </row>
    <row r="41">
      <c r="A41" s="7" t="s">
        <v>228</v>
      </c>
      <c r="B41" s="7" t="s">
        <v>21</v>
      </c>
      <c r="C41" s="9">
        <v>1.0</v>
      </c>
      <c r="D41" s="9" t="s">
        <v>229</v>
      </c>
      <c r="E41" s="29" t="s">
        <v>230</v>
      </c>
      <c r="F41" s="10" t="s">
        <v>231</v>
      </c>
      <c r="G41" s="9">
        <v>6.0</v>
      </c>
      <c r="H41" s="9" t="s">
        <v>56</v>
      </c>
      <c r="I41" s="9" t="s">
        <v>26</v>
      </c>
      <c r="J41" s="11" t="s">
        <v>232</v>
      </c>
      <c r="K41" s="13" t="s">
        <v>233</v>
      </c>
    </row>
    <row r="42" hidden="1">
      <c r="A42" s="32" t="s">
        <v>234</v>
      </c>
      <c r="B42" s="8" t="s">
        <v>21</v>
      </c>
      <c r="C42" s="9">
        <v>2.0</v>
      </c>
      <c r="D42" s="9" t="s">
        <v>70</v>
      </c>
      <c r="E42" s="7" t="s">
        <v>235</v>
      </c>
      <c r="F42" s="10" t="s">
        <v>24</v>
      </c>
      <c r="G42" s="9">
        <v>3.0</v>
      </c>
      <c r="H42" s="9" t="s">
        <v>137</v>
      </c>
      <c r="I42" s="9" t="s">
        <v>62</v>
      </c>
    </row>
    <row r="43">
      <c r="A43" s="7" t="s">
        <v>236</v>
      </c>
      <c r="B43" s="7" t="s">
        <v>21</v>
      </c>
      <c r="C43" s="9">
        <v>1.0</v>
      </c>
      <c r="D43" s="9" t="s">
        <v>237</v>
      </c>
      <c r="E43" s="7"/>
      <c r="F43" s="10" t="s">
        <v>238</v>
      </c>
      <c r="G43" s="9">
        <v>4.0</v>
      </c>
      <c r="H43" s="9" t="s">
        <v>224</v>
      </c>
      <c r="I43" s="9" t="s">
        <v>26</v>
      </c>
      <c r="J43" s="11" t="s">
        <v>239</v>
      </c>
      <c r="K43" s="13" t="s">
        <v>240</v>
      </c>
    </row>
    <row r="44" hidden="1">
      <c r="A44" s="16" t="s">
        <v>241</v>
      </c>
      <c r="B44" s="8" t="s">
        <v>21</v>
      </c>
      <c r="C44" s="9">
        <v>2.0</v>
      </c>
      <c r="D44" s="15" t="s">
        <v>199</v>
      </c>
      <c r="E44" s="16" t="s">
        <v>242</v>
      </c>
      <c r="F44" s="17" t="s">
        <v>243</v>
      </c>
      <c r="G44" s="15">
        <v>5.0</v>
      </c>
      <c r="H44" s="15" t="s">
        <v>31</v>
      </c>
      <c r="I44" s="15" t="s">
        <v>62</v>
      </c>
    </row>
    <row r="45">
      <c r="A45" s="16" t="s">
        <v>244</v>
      </c>
      <c r="B45" s="16" t="s">
        <v>21</v>
      </c>
      <c r="C45" s="15">
        <v>1.0</v>
      </c>
      <c r="D45" s="15" t="s">
        <v>245</v>
      </c>
      <c r="F45" s="33"/>
      <c r="G45" s="15">
        <v>5.0</v>
      </c>
      <c r="H45" s="15" t="s">
        <v>246</v>
      </c>
      <c r="I45" s="15" t="s">
        <v>26</v>
      </c>
    </row>
    <row r="46" hidden="1">
      <c r="A46" s="31" t="s">
        <v>247</v>
      </c>
      <c r="B46" s="14" t="s">
        <v>21</v>
      </c>
      <c r="C46" s="15">
        <v>2.0</v>
      </c>
      <c r="D46" s="15" t="s">
        <v>248</v>
      </c>
      <c r="E46" s="16" t="s">
        <v>249</v>
      </c>
      <c r="F46" s="17" t="s">
        <v>250</v>
      </c>
      <c r="G46" s="15">
        <v>2.0</v>
      </c>
      <c r="H46" s="15" t="s">
        <v>92</v>
      </c>
      <c r="I46" s="15" t="s">
        <v>26</v>
      </c>
    </row>
    <row r="47" hidden="1">
      <c r="A47" s="16" t="s">
        <v>251</v>
      </c>
      <c r="B47" s="8" t="s">
        <v>21</v>
      </c>
      <c r="C47" s="9">
        <v>2.0</v>
      </c>
      <c r="D47" s="15" t="s">
        <v>37</v>
      </c>
      <c r="E47" s="16" t="s">
        <v>252</v>
      </c>
      <c r="F47" s="17" t="s">
        <v>253</v>
      </c>
      <c r="G47" s="15">
        <v>1.0</v>
      </c>
      <c r="H47" s="15" t="s">
        <v>85</v>
      </c>
      <c r="I47" s="15" t="s">
        <v>26</v>
      </c>
    </row>
    <row r="48">
      <c r="A48" s="31" t="s">
        <v>254</v>
      </c>
      <c r="B48" s="34" t="s">
        <v>21</v>
      </c>
      <c r="C48" s="15">
        <v>1.0</v>
      </c>
      <c r="D48" s="15" t="s">
        <v>255</v>
      </c>
      <c r="E48" s="16" t="s">
        <v>256</v>
      </c>
      <c r="F48" s="33"/>
      <c r="G48" s="35"/>
      <c r="H48" s="35"/>
      <c r="I48" s="15" t="s">
        <v>32</v>
      </c>
    </row>
    <row r="49" hidden="1">
      <c r="A49" s="7" t="s">
        <v>257</v>
      </c>
      <c r="B49" s="7" t="s">
        <v>258</v>
      </c>
      <c r="C49" s="9">
        <v>2.0</v>
      </c>
      <c r="D49" s="9" t="s">
        <v>217</v>
      </c>
      <c r="E49" s="7" t="s">
        <v>259</v>
      </c>
      <c r="F49" s="10" t="s">
        <v>260</v>
      </c>
      <c r="G49" s="9">
        <v>7.0</v>
      </c>
      <c r="H49" s="9" t="s">
        <v>261</v>
      </c>
      <c r="I49" s="15" t="s">
        <v>32</v>
      </c>
    </row>
    <row r="50" hidden="1">
      <c r="A50" s="24" t="s">
        <v>262</v>
      </c>
      <c r="B50" s="7" t="s">
        <v>258</v>
      </c>
      <c r="C50" s="9">
        <v>2.0</v>
      </c>
      <c r="D50" s="9" t="s">
        <v>82</v>
      </c>
      <c r="E50" s="7" t="s">
        <v>263</v>
      </c>
      <c r="F50" s="10" t="s">
        <v>264</v>
      </c>
      <c r="G50" s="9">
        <v>4.0</v>
      </c>
      <c r="H50" s="9" t="s">
        <v>224</v>
      </c>
      <c r="I50" s="9" t="s">
        <v>62</v>
      </c>
    </row>
    <row r="51" hidden="1">
      <c r="A51" s="16" t="s">
        <v>265</v>
      </c>
      <c r="B51" s="16" t="s">
        <v>258</v>
      </c>
      <c r="C51" s="15">
        <v>0.0</v>
      </c>
      <c r="D51" s="15" t="s">
        <v>266</v>
      </c>
      <c r="E51" s="16" t="s">
        <v>267</v>
      </c>
      <c r="F51" s="17" t="s">
        <v>268</v>
      </c>
      <c r="G51" s="15">
        <v>4.0</v>
      </c>
      <c r="H51" s="15" t="s">
        <v>269</v>
      </c>
      <c r="I51" s="15" t="s">
        <v>62</v>
      </c>
    </row>
    <row r="52">
      <c r="A52" s="7" t="s">
        <v>270</v>
      </c>
      <c r="B52" s="7" t="s">
        <v>21</v>
      </c>
      <c r="C52" s="9">
        <v>1.0</v>
      </c>
      <c r="D52" s="9" t="s">
        <v>271</v>
      </c>
      <c r="F52" s="10" t="s">
        <v>272</v>
      </c>
      <c r="G52" s="9">
        <v>9.0</v>
      </c>
      <c r="H52" s="9" t="s">
        <v>110</v>
      </c>
      <c r="I52" s="9" t="s">
        <v>62</v>
      </c>
      <c r="J52" s="11" t="s">
        <v>273</v>
      </c>
      <c r="K52" s="13" t="s">
        <v>274</v>
      </c>
    </row>
    <row r="53">
      <c r="A53" s="31" t="s">
        <v>275</v>
      </c>
      <c r="B53" s="16" t="s">
        <v>21</v>
      </c>
      <c r="C53" s="15">
        <v>1.0</v>
      </c>
      <c r="D53" s="15" t="s">
        <v>276</v>
      </c>
      <c r="E53" s="16" t="s">
        <v>277</v>
      </c>
      <c r="F53" s="33"/>
      <c r="G53" s="15">
        <v>2.0</v>
      </c>
      <c r="H53" s="15" t="s">
        <v>92</v>
      </c>
      <c r="I53" s="15" t="s">
        <v>32</v>
      </c>
    </row>
    <row r="54" hidden="1">
      <c r="A54" s="16" t="s">
        <v>278</v>
      </c>
      <c r="B54" s="16" t="s">
        <v>258</v>
      </c>
      <c r="C54" s="15">
        <v>2.0</v>
      </c>
      <c r="D54" s="15" t="s">
        <v>134</v>
      </c>
      <c r="E54" s="16" t="s">
        <v>279</v>
      </c>
      <c r="F54" s="17" t="s">
        <v>280</v>
      </c>
      <c r="G54" s="15">
        <v>6.0</v>
      </c>
      <c r="H54" s="15" t="s">
        <v>269</v>
      </c>
      <c r="I54" s="15" t="s">
        <v>62</v>
      </c>
    </row>
    <row r="55" hidden="1">
      <c r="A55" s="16" t="s">
        <v>281</v>
      </c>
      <c r="B55" s="16" t="s">
        <v>282</v>
      </c>
      <c r="C55" s="15">
        <v>2.0</v>
      </c>
      <c r="D55" s="15" t="s">
        <v>128</v>
      </c>
      <c r="E55" s="16" t="s">
        <v>283</v>
      </c>
      <c r="F55" s="17" t="s">
        <v>284</v>
      </c>
      <c r="G55" s="15">
        <v>3.0</v>
      </c>
      <c r="H55" s="15" t="s">
        <v>285</v>
      </c>
      <c r="I55" s="15" t="s">
        <v>62</v>
      </c>
    </row>
    <row r="56" hidden="1">
      <c r="A56" s="7" t="s">
        <v>286</v>
      </c>
      <c r="B56" s="7" t="s">
        <v>282</v>
      </c>
      <c r="C56" s="9">
        <v>2.0</v>
      </c>
      <c r="D56" s="9" t="s">
        <v>287</v>
      </c>
      <c r="E56" s="7" t="s">
        <v>288</v>
      </c>
      <c r="F56" s="10" t="s">
        <v>289</v>
      </c>
      <c r="G56" s="9">
        <v>4.0</v>
      </c>
      <c r="H56" s="9" t="s">
        <v>290</v>
      </c>
      <c r="I56" s="9" t="s">
        <v>32</v>
      </c>
    </row>
    <row r="57">
      <c r="A57" s="31" t="s">
        <v>291</v>
      </c>
      <c r="B57" s="16" t="s">
        <v>21</v>
      </c>
      <c r="C57" s="15">
        <v>1.0</v>
      </c>
      <c r="D57" s="15" t="s">
        <v>292</v>
      </c>
      <c r="F57" s="33"/>
      <c r="G57" s="15">
        <v>2.0</v>
      </c>
      <c r="H57" s="9" t="s">
        <v>25</v>
      </c>
      <c r="I57" s="15" t="s">
        <v>26</v>
      </c>
    </row>
    <row r="58">
      <c r="A58" s="16" t="s">
        <v>293</v>
      </c>
      <c r="B58" s="16" t="s">
        <v>21</v>
      </c>
      <c r="C58" s="15">
        <v>1.0</v>
      </c>
      <c r="D58" s="15" t="s">
        <v>294</v>
      </c>
      <c r="E58" s="16" t="s">
        <v>295</v>
      </c>
      <c r="F58" s="33"/>
      <c r="G58" s="15">
        <v>2.0</v>
      </c>
      <c r="H58" s="15" t="s">
        <v>296</v>
      </c>
      <c r="I58" s="15" t="s">
        <v>32</v>
      </c>
    </row>
    <row r="59">
      <c r="A59" s="16" t="s">
        <v>297</v>
      </c>
      <c r="B59" s="36" t="s">
        <v>21</v>
      </c>
      <c r="C59" s="15">
        <v>1.0</v>
      </c>
      <c r="D59" s="15" t="s">
        <v>298</v>
      </c>
      <c r="E59" s="16" t="s">
        <v>299</v>
      </c>
      <c r="F59" s="33"/>
      <c r="G59" s="15">
        <v>3.0</v>
      </c>
      <c r="H59" s="15" t="s">
        <v>49</v>
      </c>
      <c r="I59" s="15" t="s">
        <v>32</v>
      </c>
    </row>
    <row r="60" hidden="1">
      <c r="A60" s="22" t="s">
        <v>300</v>
      </c>
      <c r="B60" s="7" t="s">
        <v>282</v>
      </c>
      <c r="C60" s="9">
        <v>2.0</v>
      </c>
      <c r="D60" s="9" t="s">
        <v>134</v>
      </c>
      <c r="E60" s="7" t="s">
        <v>301</v>
      </c>
      <c r="F60" s="10" t="s">
        <v>302</v>
      </c>
      <c r="G60" s="9">
        <v>3.0</v>
      </c>
      <c r="H60" s="9" t="s">
        <v>303</v>
      </c>
      <c r="I60" s="9" t="s">
        <v>62</v>
      </c>
    </row>
    <row r="61" hidden="1">
      <c r="A61" s="31" t="s">
        <v>304</v>
      </c>
      <c r="B61" s="31" t="s">
        <v>282</v>
      </c>
      <c r="C61" s="37">
        <v>2.0</v>
      </c>
      <c r="D61" s="37" t="s">
        <v>28</v>
      </c>
      <c r="E61" s="31" t="s">
        <v>305</v>
      </c>
      <c r="F61" s="38" t="s">
        <v>306</v>
      </c>
      <c r="G61" s="37">
        <v>3.0</v>
      </c>
      <c r="H61" s="37" t="s">
        <v>303</v>
      </c>
      <c r="I61" s="39" t="s">
        <v>62</v>
      </c>
    </row>
    <row r="62" hidden="1">
      <c r="A62" s="7" t="s">
        <v>307</v>
      </c>
      <c r="B62" s="7" t="s">
        <v>308</v>
      </c>
      <c r="C62" s="9">
        <v>2.0</v>
      </c>
      <c r="D62" s="9" t="s">
        <v>174</v>
      </c>
      <c r="E62" s="7" t="s">
        <v>309</v>
      </c>
      <c r="F62" s="10" t="s">
        <v>310</v>
      </c>
      <c r="G62" s="9">
        <v>3.0</v>
      </c>
      <c r="H62" s="9" t="s">
        <v>311</v>
      </c>
      <c r="I62" s="9" t="s">
        <v>62</v>
      </c>
    </row>
    <row r="63" hidden="1">
      <c r="A63" s="16" t="s">
        <v>312</v>
      </c>
      <c r="B63" s="16" t="s">
        <v>308</v>
      </c>
      <c r="C63" s="15">
        <v>2.0</v>
      </c>
      <c r="D63" s="15" t="s">
        <v>313</v>
      </c>
      <c r="E63" s="16" t="s">
        <v>314</v>
      </c>
      <c r="F63" s="17" t="s">
        <v>315</v>
      </c>
      <c r="G63" s="15">
        <v>6.0</v>
      </c>
      <c r="H63" s="15" t="s">
        <v>316</v>
      </c>
      <c r="I63" s="15" t="s">
        <v>32</v>
      </c>
    </row>
    <row r="64">
      <c r="A64" s="16" t="s">
        <v>317</v>
      </c>
      <c r="B64" s="16" t="s">
        <v>21</v>
      </c>
      <c r="C64" s="15">
        <v>1.0</v>
      </c>
      <c r="D64" s="15" t="s">
        <v>82</v>
      </c>
      <c r="F64" s="33"/>
      <c r="G64" s="16">
        <v>2.0</v>
      </c>
      <c r="H64" s="16" t="s">
        <v>25</v>
      </c>
      <c r="I64" s="9" t="s">
        <v>26</v>
      </c>
    </row>
    <row r="65" hidden="1">
      <c r="A65" s="22" t="s">
        <v>318</v>
      </c>
      <c r="B65" s="7" t="s">
        <v>308</v>
      </c>
      <c r="C65" s="9">
        <v>2.0</v>
      </c>
      <c r="D65" s="9" t="s">
        <v>319</v>
      </c>
      <c r="E65" s="7" t="s">
        <v>320</v>
      </c>
      <c r="F65" s="10" t="s">
        <v>321</v>
      </c>
      <c r="G65" s="9">
        <v>4.0</v>
      </c>
      <c r="H65" s="9" t="s">
        <v>322</v>
      </c>
      <c r="I65" s="9" t="s">
        <v>62</v>
      </c>
    </row>
    <row r="66">
      <c r="A66" s="7" t="s">
        <v>323</v>
      </c>
      <c r="B66" s="7" t="s">
        <v>258</v>
      </c>
      <c r="C66" s="9">
        <v>1.0</v>
      </c>
      <c r="D66" s="9" t="s">
        <v>217</v>
      </c>
      <c r="E66" s="7" t="s">
        <v>324</v>
      </c>
      <c r="F66" s="10" t="s">
        <v>325</v>
      </c>
      <c r="G66" s="9">
        <v>2.0</v>
      </c>
      <c r="H66" s="9" t="s">
        <v>326</v>
      </c>
      <c r="I66" s="9" t="s">
        <v>62</v>
      </c>
      <c r="J66" s="11" t="s">
        <v>327</v>
      </c>
      <c r="K66" s="13" t="s">
        <v>328</v>
      </c>
    </row>
    <row r="67" hidden="1">
      <c r="A67" s="16" t="s">
        <v>329</v>
      </c>
      <c r="B67" s="40" t="s">
        <v>308</v>
      </c>
      <c r="C67" s="15">
        <v>2.0</v>
      </c>
      <c r="D67" s="15" t="s">
        <v>330</v>
      </c>
      <c r="E67" s="16" t="s">
        <v>331</v>
      </c>
      <c r="F67" s="17" t="s">
        <v>24</v>
      </c>
      <c r="G67" s="15">
        <v>5.0</v>
      </c>
      <c r="H67" s="15" t="s">
        <v>332</v>
      </c>
      <c r="I67" s="15" t="s">
        <v>32</v>
      </c>
    </row>
    <row r="68" hidden="1">
      <c r="A68" s="16" t="s">
        <v>333</v>
      </c>
      <c r="B68" s="16" t="s">
        <v>308</v>
      </c>
      <c r="C68" s="15">
        <v>2.0</v>
      </c>
      <c r="D68" s="15" t="s">
        <v>334</v>
      </c>
      <c r="E68" s="16" t="s">
        <v>335</v>
      </c>
      <c r="F68" s="17" t="s">
        <v>336</v>
      </c>
      <c r="G68" s="15">
        <v>3.0</v>
      </c>
      <c r="H68" s="15" t="s">
        <v>311</v>
      </c>
      <c r="I68" s="15" t="s">
        <v>62</v>
      </c>
    </row>
    <row r="69" hidden="1">
      <c r="A69" s="7" t="s">
        <v>337</v>
      </c>
      <c r="B69" s="7" t="s">
        <v>338</v>
      </c>
      <c r="C69" s="9">
        <v>2.0</v>
      </c>
      <c r="D69" s="9" t="s">
        <v>128</v>
      </c>
      <c r="E69" s="7" t="s">
        <v>339</v>
      </c>
      <c r="F69" s="10" t="s">
        <v>340</v>
      </c>
      <c r="G69" s="9">
        <v>4.0</v>
      </c>
      <c r="H69" s="9" t="s">
        <v>341</v>
      </c>
      <c r="I69" s="9" t="s">
        <v>62</v>
      </c>
    </row>
    <row r="70">
      <c r="A70" s="7" t="s">
        <v>342</v>
      </c>
      <c r="B70" s="7" t="s">
        <v>258</v>
      </c>
      <c r="C70" s="9">
        <v>1.0</v>
      </c>
      <c r="D70" s="9" t="s">
        <v>343</v>
      </c>
      <c r="E70" s="7"/>
      <c r="F70" s="10" t="s">
        <v>344</v>
      </c>
      <c r="G70" s="9">
        <v>2.0</v>
      </c>
      <c r="H70" s="9" t="s">
        <v>326</v>
      </c>
      <c r="I70" s="9" t="s">
        <v>26</v>
      </c>
      <c r="J70" s="11" t="s">
        <v>345</v>
      </c>
      <c r="K70" s="13" t="s">
        <v>346</v>
      </c>
    </row>
    <row r="71">
      <c r="A71" s="7" t="s">
        <v>347</v>
      </c>
      <c r="B71" s="7" t="s">
        <v>258</v>
      </c>
      <c r="C71" s="9">
        <v>1.0</v>
      </c>
      <c r="D71" s="9" t="s">
        <v>348</v>
      </c>
      <c r="E71" s="7" t="s">
        <v>349</v>
      </c>
      <c r="F71" s="10" t="s">
        <v>350</v>
      </c>
      <c r="G71" s="9">
        <v>5.0</v>
      </c>
      <c r="H71" s="9" t="s">
        <v>351</v>
      </c>
      <c r="I71" s="9" t="s">
        <v>32</v>
      </c>
      <c r="J71" s="11" t="s">
        <v>352</v>
      </c>
      <c r="K71" s="41" t="s">
        <v>353</v>
      </c>
    </row>
    <row r="72" hidden="1">
      <c r="A72" s="16" t="s">
        <v>354</v>
      </c>
      <c r="B72" s="16" t="s">
        <v>338</v>
      </c>
      <c r="C72" s="15">
        <v>2.0</v>
      </c>
      <c r="D72" s="15" t="s">
        <v>355</v>
      </c>
      <c r="E72" s="16" t="s">
        <v>356</v>
      </c>
      <c r="F72" s="17" t="s">
        <v>357</v>
      </c>
      <c r="G72" s="15">
        <v>6.0</v>
      </c>
      <c r="H72" s="15" t="s">
        <v>358</v>
      </c>
      <c r="I72" s="15" t="s">
        <v>62</v>
      </c>
    </row>
    <row r="73">
      <c r="A73" s="7" t="s">
        <v>359</v>
      </c>
      <c r="B73" s="7" t="s">
        <v>282</v>
      </c>
      <c r="C73" s="9">
        <v>1.0</v>
      </c>
      <c r="D73" s="9" t="s">
        <v>294</v>
      </c>
      <c r="E73" s="7" t="s">
        <v>360</v>
      </c>
      <c r="F73" s="10" t="s">
        <v>361</v>
      </c>
      <c r="G73" s="9">
        <v>3.0</v>
      </c>
      <c r="H73" s="9" t="s">
        <v>303</v>
      </c>
      <c r="I73" s="9" t="s">
        <v>62</v>
      </c>
      <c r="J73" s="11" t="s">
        <v>362</v>
      </c>
      <c r="K73" s="13" t="s">
        <v>363</v>
      </c>
    </row>
    <row r="74" hidden="1">
      <c r="A74" s="16" t="s">
        <v>364</v>
      </c>
      <c r="B74" s="42" t="s">
        <v>365</v>
      </c>
      <c r="C74" s="15">
        <v>2.0</v>
      </c>
      <c r="D74" s="15" t="s">
        <v>37</v>
      </c>
      <c r="E74" s="16" t="s">
        <v>366</v>
      </c>
      <c r="F74" s="17" t="s">
        <v>367</v>
      </c>
      <c r="G74" s="15">
        <v>2.0</v>
      </c>
      <c r="H74" s="9" t="s">
        <v>368</v>
      </c>
      <c r="I74" s="9" t="s">
        <v>26</v>
      </c>
    </row>
    <row r="75">
      <c r="A75" s="7" t="s">
        <v>369</v>
      </c>
      <c r="B75" s="7" t="s">
        <v>282</v>
      </c>
      <c r="C75" s="9">
        <v>1.0</v>
      </c>
      <c r="D75" s="9" t="s">
        <v>370</v>
      </c>
      <c r="E75" s="7"/>
      <c r="F75" s="10" t="s">
        <v>371</v>
      </c>
      <c r="G75" s="9">
        <v>2.0</v>
      </c>
      <c r="H75" s="9" t="s">
        <v>372</v>
      </c>
      <c r="I75" s="9" t="s">
        <v>26</v>
      </c>
      <c r="J75" s="11" t="s">
        <v>373</v>
      </c>
      <c r="K75" s="13" t="s">
        <v>374</v>
      </c>
    </row>
    <row r="76" hidden="1">
      <c r="A76" s="7" t="s">
        <v>375</v>
      </c>
      <c r="B76" s="43" t="s">
        <v>365</v>
      </c>
      <c r="C76" s="9">
        <v>2.0</v>
      </c>
      <c r="D76" s="9" t="s">
        <v>294</v>
      </c>
      <c r="E76" s="7" t="s">
        <v>376</v>
      </c>
      <c r="F76" s="10" t="s">
        <v>377</v>
      </c>
      <c r="G76" s="9">
        <v>4.0</v>
      </c>
      <c r="H76" s="9" t="s">
        <v>378</v>
      </c>
      <c r="I76" s="9" t="s">
        <v>62</v>
      </c>
    </row>
    <row r="77" hidden="1">
      <c r="A77" s="16" t="s">
        <v>379</v>
      </c>
      <c r="B77" s="44" t="s">
        <v>365</v>
      </c>
      <c r="C77" s="15">
        <v>2.0</v>
      </c>
      <c r="D77" s="15" t="s">
        <v>380</v>
      </c>
      <c r="E77" s="16" t="s">
        <v>381</v>
      </c>
      <c r="F77" s="17" t="s">
        <v>382</v>
      </c>
      <c r="G77" s="15">
        <v>3.0</v>
      </c>
      <c r="H77" s="15" t="s">
        <v>368</v>
      </c>
      <c r="I77" s="15" t="s">
        <v>26</v>
      </c>
    </row>
    <row r="78" hidden="1">
      <c r="A78" s="22" t="s">
        <v>383</v>
      </c>
      <c r="B78" s="43" t="s">
        <v>365</v>
      </c>
      <c r="C78" s="9">
        <v>2.0</v>
      </c>
      <c r="D78" s="9" t="s">
        <v>217</v>
      </c>
      <c r="E78" s="7" t="s">
        <v>384</v>
      </c>
      <c r="F78" s="10" t="s">
        <v>385</v>
      </c>
      <c r="G78" s="9">
        <v>2.0</v>
      </c>
      <c r="H78" s="9" t="s">
        <v>386</v>
      </c>
      <c r="I78" s="9" t="s">
        <v>32</v>
      </c>
    </row>
    <row r="79">
      <c r="A79" s="16" t="s">
        <v>387</v>
      </c>
      <c r="B79" s="16" t="s">
        <v>282</v>
      </c>
      <c r="C79" s="15">
        <v>1.0</v>
      </c>
      <c r="D79" s="15" t="s">
        <v>229</v>
      </c>
      <c r="E79" s="16" t="s">
        <v>388</v>
      </c>
      <c r="F79" s="17" t="s">
        <v>389</v>
      </c>
      <c r="G79" s="15">
        <v>4.0</v>
      </c>
      <c r="H79" s="15" t="s">
        <v>390</v>
      </c>
      <c r="I79" s="15" t="s">
        <v>32</v>
      </c>
      <c r="J79" s="11" t="s">
        <v>391</v>
      </c>
      <c r="K79" s="13" t="s">
        <v>392</v>
      </c>
    </row>
    <row r="80" hidden="1">
      <c r="A80" s="16" t="s">
        <v>393</v>
      </c>
      <c r="B80" s="45" t="s">
        <v>365</v>
      </c>
      <c r="C80" s="15">
        <v>2.0</v>
      </c>
      <c r="D80" s="15" t="s">
        <v>394</v>
      </c>
      <c r="E80" s="16" t="s">
        <v>395</v>
      </c>
      <c r="F80" s="17" t="s">
        <v>396</v>
      </c>
      <c r="G80" s="15">
        <v>3.0</v>
      </c>
      <c r="H80" s="15" t="s">
        <v>368</v>
      </c>
      <c r="I80" s="15" t="s">
        <v>26</v>
      </c>
    </row>
    <row r="81">
      <c r="A81" s="7" t="s">
        <v>397</v>
      </c>
      <c r="B81" s="7" t="s">
        <v>308</v>
      </c>
      <c r="C81" s="9">
        <v>1.0</v>
      </c>
      <c r="D81" s="9" t="s">
        <v>398</v>
      </c>
      <c r="E81" s="16" t="s">
        <v>399</v>
      </c>
      <c r="F81" s="17" t="s">
        <v>400</v>
      </c>
      <c r="G81" s="9">
        <v>3.0</v>
      </c>
      <c r="H81" s="9" t="s">
        <v>401</v>
      </c>
      <c r="I81" s="9" t="s">
        <v>62</v>
      </c>
      <c r="J81" s="11" t="s">
        <v>402</v>
      </c>
      <c r="K81" s="13" t="s">
        <v>403</v>
      </c>
    </row>
    <row r="82">
      <c r="A82" s="7" t="s">
        <v>404</v>
      </c>
      <c r="B82" s="7" t="s">
        <v>308</v>
      </c>
      <c r="C82" s="9">
        <v>1.0</v>
      </c>
      <c r="D82" s="9" t="s">
        <v>405</v>
      </c>
      <c r="E82" s="7"/>
      <c r="F82" s="10" t="s">
        <v>406</v>
      </c>
      <c r="G82" s="9">
        <v>2.0</v>
      </c>
      <c r="H82" s="9" t="s">
        <v>407</v>
      </c>
      <c r="I82" s="9" t="s">
        <v>26</v>
      </c>
      <c r="J82" s="11" t="s">
        <v>408</v>
      </c>
      <c r="K82" s="13" t="s">
        <v>409</v>
      </c>
      <c r="L82" s="13" t="s">
        <v>410</v>
      </c>
      <c r="M82" s="13" t="s">
        <v>411</v>
      </c>
    </row>
    <row r="83">
      <c r="A83" s="7" t="s">
        <v>412</v>
      </c>
      <c r="B83" s="7" t="s">
        <v>308</v>
      </c>
      <c r="C83" s="15">
        <v>1.0</v>
      </c>
      <c r="D83" s="9" t="s">
        <v>413</v>
      </c>
      <c r="E83" s="7" t="s">
        <v>414</v>
      </c>
      <c r="F83" s="10" t="s">
        <v>415</v>
      </c>
      <c r="G83" s="9">
        <v>0.0</v>
      </c>
      <c r="H83" s="9" t="s">
        <v>416</v>
      </c>
      <c r="I83" s="9" t="s">
        <v>32</v>
      </c>
      <c r="J83" s="11" t="s">
        <v>417</v>
      </c>
      <c r="K83" s="13" t="s">
        <v>418</v>
      </c>
    </row>
    <row r="84">
      <c r="A84" s="7" t="s">
        <v>419</v>
      </c>
      <c r="B84" s="7" t="s">
        <v>338</v>
      </c>
      <c r="C84" s="9">
        <v>1.0</v>
      </c>
      <c r="D84" s="9" t="s">
        <v>217</v>
      </c>
      <c r="E84" s="7" t="s">
        <v>420</v>
      </c>
      <c r="F84" s="10" t="s">
        <v>421</v>
      </c>
      <c r="G84" s="9">
        <v>3.0</v>
      </c>
      <c r="H84" s="9" t="s">
        <v>422</v>
      </c>
      <c r="I84" s="9" t="s">
        <v>62</v>
      </c>
      <c r="J84" s="11" t="s">
        <v>423</v>
      </c>
      <c r="K84" s="13" t="s">
        <v>424</v>
      </c>
      <c r="L84" s="13" t="s">
        <v>425</v>
      </c>
      <c r="M84" s="13" t="s">
        <v>426</v>
      </c>
      <c r="N84" s="13" t="s">
        <v>427</v>
      </c>
      <c r="O84" s="13" t="s">
        <v>428</v>
      </c>
      <c r="P84" s="13" t="s">
        <v>429</v>
      </c>
      <c r="Q84" s="13" t="s">
        <v>430</v>
      </c>
    </row>
    <row r="85">
      <c r="A85" s="7" t="s">
        <v>431</v>
      </c>
      <c r="B85" s="7" t="s">
        <v>338</v>
      </c>
      <c r="C85" s="9">
        <v>1.0</v>
      </c>
      <c r="D85" s="9" t="s">
        <v>432</v>
      </c>
      <c r="E85" s="7"/>
      <c r="F85" s="10" t="s">
        <v>433</v>
      </c>
      <c r="G85" s="9">
        <v>2.0</v>
      </c>
      <c r="H85" s="9" t="s">
        <v>434</v>
      </c>
      <c r="I85" s="9" t="s">
        <v>26</v>
      </c>
      <c r="J85" s="11" t="s">
        <v>435</v>
      </c>
      <c r="K85" s="13" t="s">
        <v>436</v>
      </c>
      <c r="L85" s="13" t="s">
        <v>437</v>
      </c>
      <c r="M85" s="13" t="s">
        <v>438</v>
      </c>
      <c r="N85" s="13" t="s">
        <v>439</v>
      </c>
      <c r="O85" s="13" t="s">
        <v>440</v>
      </c>
      <c r="P85" s="13" t="s">
        <v>441</v>
      </c>
      <c r="Q85" s="13" t="s">
        <v>442</v>
      </c>
      <c r="R85" s="13" t="s">
        <v>443</v>
      </c>
      <c r="S85" s="13" t="s">
        <v>444</v>
      </c>
      <c r="T85" s="13" t="s">
        <v>445</v>
      </c>
    </row>
    <row r="86">
      <c r="A86" s="7" t="s">
        <v>446</v>
      </c>
      <c r="B86" s="7" t="s">
        <v>338</v>
      </c>
      <c r="C86" s="9">
        <v>1.0</v>
      </c>
      <c r="D86" s="9" t="s">
        <v>28</v>
      </c>
      <c r="E86" s="7" t="s">
        <v>447</v>
      </c>
      <c r="F86" s="10" t="s">
        <v>448</v>
      </c>
      <c r="G86" s="9">
        <v>4.0</v>
      </c>
      <c r="H86" s="9" t="s">
        <v>449</v>
      </c>
      <c r="I86" s="9" t="s">
        <v>32</v>
      </c>
      <c r="J86" s="11" t="s">
        <v>450</v>
      </c>
      <c r="K86" s="13" t="s">
        <v>451</v>
      </c>
      <c r="L86" s="13" t="s">
        <v>452</v>
      </c>
      <c r="M86" s="13" t="s">
        <v>453</v>
      </c>
      <c r="N86" s="13" t="s">
        <v>454</v>
      </c>
      <c r="O86" s="13" t="s">
        <v>455</v>
      </c>
      <c r="P86" s="13" t="s">
        <v>456</v>
      </c>
      <c r="Q86" s="13" t="s">
        <v>457</v>
      </c>
      <c r="R86" s="13" t="s">
        <v>458</v>
      </c>
      <c r="S86" s="13" t="s">
        <v>459</v>
      </c>
      <c r="T86" s="13" t="s">
        <v>460</v>
      </c>
    </row>
    <row r="87" hidden="1">
      <c r="A87" s="16" t="s">
        <v>461</v>
      </c>
      <c r="B87" s="46" t="s">
        <v>365</v>
      </c>
      <c r="C87" s="15">
        <v>2.0</v>
      </c>
      <c r="D87" s="15" t="s">
        <v>462</v>
      </c>
      <c r="E87" s="16" t="s">
        <v>463</v>
      </c>
      <c r="F87" s="47" t="s">
        <v>464</v>
      </c>
      <c r="G87" s="9">
        <v>3.0</v>
      </c>
      <c r="H87" s="9" t="s">
        <v>465</v>
      </c>
      <c r="I87" s="9" t="s">
        <v>32</v>
      </c>
    </row>
    <row r="88" hidden="1">
      <c r="A88" s="7" t="s">
        <v>466</v>
      </c>
      <c r="B88" s="48" t="s">
        <v>365</v>
      </c>
      <c r="C88" s="9">
        <v>2.0</v>
      </c>
      <c r="D88" s="9" t="s">
        <v>467</v>
      </c>
      <c r="E88" s="16" t="s">
        <v>468</v>
      </c>
      <c r="F88" s="49" t="s">
        <v>469</v>
      </c>
      <c r="G88" s="9">
        <v>3.0</v>
      </c>
      <c r="H88" s="9" t="s">
        <v>470</v>
      </c>
      <c r="I88" s="9" t="s">
        <v>32</v>
      </c>
    </row>
    <row r="89">
      <c r="A89" s="16" t="s">
        <v>471</v>
      </c>
      <c r="B89" s="7" t="s">
        <v>365</v>
      </c>
      <c r="C89" s="9">
        <v>1.0</v>
      </c>
      <c r="D89" s="21" t="s">
        <v>380</v>
      </c>
      <c r="E89" s="16" t="s">
        <v>472</v>
      </c>
      <c r="F89" s="17" t="s">
        <v>473</v>
      </c>
      <c r="G89" s="21">
        <v>5.0</v>
      </c>
      <c r="H89" s="9" t="s">
        <v>474</v>
      </c>
      <c r="I89" s="21" t="s">
        <v>26</v>
      </c>
      <c r="J89" s="11" t="s">
        <v>475</v>
      </c>
      <c r="K89" s="13" t="s">
        <v>476</v>
      </c>
      <c r="L89" s="13" t="s">
        <v>477</v>
      </c>
      <c r="M89" s="13" t="s">
        <v>478</v>
      </c>
      <c r="N89" s="13" t="s">
        <v>479</v>
      </c>
      <c r="O89" s="13" t="s">
        <v>480</v>
      </c>
      <c r="P89" s="13" t="s">
        <v>481</v>
      </c>
      <c r="Q89" s="13" t="s">
        <v>482</v>
      </c>
      <c r="R89" s="13" t="s">
        <v>483</v>
      </c>
      <c r="S89" s="13" t="s">
        <v>484</v>
      </c>
      <c r="T89" s="13" t="s">
        <v>485</v>
      </c>
    </row>
    <row r="90">
      <c r="A90" s="22" t="s">
        <v>486</v>
      </c>
      <c r="B90" s="7" t="s">
        <v>365</v>
      </c>
      <c r="C90" s="9">
        <v>1.0</v>
      </c>
      <c r="D90" s="9" t="s">
        <v>487</v>
      </c>
      <c r="E90" s="7" t="s">
        <v>488</v>
      </c>
      <c r="F90" s="10" t="s">
        <v>489</v>
      </c>
      <c r="G90" s="9">
        <v>1.0</v>
      </c>
      <c r="H90" s="9" t="s">
        <v>386</v>
      </c>
      <c r="I90" s="9" t="s">
        <v>26</v>
      </c>
      <c r="J90" s="11" t="s">
        <v>490</v>
      </c>
      <c r="K90" s="13" t="s">
        <v>491</v>
      </c>
      <c r="L90" s="13" t="s">
        <v>492</v>
      </c>
      <c r="M90" s="13" t="s">
        <v>493</v>
      </c>
      <c r="N90" s="13" t="s">
        <v>494</v>
      </c>
      <c r="O90" s="13" t="s">
        <v>495</v>
      </c>
      <c r="P90" s="13" t="s">
        <v>496</v>
      </c>
      <c r="Q90" s="13" t="s">
        <v>497</v>
      </c>
      <c r="R90" s="12" t="s">
        <v>498</v>
      </c>
      <c r="S90" s="13" t="s">
        <v>499</v>
      </c>
      <c r="T90" s="13" t="s">
        <v>500</v>
      </c>
    </row>
    <row r="91">
      <c r="A91" s="16" t="s">
        <v>501</v>
      </c>
      <c r="B91" s="7" t="s">
        <v>365</v>
      </c>
      <c r="C91" s="9">
        <v>1.0</v>
      </c>
      <c r="D91" s="9" t="s">
        <v>37</v>
      </c>
      <c r="E91" s="7" t="s">
        <v>502</v>
      </c>
      <c r="F91" s="10" t="s">
        <v>503</v>
      </c>
      <c r="G91" s="9">
        <v>1.0</v>
      </c>
      <c r="H91" s="50" t="s">
        <v>386</v>
      </c>
      <c r="I91" s="9" t="s">
        <v>26</v>
      </c>
      <c r="J91" s="11" t="s">
        <v>504</v>
      </c>
      <c r="K91" s="13" t="s">
        <v>505</v>
      </c>
      <c r="L91" s="13" t="s">
        <v>506</v>
      </c>
      <c r="M91" s="13" t="s">
        <v>507</v>
      </c>
      <c r="N91" s="13" t="s">
        <v>508</v>
      </c>
      <c r="O91" s="13" t="s">
        <v>509</v>
      </c>
      <c r="P91" s="13" t="s">
        <v>510</v>
      </c>
      <c r="Q91" s="13" t="s">
        <v>511</v>
      </c>
      <c r="R91" s="13" t="s">
        <v>512</v>
      </c>
      <c r="S91" s="13" t="s">
        <v>513</v>
      </c>
      <c r="T91" s="13" t="s">
        <v>514</v>
      </c>
    </row>
    <row r="92">
      <c r="A92" s="22" t="s">
        <v>515</v>
      </c>
      <c r="B92" s="7" t="s">
        <v>365</v>
      </c>
      <c r="C92" s="9">
        <v>1.0</v>
      </c>
      <c r="D92" s="9" t="s">
        <v>516</v>
      </c>
      <c r="E92" s="7" t="s">
        <v>517</v>
      </c>
      <c r="F92" s="10" t="s">
        <v>518</v>
      </c>
      <c r="G92" s="9">
        <v>5.0</v>
      </c>
      <c r="H92" s="9" t="s">
        <v>519</v>
      </c>
      <c r="I92" s="9" t="s">
        <v>26</v>
      </c>
      <c r="J92" s="11" t="s">
        <v>520</v>
      </c>
      <c r="K92" s="13" t="s">
        <v>521</v>
      </c>
      <c r="L92" s="13" t="s">
        <v>522</v>
      </c>
      <c r="M92" s="13" t="s">
        <v>523</v>
      </c>
      <c r="N92" s="13" t="s">
        <v>524</v>
      </c>
      <c r="O92" s="13" t="s">
        <v>525</v>
      </c>
      <c r="P92" s="13" t="s">
        <v>526</v>
      </c>
      <c r="Q92" s="13" t="s">
        <v>527</v>
      </c>
      <c r="R92" s="13" t="s">
        <v>528</v>
      </c>
      <c r="S92" s="13" t="s">
        <v>529</v>
      </c>
      <c r="T92" s="13" t="s">
        <v>530</v>
      </c>
    </row>
    <row r="93" hidden="1">
      <c r="A93" s="16" t="s">
        <v>531</v>
      </c>
      <c r="B93" s="45" t="s">
        <v>365</v>
      </c>
      <c r="C93" s="15">
        <v>0.0</v>
      </c>
      <c r="D93" s="15" t="s">
        <v>199</v>
      </c>
      <c r="E93" s="16" t="s">
        <v>532</v>
      </c>
      <c r="F93" s="17" t="s">
        <v>533</v>
      </c>
      <c r="G93" s="15">
        <v>2.0</v>
      </c>
      <c r="H93" s="15" t="s">
        <v>534</v>
      </c>
      <c r="I93" s="15" t="s">
        <v>62</v>
      </c>
    </row>
    <row r="94" hidden="1">
      <c r="A94" s="16" t="s">
        <v>535</v>
      </c>
      <c r="B94" s="45" t="s">
        <v>365</v>
      </c>
      <c r="C94" s="15">
        <v>2.0</v>
      </c>
      <c r="D94" s="15" t="s">
        <v>536</v>
      </c>
      <c r="E94" s="16" t="s">
        <v>537</v>
      </c>
      <c r="F94" s="17" t="s">
        <v>538</v>
      </c>
      <c r="G94" s="15">
        <v>1.0</v>
      </c>
      <c r="H94" s="15" t="s">
        <v>368</v>
      </c>
      <c r="I94" s="15" t="s">
        <v>26</v>
      </c>
    </row>
    <row r="95" hidden="1">
      <c r="A95" s="24" t="s">
        <v>539</v>
      </c>
      <c r="B95" s="48" t="s">
        <v>365</v>
      </c>
      <c r="C95" s="9">
        <v>2.0</v>
      </c>
      <c r="D95" s="21" t="s">
        <v>355</v>
      </c>
      <c r="E95" s="16" t="s">
        <v>540</v>
      </c>
      <c r="F95" s="10" t="s">
        <v>541</v>
      </c>
      <c r="G95" s="9">
        <v>2.0</v>
      </c>
      <c r="H95" s="9" t="s">
        <v>534</v>
      </c>
      <c r="I95" s="21" t="s">
        <v>26</v>
      </c>
    </row>
    <row r="96">
      <c r="A96" s="7" t="s">
        <v>542</v>
      </c>
      <c r="B96" s="7" t="s">
        <v>365</v>
      </c>
      <c r="C96" s="9">
        <v>1.0</v>
      </c>
      <c r="D96" s="9" t="s">
        <v>355</v>
      </c>
      <c r="E96" s="7" t="s">
        <v>543</v>
      </c>
      <c r="F96" s="10" t="s">
        <v>544</v>
      </c>
      <c r="G96" s="9">
        <v>1.0</v>
      </c>
      <c r="H96" s="9" t="s">
        <v>534</v>
      </c>
      <c r="I96" s="9" t="s">
        <v>26</v>
      </c>
      <c r="J96" s="11" t="s">
        <v>545</v>
      </c>
      <c r="K96" s="13" t="s">
        <v>546</v>
      </c>
      <c r="L96" s="13" t="s">
        <v>547</v>
      </c>
      <c r="M96" s="13" t="s">
        <v>548</v>
      </c>
      <c r="N96" s="13" t="s">
        <v>549</v>
      </c>
      <c r="O96" s="13" t="s">
        <v>550</v>
      </c>
      <c r="P96" s="13" t="s">
        <v>551</v>
      </c>
      <c r="Q96" s="13" t="s">
        <v>552</v>
      </c>
      <c r="R96" s="13" t="s">
        <v>553</v>
      </c>
      <c r="S96" s="13" t="s">
        <v>554</v>
      </c>
      <c r="T96" s="13" t="s">
        <v>555</v>
      </c>
    </row>
    <row r="97">
      <c r="A97" s="24" t="s">
        <v>556</v>
      </c>
      <c r="B97" s="7" t="s">
        <v>365</v>
      </c>
      <c r="C97" s="9">
        <v>1.0</v>
      </c>
      <c r="D97" s="21" t="s">
        <v>380</v>
      </c>
      <c r="E97" s="7" t="s">
        <v>557</v>
      </c>
      <c r="F97" s="10" t="s">
        <v>558</v>
      </c>
      <c r="G97" s="9">
        <v>2.0</v>
      </c>
      <c r="H97" s="9" t="s">
        <v>386</v>
      </c>
      <c r="I97" s="21" t="s">
        <v>26</v>
      </c>
      <c r="J97" s="11" t="s">
        <v>559</v>
      </c>
      <c r="K97" s="13" t="s">
        <v>560</v>
      </c>
      <c r="L97" s="13" t="s">
        <v>561</v>
      </c>
      <c r="M97" s="13" t="s">
        <v>562</v>
      </c>
      <c r="N97" s="13" t="s">
        <v>563</v>
      </c>
    </row>
    <row r="98">
      <c r="A98" s="7" t="s">
        <v>564</v>
      </c>
      <c r="B98" s="7" t="s">
        <v>365</v>
      </c>
      <c r="C98" s="9">
        <v>1.0</v>
      </c>
      <c r="D98" s="9" t="s">
        <v>355</v>
      </c>
      <c r="E98" s="7" t="s">
        <v>565</v>
      </c>
      <c r="F98" s="10" t="s">
        <v>566</v>
      </c>
      <c r="G98" s="9">
        <v>3.0</v>
      </c>
      <c r="H98" s="9" t="s">
        <v>470</v>
      </c>
      <c r="I98" s="15" t="s">
        <v>26</v>
      </c>
      <c r="J98" s="11" t="s">
        <v>567</v>
      </c>
      <c r="K98" s="13" t="s">
        <v>568</v>
      </c>
      <c r="L98" s="13" t="s">
        <v>569</v>
      </c>
      <c r="M98" s="13" t="s">
        <v>570</v>
      </c>
      <c r="N98" s="13" t="s">
        <v>571</v>
      </c>
      <c r="O98" s="13" t="s">
        <v>572</v>
      </c>
      <c r="P98" s="13" t="s">
        <v>573</v>
      </c>
      <c r="Q98" s="13" t="s">
        <v>574</v>
      </c>
      <c r="R98" s="13" t="s">
        <v>575</v>
      </c>
      <c r="S98" s="13" t="s">
        <v>576</v>
      </c>
      <c r="T98" s="13" t="s">
        <v>577</v>
      </c>
    </row>
    <row r="99" hidden="1">
      <c r="A99" s="7" t="s">
        <v>578</v>
      </c>
      <c r="B99" s="43" t="s">
        <v>365</v>
      </c>
      <c r="C99" s="9">
        <v>2.0</v>
      </c>
      <c r="D99" s="9" t="s">
        <v>579</v>
      </c>
      <c r="E99" s="7" t="s">
        <v>580</v>
      </c>
      <c r="F99" s="10" t="s">
        <v>581</v>
      </c>
      <c r="G99" s="9">
        <v>5.0</v>
      </c>
      <c r="H99" s="9" t="s">
        <v>582</v>
      </c>
      <c r="I99" s="15" t="s">
        <v>62</v>
      </c>
    </row>
    <row r="100">
      <c r="A100" s="16" t="s">
        <v>583</v>
      </c>
      <c r="B100" s="7" t="s">
        <v>365</v>
      </c>
      <c r="C100" s="9">
        <v>1.0</v>
      </c>
      <c r="D100" s="9" t="s">
        <v>536</v>
      </c>
      <c r="E100" s="7" t="s">
        <v>584</v>
      </c>
      <c r="F100" s="17" t="s">
        <v>585</v>
      </c>
      <c r="G100" s="9">
        <v>4.0</v>
      </c>
      <c r="H100" s="9" t="s">
        <v>586</v>
      </c>
      <c r="I100" s="9" t="s">
        <v>26</v>
      </c>
      <c r="J100" s="11" t="s">
        <v>587</v>
      </c>
      <c r="K100" s="13" t="s">
        <v>588</v>
      </c>
      <c r="L100" s="13" t="s">
        <v>589</v>
      </c>
      <c r="M100" s="13" t="s">
        <v>590</v>
      </c>
      <c r="N100" s="13" t="s">
        <v>591</v>
      </c>
      <c r="O100" s="13" t="s">
        <v>592</v>
      </c>
      <c r="P100" s="13" t="s">
        <v>593</v>
      </c>
      <c r="Q100" s="13" t="s">
        <v>594</v>
      </c>
      <c r="R100" s="13" t="s">
        <v>595</v>
      </c>
      <c r="S100" s="13" t="s">
        <v>596</v>
      </c>
      <c r="T100" s="13" t="s">
        <v>597</v>
      </c>
    </row>
    <row r="101" hidden="1">
      <c r="A101" s="16" t="s">
        <v>598</v>
      </c>
      <c r="B101" s="45" t="s">
        <v>365</v>
      </c>
      <c r="C101" s="15">
        <v>2.0</v>
      </c>
      <c r="D101" s="15" t="s">
        <v>599</v>
      </c>
      <c r="E101" s="16" t="s">
        <v>600</v>
      </c>
      <c r="F101" s="17" t="s">
        <v>336</v>
      </c>
      <c r="G101" s="15">
        <v>3.0</v>
      </c>
      <c r="H101" s="15" t="s">
        <v>368</v>
      </c>
      <c r="I101" s="9" t="s">
        <v>62</v>
      </c>
    </row>
    <row r="102" hidden="1">
      <c r="A102" s="22" t="s">
        <v>601</v>
      </c>
      <c r="B102" s="43" t="s">
        <v>365</v>
      </c>
      <c r="C102" s="9">
        <v>2.0</v>
      </c>
      <c r="D102" s="9" t="s">
        <v>602</v>
      </c>
      <c r="E102" s="7" t="s">
        <v>603</v>
      </c>
      <c r="F102" s="10" t="s">
        <v>604</v>
      </c>
      <c r="G102" s="9">
        <v>2.0</v>
      </c>
      <c r="H102" s="9" t="s">
        <v>368</v>
      </c>
      <c r="I102" s="9" t="s">
        <v>62</v>
      </c>
    </row>
    <row r="103" hidden="1">
      <c r="A103" s="51" t="s">
        <v>605</v>
      </c>
      <c r="B103" s="52" t="s">
        <v>365</v>
      </c>
      <c r="C103" s="53">
        <v>0.0</v>
      </c>
      <c r="D103" s="53" t="s">
        <v>266</v>
      </c>
      <c r="E103" s="54" t="s">
        <v>606</v>
      </c>
      <c r="F103" s="55" t="s">
        <v>607</v>
      </c>
      <c r="G103" s="56">
        <v>2.0</v>
      </c>
      <c r="H103" s="53" t="s">
        <v>534</v>
      </c>
      <c r="I103" s="56" t="s">
        <v>26</v>
      </c>
    </row>
    <row r="104" hidden="1">
      <c r="A104" s="7" t="s">
        <v>608</v>
      </c>
      <c r="B104" s="48" t="s">
        <v>365</v>
      </c>
      <c r="C104" s="9">
        <v>2.0</v>
      </c>
      <c r="D104" s="9" t="s">
        <v>609</v>
      </c>
      <c r="E104" s="7" t="s">
        <v>610</v>
      </c>
      <c r="F104" s="10" t="s">
        <v>611</v>
      </c>
      <c r="G104" s="9">
        <v>1.0</v>
      </c>
      <c r="H104" s="9" t="s">
        <v>386</v>
      </c>
      <c r="I104" s="9" t="s">
        <v>26</v>
      </c>
    </row>
    <row r="105" hidden="1">
      <c r="A105" s="16" t="s">
        <v>612</v>
      </c>
      <c r="B105" s="45" t="s">
        <v>365</v>
      </c>
      <c r="C105" s="15">
        <v>2.0</v>
      </c>
      <c r="D105" s="15" t="s">
        <v>294</v>
      </c>
      <c r="E105" s="16" t="s">
        <v>613</v>
      </c>
      <c r="F105" s="17" t="s">
        <v>336</v>
      </c>
      <c r="G105" s="15">
        <v>4.0</v>
      </c>
      <c r="H105" s="15" t="s">
        <v>586</v>
      </c>
      <c r="I105" s="15" t="s">
        <v>26</v>
      </c>
    </row>
    <row r="106" hidden="1">
      <c r="A106" s="16" t="s">
        <v>614</v>
      </c>
      <c r="B106" s="16" t="s">
        <v>365</v>
      </c>
      <c r="C106" s="15">
        <v>2.0</v>
      </c>
      <c r="D106" s="15" t="s">
        <v>467</v>
      </c>
      <c r="E106" s="16" t="s">
        <v>615</v>
      </c>
      <c r="F106" s="17" t="s">
        <v>616</v>
      </c>
      <c r="G106" s="15">
        <v>3.0</v>
      </c>
      <c r="H106" s="15" t="s">
        <v>465</v>
      </c>
      <c r="I106" s="15" t="s">
        <v>32</v>
      </c>
    </row>
    <row r="107">
      <c r="A107" s="16" t="s">
        <v>617</v>
      </c>
      <c r="B107" s="16" t="s">
        <v>365</v>
      </c>
      <c r="C107" s="15">
        <v>1.0</v>
      </c>
      <c r="D107" s="15" t="s">
        <v>355</v>
      </c>
      <c r="E107" s="16" t="s">
        <v>618</v>
      </c>
      <c r="F107" s="33"/>
      <c r="G107" s="15">
        <v>3.0</v>
      </c>
      <c r="H107" s="15" t="s">
        <v>586</v>
      </c>
      <c r="I107" s="15" t="s">
        <v>26</v>
      </c>
      <c r="J107" s="11" t="s">
        <v>619</v>
      </c>
      <c r="K107" s="13" t="s">
        <v>620</v>
      </c>
      <c r="L107" s="13" t="s">
        <v>621</v>
      </c>
      <c r="M107" s="13" t="s">
        <v>622</v>
      </c>
      <c r="N107" s="13" t="s">
        <v>623</v>
      </c>
      <c r="O107" s="13" t="s">
        <v>624</v>
      </c>
      <c r="P107" s="13" t="s">
        <v>625</v>
      </c>
      <c r="Q107" s="13" t="s">
        <v>626</v>
      </c>
      <c r="R107" s="13" t="s">
        <v>627</v>
      </c>
      <c r="S107" s="13" t="s">
        <v>628</v>
      </c>
      <c r="T107" s="13" t="s">
        <v>629</v>
      </c>
    </row>
    <row r="108">
      <c r="A108" s="16" t="s">
        <v>630</v>
      </c>
      <c r="B108" s="16" t="s">
        <v>365</v>
      </c>
      <c r="C108" s="15">
        <v>1.0</v>
      </c>
      <c r="D108" s="15" t="s">
        <v>271</v>
      </c>
      <c r="E108" s="57" t="s">
        <v>631</v>
      </c>
      <c r="F108" s="17" t="s">
        <v>336</v>
      </c>
      <c r="G108" s="15">
        <v>3.0</v>
      </c>
      <c r="H108" s="15" t="s">
        <v>368</v>
      </c>
      <c r="I108" s="15" t="s">
        <v>26</v>
      </c>
      <c r="J108" s="11" t="s">
        <v>632</v>
      </c>
      <c r="K108" s="13" t="s">
        <v>633</v>
      </c>
      <c r="L108" s="13" t="s">
        <v>634</v>
      </c>
      <c r="M108" s="13" t="s">
        <v>635</v>
      </c>
      <c r="N108" s="13" t="s">
        <v>636</v>
      </c>
      <c r="O108" s="13" t="s">
        <v>637</v>
      </c>
      <c r="P108" s="13" t="s">
        <v>638</v>
      </c>
      <c r="Q108" s="13" t="s">
        <v>639</v>
      </c>
      <c r="R108" s="13" t="s">
        <v>640</v>
      </c>
      <c r="S108" s="13" t="s">
        <v>641</v>
      </c>
      <c r="T108" s="13" t="s">
        <v>642</v>
      </c>
    </row>
    <row r="109" hidden="1">
      <c r="A109" s="16" t="s">
        <v>643</v>
      </c>
      <c r="B109" s="45" t="s">
        <v>365</v>
      </c>
      <c r="C109" s="15">
        <v>2.0</v>
      </c>
      <c r="D109" s="15" t="s">
        <v>644</v>
      </c>
      <c r="E109" s="16" t="s">
        <v>249</v>
      </c>
      <c r="F109" s="17" t="s">
        <v>645</v>
      </c>
      <c r="G109" s="15">
        <v>2.0</v>
      </c>
      <c r="H109" s="15" t="s">
        <v>534</v>
      </c>
      <c r="I109" s="15" t="s">
        <v>26</v>
      </c>
    </row>
    <row r="110">
      <c r="A110" s="24" t="s">
        <v>646</v>
      </c>
      <c r="B110" s="7" t="s">
        <v>365</v>
      </c>
      <c r="C110" s="9">
        <v>1.0</v>
      </c>
      <c r="D110" s="9" t="s">
        <v>294</v>
      </c>
      <c r="E110" s="7" t="s">
        <v>647</v>
      </c>
      <c r="F110" s="10" t="s">
        <v>648</v>
      </c>
      <c r="G110" s="9">
        <v>2.0</v>
      </c>
      <c r="H110" s="9" t="s">
        <v>586</v>
      </c>
      <c r="I110" s="21" t="s">
        <v>26</v>
      </c>
      <c r="J110" s="11" t="s">
        <v>649</v>
      </c>
      <c r="K110" s="13" t="s">
        <v>650</v>
      </c>
      <c r="L110" s="13" t="s">
        <v>651</v>
      </c>
      <c r="M110" s="13" t="s">
        <v>652</v>
      </c>
      <c r="N110" s="13" t="s">
        <v>653</v>
      </c>
      <c r="O110" s="13" t="s">
        <v>654</v>
      </c>
      <c r="P110" s="13" t="s">
        <v>655</v>
      </c>
      <c r="Q110" s="13" t="s">
        <v>656</v>
      </c>
      <c r="R110" s="13" t="s">
        <v>657</v>
      </c>
      <c r="S110" s="13" t="s">
        <v>658</v>
      </c>
      <c r="T110" s="13" t="s">
        <v>659</v>
      </c>
    </row>
    <row r="111">
      <c r="A111" s="51" t="s">
        <v>660</v>
      </c>
      <c r="B111" s="16" t="s">
        <v>365</v>
      </c>
      <c r="C111" s="15">
        <v>1.0</v>
      </c>
      <c r="D111" s="15" t="s">
        <v>609</v>
      </c>
      <c r="E111" s="16" t="s">
        <v>661</v>
      </c>
      <c r="F111" s="58"/>
      <c r="G111" s="15">
        <v>2.0</v>
      </c>
      <c r="H111" s="15" t="s">
        <v>465</v>
      </c>
      <c r="I111" s="15" t="s">
        <v>32</v>
      </c>
      <c r="J111" s="11" t="s">
        <v>662</v>
      </c>
      <c r="K111" s="13" t="s">
        <v>663</v>
      </c>
      <c r="L111" s="13" t="s">
        <v>664</v>
      </c>
      <c r="M111" s="13" t="s">
        <v>665</v>
      </c>
      <c r="N111" s="13" t="s">
        <v>666</v>
      </c>
      <c r="O111" s="13" t="s">
        <v>667</v>
      </c>
      <c r="P111" s="13" t="s">
        <v>668</v>
      </c>
      <c r="Q111" s="13" t="s">
        <v>669</v>
      </c>
      <c r="R111" s="13" t="s">
        <v>670</v>
      </c>
      <c r="S111" s="13" t="s">
        <v>671</v>
      </c>
      <c r="T111" s="13" t="s">
        <v>672</v>
      </c>
    </row>
    <row r="112" hidden="1">
      <c r="A112" s="7" t="s">
        <v>673</v>
      </c>
      <c r="B112" s="48" t="s">
        <v>365</v>
      </c>
      <c r="C112" s="9">
        <v>2.0</v>
      </c>
      <c r="D112" s="9" t="s">
        <v>294</v>
      </c>
      <c r="E112" s="7" t="s">
        <v>674</v>
      </c>
      <c r="F112" s="10" t="s">
        <v>24</v>
      </c>
      <c r="G112" s="9">
        <v>1.0</v>
      </c>
      <c r="H112" s="9" t="s">
        <v>386</v>
      </c>
      <c r="I112" s="9" t="s">
        <v>26</v>
      </c>
    </row>
    <row r="113" hidden="1">
      <c r="A113" s="7" t="s">
        <v>675</v>
      </c>
      <c r="B113" s="59" t="s">
        <v>365</v>
      </c>
      <c r="C113" s="9">
        <v>0.0</v>
      </c>
      <c r="D113" s="9" t="s">
        <v>380</v>
      </c>
      <c r="E113" s="7" t="s">
        <v>676</v>
      </c>
      <c r="F113" s="10" t="s">
        <v>677</v>
      </c>
      <c r="G113" s="9">
        <v>3.0</v>
      </c>
      <c r="H113" s="9" t="s">
        <v>368</v>
      </c>
      <c r="I113" s="9" t="s">
        <v>26</v>
      </c>
    </row>
    <row r="114" hidden="1">
      <c r="A114" s="7" t="s">
        <v>678</v>
      </c>
      <c r="B114" s="25" t="s">
        <v>365</v>
      </c>
      <c r="C114" s="9">
        <v>2.0</v>
      </c>
      <c r="D114" s="9" t="s">
        <v>380</v>
      </c>
      <c r="E114" s="7" t="s">
        <v>679</v>
      </c>
      <c r="F114" s="10" t="s">
        <v>680</v>
      </c>
      <c r="G114" s="9">
        <v>2.0</v>
      </c>
      <c r="H114" s="9" t="s">
        <v>534</v>
      </c>
      <c r="I114" s="9" t="s">
        <v>26</v>
      </c>
      <c r="J114" s="11" t="s">
        <v>681</v>
      </c>
      <c r="K114" s="13" t="s">
        <v>682</v>
      </c>
      <c r="L114" s="13" t="s">
        <v>683</v>
      </c>
      <c r="M114" s="13" t="s">
        <v>684</v>
      </c>
      <c r="N114" s="13" t="s">
        <v>685</v>
      </c>
      <c r="O114" s="13" t="s">
        <v>686</v>
      </c>
      <c r="P114" s="13" t="s">
        <v>687</v>
      </c>
      <c r="Q114" s="13" t="s">
        <v>688</v>
      </c>
      <c r="R114" s="13" t="s">
        <v>689</v>
      </c>
      <c r="S114" s="13" t="s">
        <v>690</v>
      </c>
      <c r="T114" s="13" t="s">
        <v>691</v>
      </c>
    </row>
    <row r="115">
      <c r="A115" s="16" t="s">
        <v>692</v>
      </c>
      <c r="B115" s="25" t="s">
        <v>365</v>
      </c>
      <c r="C115" s="9">
        <v>1.0</v>
      </c>
      <c r="D115" s="9" t="s">
        <v>294</v>
      </c>
      <c r="E115" s="7" t="s">
        <v>693</v>
      </c>
      <c r="F115" s="10" t="s">
        <v>694</v>
      </c>
      <c r="G115" s="9">
        <v>2.0</v>
      </c>
      <c r="H115" s="9" t="s">
        <v>368</v>
      </c>
      <c r="I115" s="9" t="s">
        <v>62</v>
      </c>
      <c r="J115" s="11" t="s">
        <v>695</v>
      </c>
      <c r="K115" s="13" t="s">
        <v>696</v>
      </c>
      <c r="L115" s="13" t="s">
        <v>697</v>
      </c>
      <c r="M115" s="13" t="s">
        <v>698</v>
      </c>
      <c r="N115" s="13" t="s">
        <v>699</v>
      </c>
      <c r="O115" s="13" t="s">
        <v>700</v>
      </c>
      <c r="P115" s="13" t="s">
        <v>701</v>
      </c>
      <c r="Q115" s="13" t="s">
        <v>702</v>
      </c>
      <c r="R115" s="13" t="s">
        <v>703</v>
      </c>
      <c r="S115" s="13" t="s">
        <v>704</v>
      </c>
      <c r="T115" s="13" t="s">
        <v>705</v>
      </c>
    </row>
    <row r="116">
      <c r="A116" s="7" t="s">
        <v>706</v>
      </c>
      <c r="B116" s="25" t="s">
        <v>365</v>
      </c>
      <c r="C116" s="9">
        <v>1.0</v>
      </c>
      <c r="D116" s="9" t="s">
        <v>487</v>
      </c>
      <c r="E116" s="7" t="s">
        <v>707</v>
      </c>
      <c r="F116" s="10" t="s">
        <v>708</v>
      </c>
      <c r="G116" s="9">
        <v>3.0</v>
      </c>
      <c r="H116" s="9" t="s">
        <v>586</v>
      </c>
      <c r="I116" s="9" t="s">
        <v>62</v>
      </c>
      <c r="J116" s="11" t="s">
        <v>709</v>
      </c>
      <c r="K116" s="13" t="s">
        <v>710</v>
      </c>
      <c r="L116" s="13" t="s">
        <v>711</v>
      </c>
      <c r="M116" s="13" t="s">
        <v>712</v>
      </c>
      <c r="N116" s="13" t="s">
        <v>713</v>
      </c>
      <c r="O116" s="13" t="s">
        <v>714</v>
      </c>
      <c r="P116" s="13" t="s">
        <v>715</v>
      </c>
      <c r="Q116" s="13" t="s">
        <v>716</v>
      </c>
      <c r="R116" s="13" t="s">
        <v>717</v>
      </c>
      <c r="S116" s="13" t="s">
        <v>718</v>
      </c>
      <c r="T116" s="13" t="s">
        <v>719</v>
      </c>
    </row>
    <row r="117" hidden="1">
      <c r="A117" s="16" t="s">
        <v>720</v>
      </c>
      <c r="B117" s="44" t="s">
        <v>365</v>
      </c>
      <c r="C117" s="15">
        <v>2.0</v>
      </c>
      <c r="D117" s="15" t="s">
        <v>467</v>
      </c>
      <c r="E117" s="16" t="s">
        <v>721</v>
      </c>
      <c r="F117" s="17" t="s">
        <v>336</v>
      </c>
      <c r="G117" s="15">
        <v>4.0</v>
      </c>
      <c r="H117" s="15" t="s">
        <v>474</v>
      </c>
      <c r="I117" s="15" t="s">
        <v>32</v>
      </c>
    </row>
    <row r="118">
      <c r="A118" s="31" t="s">
        <v>722</v>
      </c>
      <c r="B118" s="40" t="s">
        <v>365</v>
      </c>
      <c r="C118" s="15">
        <v>1.0</v>
      </c>
      <c r="D118" s="15" t="s">
        <v>313</v>
      </c>
      <c r="E118" s="16" t="s">
        <v>723</v>
      </c>
      <c r="F118" s="17" t="s">
        <v>724</v>
      </c>
      <c r="G118" s="15">
        <v>4.0</v>
      </c>
      <c r="H118" s="15" t="s">
        <v>519</v>
      </c>
      <c r="I118" s="15" t="s">
        <v>62</v>
      </c>
      <c r="J118" s="11" t="s">
        <v>725</v>
      </c>
      <c r="K118" s="13" t="s">
        <v>726</v>
      </c>
      <c r="L118" s="13" t="s">
        <v>727</v>
      </c>
      <c r="M118" s="13" t="s">
        <v>728</v>
      </c>
      <c r="N118" s="13" t="s">
        <v>729</v>
      </c>
      <c r="O118" s="13" t="s">
        <v>730</v>
      </c>
      <c r="P118" s="13" t="s">
        <v>731</v>
      </c>
      <c r="Q118" s="13" t="s">
        <v>732</v>
      </c>
      <c r="R118" s="13" t="s">
        <v>733</v>
      </c>
      <c r="S118" s="13" t="s">
        <v>734</v>
      </c>
      <c r="T118" s="13" t="s">
        <v>735</v>
      </c>
    </row>
    <row r="119" hidden="1">
      <c r="A119" s="7" t="s">
        <v>736</v>
      </c>
      <c r="B119" s="60" t="s">
        <v>365</v>
      </c>
      <c r="C119" s="9">
        <v>2.0</v>
      </c>
      <c r="D119" s="9" t="s">
        <v>355</v>
      </c>
      <c r="E119" s="18" t="s">
        <v>737</v>
      </c>
      <c r="F119" s="47" t="s">
        <v>738</v>
      </c>
      <c r="G119" s="9">
        <v>5.0</v>
      </c>
      <c r="H119" s="9" t="s">
        <v>519</v>
      </c>
      <c r="I119" s="9" t="s">
        <v>32</v>
      </c>
    </row>
    <row r="120" hidden="1">
      <c r="A120" s="7" t="s">
        <v>739</v>
      </c>
      <c r="B120" s="61" t="s">
        <v>365</v>
      </c>
      <c r="C120" s="9">
        <v>2.0</v>
      </c>
      <c r="D120" s="9" t="s">
        <v>740</v>
      </c>
      <c r="E120" s="7" t="s">
        <v>741</v>
      </c>
      <c r="F120" s="10" t="s">
        <v>742</v>
      </c>
      <c r="G120" s="9">
        <v>4.0</v>
      </c>
      <c r="H120" s="9" t="s">
        <v>586</v>
      </c>
      <c r="I120" s="9" t="s">
        <v>62</v>
      </c>
    </row>
    <row r="121" hidden="1">
      <c r="A121" s="31" t="s">
        <v>743</v>
      </c>
      <c r="B121" s="40" t="s">
        <v>365</v>
      </c>
      <c r="C121" s="15">
        <v>2.0</v>
      </c>
      <c r="D121" s="15" t="s">
        <v>334</v>
      </c>
      <c r="E121" s="16" t="s">
        <v>744</v>
      </c>
      <c r="F121" s="17" t="s">
        <v>745</v>
      </c>
      <c r="G121" s="15">
        <v>3.0</v>
      </c>
      <c r="H121" s="15" t="s">
        <v>586</v>
      </c>
      <c r="I121" s="15" t="s">
        <v>62</v>
      </c>
    </row>
    <row r="122">
      <c r="A122" s="7" t="s">
        <v>746</v>
      </c>
      <c r="B122" s="25" t="s">
        <v>365</v>
      </c>
      <c r="C122" s="9">
        <v>1.0</v>
      </c>
      <c r="D122" s="9" t="s">
        <v>380</v>
      </c>
      <c r="E122" s="62" t="s">
        <v>747</v>
      </c>
      <c r="F122" s="63" t="s">
        <v>748</v>
      </c>
      <c r="G122" s="9">
        <v>5.0</v>
      </c>
      <c r="H122" s="9" t="s">
        <v>474</v>
      </c>
      <c r="I122" s="9" t="s">
        <v>62</v>
      </c>
      <c r="J122" s="11" t="s">
        <v>749</v>
      </c>
      <c r="K122" s="13" t="s">
        <v>750</v>
      </c>
      <c r="L122" s="13" t="s">
        <v>751</v>
      </c>
      <c r="M122" s="13" t="s">
        <v>752</v>
      </c>
      <c r="N122" s="13" t="s">
        <v>753</v>
      </c>
      <c r="O122" s="13" t="s">
        <v>754</v>
      </c>
      <c r="P122" s="13" t="s">
        <v>755</v>
      </c>
      <c r="Q122" s="13" t="s">
        <v>756</v>
      </c>
      <c r="R122" s="13" t="s">
        <v>757</v>
      </c>
      <c r="S122" s="13" t="s">
        <v>758</v>
      </c>
      <c r="T122" s="13" t="s">
        <v>759</v>
      </c>
    </row>
    <row r="123" hidden="1">
      <c r="A123" s="16" t="s">
        <v>760</v>
      </c>
      <c r="B123" s="44" t="s">
        <v>365</v>
      </c>
      <c r="C123" s="15">
        <v>2.0</v>
      </c>
      <c r="D123" s="15" t="s">
        <v>761</v>
      </c>
      <c r="E123" s="16" t="s">
        <v>762</v>
      </c>
      <c r="F123" s="33"/>
      <c r="G123" s="15">
        <v>3.0</v>
      </c>
      <c r="H123" s="15" t="s">
        <v>470</v>
      </c>
      <c r="I123" s="15" t="s">
        <v>32</v>
      </c>
    </row>
    <row r="124" hidden="1">
      <c r="A124" s="16" t="s">
        <v>763</v>
      </c>
      <c r="B124" s="42" t="s">
        <v>365</v>
      </c>
      <c r="C124" s="15">
        <v>2.0</v>
      </c>
      <c r="D124" s="15" t="s">
        <v>217</v>
      </c>
      <c r="E124" s="16" t="s">
        <v>764</v>
      </c>
      <c r="F124" s="17" t="s">
        <v>765</v>
      </c>
      <c r="G124" s="15">
        <v>3.0</v>
      </c>
      <c r="H124" s="9" t="s">
        <v>368</v>
      </c>
      <c r="I124" s="9" t="s">
        <v>26</v>
      </c>
    </row>
    <row r="125">
      <c r="A125" s="16" t="s">
        <v>766</v>
      </c>
      <c r="B125" s="40" t="s">
        <v>365</v>
      </c>
      <c r="C125" s="15">
        <v>1.0</v>
      </c>
      <c r="D125" s="15" t="s">
        <v>355</v>
      </c>
      <c r="E125" s="16" t="s">
        <v>767</v>
      </c>
      <c r="F125" s="17" t="s">
        <v>336</v>
      </c>
      <c r="G125" s="15">
        <v>3.0</v>
      </c>
      <c r="H125" s="15" t="s">
        <v>586</v>
      </c>
      <c r="I125" s="15" t="s">
        <v>62</v>
      </c>
      <c r="J125" s="11" t="s">
        <v>768</v>
      </c>
      <c r="K125" s="13" t="s">
        <v>769</v>
      </c>
      <c r="L125" s="13" t="s">
        <v>770</v>
      </c>
      <c r="M125" s="13" t="s">
        <v>771</v>
      </c>
      <c r="N125" s="13" t="s">
        <v>772</v>
      </c>
      <c r="O125" s="13" t="s">
        <v>773</v>
      </c>
      <c r="P125" s="13" t="s">
        <v>774</v>
      </c>
      <c r="Q125" s="13" t="s">
        <v>775</v>
      </c>
      <c r="R125" s="13" t="s">
        <v>776</v>
      </c>
      <c r="S125" s="13" t="s">
        <v>777</v>
      </c>
      <c r="T125" s="13" t="s">
        <v>778</v>
      </c>
    </row>
    <row r="126" hidden="1">
      <c r="A126" s="16" t="s">
        <v>779</v>
      </c>
      <c r="B126" s="44" t="s">
        <v>365</v>
      </c>
      <c r="C126" s="15">
        <v>2.0</v>
      </c>
      <c r="D126" s="15" t="s">
        <v>536</v>
      </c>
      <c r="E126" s="16" t="s">
        <v>780</v>
      </c>
      <c r="F126" s="17" t="s">
        <v>336</v>
      </c>
      <c r="G126" s="15">
        <v>4.0</v>
      </c>
      <c r="H126" s="15" t="s">
        <v>378</v>
      </c>
      <c r="I126" s="15" t="s">
        <v>62</v>
      </c>
    </row>
    <row r="127" hidden="1">
      <c r="A127" s="16" t="s">
        <v>781</v>
      </c>
      <c r="B127" s="44" t="s">
        <v>365</v>
      </c>
      <c r="C127" s="15">
        <v>2.0</v>
      </c>
      <c r="D127" s="15" t="s">
        <v>355</v>
      </c>
      <c r="E127" s="16" t="s">
        <v>782</v>
      </c>
      <c r="F127" s="33"/>
      <c r="G127" s="15">
        <v>5.0</v>
      </c>
      <c r="H127" s="15" t="s">
        <v>534</v>
      </c>
      <c r="I127" s="15" t="s">
        <v>26</v>
      </c>
    </row>
    <row r="128">
      <c r="A128" s="7" t="s">
        <v>783</v>
      </c>
      <c r="B128" s="25" t="s">
        <v>365</v>
      </c>
      <c r="C128" s="9">
        <v>1.0</v>
      </c>
      <c r="D128" s="15" t="s">
        <v>784</v>
      </c>
      <c r="E128" s="16" t="s">
        <v>785</v>
      </c>
      <c r="F128" s="17" t="s">
        <v>786</v>
      </c>
      <c r="G128" s="15">
        <v>6.0</v>
      </c>
      <c r="H128" s="15" t="s">
        <v>470</v>
      </c>
      <c r="I128" s="9" t="s">
        <v>62</v>
      </c>
      <c r="J128" s="11" t="s">
        <v>787</v>
      </c>
      <c r="K128" s="13" t="s">
        <v>788</v>
      </c>
      <c r="L128" s="13" t="s">
        <v>789</v>
      </c>
      <c r="M128" s="13" t="s">
        <v>790</v>
      </c>
      <c r="N128" s="13" t="s">
        <v>791</v>
      </c>
      <c r="O128" s="13" t="s">
        <v>792</v>
      </c>
      <c r="P128" s="13" t="s">
        <v>793</v>
      </c>
    </row>
    <row r="129">
      <c r="A129" s="28" t="s">
        <v>794</v>
      </c>
      <c r="B129" s="64" t="s">
        <v>365</v>
      </c>
      <c r="C129" s="53">
        <v>1.0</v>
      </c>
      <c r="D129" s="65" t="s">
        <v>128</v>
      </c>
      <c r="E129" s="29" t="s">
        <v>795</v>
      </c>
      <c r="F129" s="66" t="s">
        <v>786</v>
      </c>
      <c r="G129" s="65">
        <v>4.0</v>
      </c>
      <c r="H129" s="65" t="s">
        <v>474</v>
      </c>
      <c r="I129" s="67" t="s">
        <v>62</v>
      </c>
      <c r="J129" s="11" t="s">
        <v>796</v>
      </c>
      <c r="K129" s="13" t="s">
        <v>797</v>
      </c>
      <c r="L129" s="13" t="s">
        <v>798</v>
      </c>
      <c r="M129" s="13" t="s">
        <v>799</v>
      </c>
      <c r="N129" s="13" t="s">
        <v>800</v>
      </c>
      <c r="O129" s="13" t="s">
        <v>801</v>
      </c>
      <c r="P129" s="13" t="s">
        <v>802</v>
      </c>
      <c r="Q129" s="13" t="s">
        <v>803</v>
      </c>
      <c r="R129" s="13" t="s">
        <v>804</v>
      </c>
      <c r="S129" s="13" t="s">
        <v>805</v>
      </c>
      <c r="T129" s="13" t="s">
        <v>806</v>
      </c>
    </row>
    <row r="130">
      <c r="A130" s="24" t="s">
        <v>807</v>
      </c>
      <c r="B130" s="25" t="s">
        <v>365</v>
      </c>
      <c r="C130" s="9">
        <v>1.0</v>
      </c>
      <c r="D130" s="9" t="s">
        <v>398</v>
      </c>
      <c r="E130" s="16" t="s">
        <v>808</v>
      </c>
      <c r="F130" s="17" t="s">
        <v>809</v>
      </c>
      <c r="G130" s="21">
        <v>2.0</v>
      </c>
      <c r="H130" s="9" t="s">
        <v>534</v>
      </c>
      <c r="I130" s="21" t="s">
        <v>62</v>
      </c>
      <c r="J130" s="11" t="s">
        <v>810</v>
      </c>
      <c r="K130" s="13" t="s">
        <v>811</v>
      </c>
      <c r="L130" s="13" t="s">
        <v>812</v>
      </c>
      <c r="M130" s="13" t="s">
        <v>813</v>
      </c>
      <c r="N130" s="13" t="s">
        <v>814</v>
      </c>
      <c r="O130" s="13" t="s">
        <v>815</v>
      </c>
      <c r="P130" s="13" t="s">
        <v>816</v>
      </c>
    </row>
    <row r="131">
      <c r="A131" s="68" t="s">
        <v>817</v>
      </c>
      <c r="B131" s="25" t="s">
        <v>365</v>
      </c>
      <c r="C131" s="9">
        <v>1.0</v>
      </c>
      <c r="D131" s="9" t="s">
        <v>97</v>
      </c>
      <c r="E131" s="7" t="s">
        <v>818</v>
      </c>
      <c r="F131" s="10" t="s">
        <v>819</v>
      </c>
      <c r="G131" s="21">
        <v>6.0</v>
      </c>
      <c r="H131" s="9" t="s">
        <v>820</v>
      </c>
      <c r="I131" s="9" t="s">
        <v>62</v>
      </c>
      <c r="J131" s="11" t="s">
        <v>821</v>
      </c>
      <c r="K131" s="13" t="s">
        <v>822</v>
      </c>
      <c r="L131" s="13" t="s">
        <v>823</v>
      </c>
      <c r="M131" s="13" t="s">
        <v>824</v>
      </c>
      <c r="N131" s="13" t="s">
        <v>825</v>
      </c>
      <c r="O131" s="13" t="s">
        <v>826</v>
      </c>
      <c r="P131" s="13" t="s">
        <v>827</v>
      </c>
      <c r="Q131" s="13" t="s">
        <v>828</v>
      </c>
    </row>
    <row r="132">
      <c r="A132" s="69" t="s">
        <v>829</v>
      </c>
      <c r="B132" s="70" t="s">
        <v>365</v>
      </c>
      <c r="C132" s="71">
        <v>1.0</v>
      </c>
      <c r="D132" s="71" t="s">
        <v>536</v>
      </c>
      <c r="E132" s="69" t="s">
        <v>830</v>
      </c>
      <c r="F132" s="69"/>
      <c r="G132" s="71">
        <v>3.0</v>
      </c>
      <c r="H132" s="71" t="s">
        <v>586</v>
      </c>
      <c r="I132" s="71" t="s">
        <v>62</v>
      </c>
      <c r="J132" s="11" t="s">
        <v>831</v>
      </c>
      <c r="K132" s="72" t="s">
        <v>832</v>
      </c>
      <c r="L132" s="72" t="s">
        <v>833</v>
      </c>
      <c r="M132" s="72" t="s">
        <v>834</v>
      </c>
      <c r="N132" s="72" t="s">
        <v>835</v>
      </c>
      <c r="O132" s="72" t="s">
        <v>836</v>
      </c>
      <c r="P132" s="72" t="s">
        <v>837</v>
      </c>
      <c r="Q132" s="72" t="s">
        <v>838</v>
      </c>
      <c r="R132" s="72" t="s">
        <v>839</v>
      </c>
      <c r="S132" s="72" t="s">
        <v>840</v>
      </c>
      <c r="T132" s="72" t="s">
        <v>841</v>
      </c>
    </row>
    <row r="133" hidden="1">
      <c r="A133" s="22" t="s">
        <v>842</v>
      </c>
      <c r="B133" s="25" t="s">
        <v>843</v>
      </c>
      <c r="C133" s="9">
        <v>2.0</v>
      </c>
      <c r="D133" s="9" t="s">
        <v>294</v>
      </c>
      <c r="E133" s="7" t="s">
        <v>844</v>
      </c>
      <c r="F133" s="10" t="s">
        <v>845</v>
      </c>
      <c r="G133" s="9">
        <v>3.0</v>
      </c>
      <c r="H133" s="9" t="s">
        <v>846</v>
      </c>
      <c r="I133" s="9" t="s">
        <v>62</v>
      </c>
    </row>
    <row r="134">
      <c r="A134" s="7" t="s">
        <v>847</v>
      </c>
      <c r="B134" s="25" t="s">
        <v>365</v>
      </c>
      <c r="C134" s="9">
        <v>1.0</v>
      </c>
      <c r="D134" s="9" t="s">
        <v>394</v>
      </c>
      <c r="F134" s="63" t="s">
        <v>848</v>
      </c>
      <c r="G134" s="9">
        <v>3.0</v>
      </c>
      <c r="H134" s="9" t="s">
        <v>534</v>
      </c>
      <c r="I134" s="9" t="s">
        <v>26</v>
      </c>
      <c r="J134" s="11" t="s">
        <v>849</v>
      </c>
      <c r="K134" s="13" t="s">
        <v>850</v>
      </c>
      <c r="L134" s="13" t="s">
        <v>851</v>
      </c>
      <c r="M134" s="13" t="s">
        <v>852</v>
      </c>
      <c r="N134" s="13" t="s">
        <v>853</v>
      </c>
      <c r="O134" s="13" t="s">
        <v>854</v>
      </c>
      <c r="P134" s="13" t="s">
        <v>855</v>
      </c>
      <c r="Q134" s="13" t="s">
        <v>856</v>
      </c>
      <c r="R134" s="13" t="s">
        <v>857</v>
      </c>
      <c r="S134" s="13" t="s">
        <v>858</v>
      </c>
      <c r="T134" s="13" t="s">
        <v>859</v>
      </c>
    </row>
    <row r="135" hidden="1">
      <c r="A135" s="18" t="s">
        <v>860</v>
      </c>
      <c r="B135" s="25" t="s">
        <v>843</v>
      </c>
      <c r="C135" s="9">
        <v>2.0</v>
      </c>
      <c r="D135" s="9" t="s">
        <v>861</v>
      </c>
      <c r="E135" s="7" t="s">
        <v>862</v>
      </c>
      <c r="F135" s="10" t="s">
        <v>863</v>
      </c>
      <c r="G135" s="9">
        <v>6.0</v>
      </c>
      <c r="H135" s="9" t="s">
        <v>864</v>
      </c>
      <c r="I135" s="9" t="s">
        <v>32</v>
      </c>
    </row>
    <row r="136" hidden="1">
      <c r="A136" s="7" t="s">
        <v>865</v>
      </c>
      <c r="B136" s="25" t="s">
        <v>866</v>
      </c>
      <c r="C136" s="9">
        <v>2.0</v>
      </c>
      <c r="D136" s="9" t="s">
        <v>867</v>
      </c>
      <c r="E136" s="73" t="s">
        <v>868</v>
      </c>
      <c r="F136" s="63" t="s">
        <v>869</v>
      </c>
      <c r="G136" s="9">
        <v>5.0</v>
      </c>
      <c r="H136" s="9" t="s">
        <v>870</v>
      </c>
      <c r="I136" s="9" t="s">
        <v>62</v>
      </c>
    </row>
    <row r="137">
      <c r="A137" s="7" t="s">
        <v>871</v>
      </c>
      <c r="B137" s="25" t="s">
        <v>365</v>
      </c>
      <c r="C137" s="9">
        <v>1.0</v>
      </c>
      <c r="D137" s="9" t="s">
        <v>355</v>
      </c>
      <c r="E137" s="7" t="s">
        <v>872</v>
      </c>
      <c r="F137" s="10" t="s">
        <v>873</v>
      </c>
      <c r="G137" s="9">
        <v>5.0</v>
      </c>
      <c r="H137" s="9" t="s">
        <v>519</v>
      </c>
      <c r="I137" s="9" t="s">
        <v>32</v>
      </c>
      <c r="J137" s="11" t="s">
        <v>874</v>
      </c>
      <c r="K137" s="13" t="s">
        <v>875</v>
      </c>
      <c r="L137" s="13" t="s">
        <v>876</v>
      </c>
      <c r="M137" s="13" t="s">
        <v>877</v>
      </c>
      <c r="N137" s="13" t="s">
        <v>878</v>
      </c>
      <c r="O137" s="13" t="s">
        <v>879</v>
      </c>
      <c r="P137" s="13" t="s">
        <v>880</v>
      </c>
      <c r="Q137" s="13" t="s">
        <v>881</v>
      </c>
      <c r="R137" s="13" t="s">
        <v>882</v>
      </c>
      <c r="S137" s="13" t="s">
        <v>883</v>
      </c>
      <c r="T137" s="13" t="s">
        <v>884</v>
      </c>
    </row>
    <row r="138" hidden="1">
      <c r="A138" s="16" t="s">
        <v>885</v>
      </c>
      <c r="B138" s="40" t="s">
        <v>866</v>
      </c>
      <c r="C138" s="15">
        <v>0.0</v>
      </c>
      <c r="D138" s="15" t="s">
        <v>886</v>
      </c>
      <c r="E138" s="16" t="s">
        <v>887</v>
      </c>
      <c r="F138" s="33"/>
      <c r="G138" s="15">
        <v>8.0</v>
      </c>
      <c r="H138" s="15" t="s">
        <v>888</v>
      </c>
      <c r="I138" s="15" t="s">
        <v>62</v>
      </c>
    </row>
    <row r="139" hidden="1">
      <c r="A139" s="16" t="s">
        <v>889</v>
      </c>
      <c r="B139" s="40" t="s">
        <v>866</v>
      </c>
      <c r="C139" s="15">
        <v>2.0</v>
      </c>
      <c r="D139" s="15" t="s">
        <v>128</v>
      </c>
      <c r="E139" s="16" t="s">
        <v>890</v>
      </c>
      <c r="F139" s="17" t="s">
        <v>891</v>
      </c>
      <c r="G139" s="15">
        <v>4.0</v>
      </c>
      <c r="H139" s="15" t="s">
        <v>892</v>
      </c>
      <c r="I139" s="15" t="s">
        <v>62</v>
      </c>
    </row>
    <row r="140">
      <c r="A140" s="7" t="s">
        <v>893</v>
      </c>
      <c r="B140" s="25" t="s">
        <v>365</v>
      </c>
      <c r="C140" s="9">
        <v>1.0</v>
      </c>
      <c r="D140" s="9" t="s">
        <v>740</v>
      </c>
      <c r="E140" s="16" t="s">
        <v>894</v>
      </c>
      <c r="F140" s="10" t="s">
        <v>895</v>
      </c>
      <c r="G140" s="9">
        <v>4.0</v>
      </c>
      <c r="H140" s="9" t="s">
        <v>474</v>
      </c>
      <c r="I140" s="9" t="s">
        <v>32</v>
      </c>
      <c r="J140" s="11" t="s">
        <v>896</v>
      </c>
      <c r="K140" s="13" t="s">
        <v>897</v>
      </c>
      <c r="L140" s="13" t="s">
        <v>898</v>
      </c>
      <c r="M140" s="13" t="s">
        <v>899</v>
      </c>
      <c r="N140" s="13" t="s">
        <v>900</v>
      </c>
      <c r="O140" s="13" t="s">
        <v>901</v>
      </c>
      <c r="P140" s="13" t="s">
        <v>902</v>
      </c>
      <c r="Q140" s="13" t="s">
        <v>903</v>
      </c>
      <c r="R140" s="13" t="s">
        <v>904</v>
      </c>
      <c r="S140" s="13" t="s">
        <v>905</v>
      </c>
      <c r="T140" s="13" t="s">
        <v>906</v>
      </c>
    </row>
    <row r="141" hidden="1">
      <c r="A141" s="22" t="s">
        <v>907</v>
      </c>
      <c r="B141" s="25" t="s">
        <v>866</v>
      </c>
      <c r="C141" s="9">
        <v>2.0</v>
      </c>
      <c r="D141" s="74" t="s">
        <v>886</v>
      </c>
      <c r="E141" s="7" t="s">
        <v>908</v>
      </c>
      <c r="F141" s="10" t="s">
        <v>909</v>
      </c>
      <c r="G141" s="9">
        <v>5.0</v>
      </c>
      <c r="H141" s="9" t="s">
        <v>892</v>
      </c>
      <c r="I141" s="9" t="s">
        <v>62</v>
      </c>
    </row>
    <row r="142">
      <c r="A142" s="16" t="s">
        <v>910</v>
      </c>
      <c r="B142" s="40" t="s">
        <v>365</v>
      </c>
      <c r="C142" s="15">
        <v>1.0</v>
      </c>
      <c r="D142" s="15" t="s">
        <v>536</v>
      </c>
      <c r="F142" s="33"/>
      <c r="G142" s="15">
        <v>3.0</v>
      </c>
      <c r="H142" s="15" t="s">
        <v>368</v>
      </c>
      <c r="I142" s="15" t="s">
        <v>26</v>
      </c>
    </row>
    <row r="143" hidden="1">
      <c r="A143" s="16" t="s">
        <v>911</v>
      </c>
      <c r="B143" s="40" t="s">
        <v>912</v>
      </c>
      <c r="C143" s="15">
        <v>2.0</v>
      </c>
      <c r="D143" s="15" t="s">
        <v>487</v>
      </c>
      <c r="E143" s="16" t="s">
        <v>913</v>
      </c>
      <c r="F143" s="17" t="s">
        <v>611</v>
      </c>
      <c r="G143" s="15">
        <v>0.0</v>
      </c>
      <c r="H143" s="15" t="s">
        <v>914</v>
      </c>
      <c r="I143" s="15" t="s">
        <v>62</v>
      </c>
    </row>
    <row r="144" hidden="1">
      <c r="A144" s="16" t="s">
        <v>915</v>
      </c>
      <c r="B144" s="40" t="s">
        <v>912</v>
      </c>
      <c r="C144" s="15">
        <v>2.0</v>
      </c>
      <c r="D144" s="15" t="s">
        <v>916</v>
      </c>
      <c r="E144" s="16" t="s">
        <v>917</v>
      </c>
      <c r="F144" s="17" t="s">
        <v>918</v>
      </c>
      <c r="G144" s="15">
        <v>3.0</v>
      </c>
      <c r="H144" s="15" t="s">
        <v>919</v>
      </c>
      <c r="I144" s="15" t="s">
        <v>62</v>
      </c>
    </row>
    <row r="145" hidden="1">
      <c r="A145" s="7" t="s">
        <v>920</v>
      </c>
      <c r="B145" s="25" t="s">
        <v>912</v>
      </c>
      <c r="C145" s="9">
        <v>0.0</v>
      </c>
      <c r="D145" s="9" t="s">
        <v>599</v>
      </c>
      <c r="E145" s="7" t="s">
        <v>921</v>
      </c>
      <c r="F145" s="47" t="s">
        <v>922</v>
      </c>
      <c r="G145" s="9">
        <v>7.0</v>
      </c>
      <c r="H145" s="9" t="s">
        <v>923</v>
      </c>
      <c r="I145" s="9" t="s">
        <v>62</v>
      </c>
    </row>
    <row r="146">
      <c r="A146" s="16" t="s">
        <v>924</v>
      </c>
      <c r="B146" s="40" t="s">
        <v>365</v>
      </c>
      <c r="C146" s="15">
        <v>1.0</v>
      </c>
      <c r="D146" s="15" t="s">
        <v>925</v>
      </c>
      <c r="F146" s="33"/>
      <c r="G146" s="15">
        <v>4.0</v>
      </c>
      <c r="H146" s="15" t="s">
        <v>586</v>
      </c>
      <c r="I146" s="15" t="s">
        <v>26</v>
      </c>
    </row>
    <row r="147" hidden="1">
      <c r="A147" s="7" t="s">
        <v>926</v>
      </c>
      <c r="B147" s="25" t="s">
        <v>912</v>
      </c>
      <c r="C147" s="15">
        <v>2.0</v>
      </c>
      <c r="D147" s="9" t="s">
        <v>927</v>
      </c>
      <c r="E147" s="7" t="s">
        <v>928</v>
      </c>
      <c r="F147" s="10" t="s">
        <v>929</v>
      </c>
      <c r="G147" s="9">
        <v>4.0</v>
      </c>
      <c r="H147" s="9" t="s">
        <v>919</v>
      </c>
      <c r="I147" s="9" t="s">
        <v>62</v>
      </c>
    </row>
    <row r="148">
      <c r="A148" s="24" t="s">
        <v>930</v>
      </c>
      <c r="B148" s="25" t="s">
        <v>365</v>
      </c>
      <c r="C148" s="15">
        <v>1.0</v>
      </c>
      <c r="D148" s="9" t="s">
        <v>536</v>
      </c>
      <c r="E148" s="7" t="s">
        <v>931</v>
      </c>
      <c r="F148" s="75" t="s">
        <v>932</v>
      </c>
      <c r="G148" s="21">
        <v>7.0</v>
      </c>
      <c r="H148" s="9" t="s">
        <v>933</v>
      </c>
      <c r="I148" s="21" t="s">
        <v>32</v>
      </c>
      <c r="J148" s="11" t="s">
        <v>934</v>
      </c>
      <c r="K148" s="13" t="s">
        <v>935</v>
      </c>
      <c r="L148" s="13" t="s">
        <v>936</v>
      </c>
      <c r="M148" s="13" t="s">
        <v>937</v>
      </c>
      <c r="N148" s="13" t="s">
        <v>938</v>
      </c>
      <c r="O148" s="13" t="s">
        <v>939</v>
      </c>
      <c r="P148" s="13" t="s">
        <v>940</v>
      </c>
      <c r="Q148" s="13" t="s">
        <v>941</v>
      </c>
      <c r="R148" s="13" t="s">
        <v>942</v>
      </c>
      <c r="S148" s="13" t="s">
        <v>943</v>
      </c>
      <c r="T148" s="13" t="s">
        <v>944</v>
      </c>
    </row>
    <row r="149" hidden="1">
      <c r="A149" s="22" t="s">
        <v>945</v>
      </c>
      <c r="B149" s="25" t="s">
        <v>912</v>
      </c>
      <c r="C149" s="9">
        <v>2.0</v>
      </c>
      <c r="D149" s="9" t="s">
        <v>946</v>
      </c>
      <c r="E149" s="7" t="s">
        <v>947</v>
      </c>
      <c r="F149" s="10" t="s">
        <v>948</v>
      </c>
      <c r="G149" s="9">
        <v>5.0</v>
      </c>
      <c r="H149" s="9" t="s">
        <v>919</v>
      </c>
      <c r="I149" s="9" t="s">
        <v>62</v>
      </c>
    </row>
    <row r="150" ht="15.75" customHeight="1">
      <c r="A150" s="20" t="s">
        <v>949</v>
      </c>
      <c r="B150" s="25" t="s">
        <v>365</v>
      </c>
      <c r="C150" s="9">
        <v>1.0</v>
      </c>
      <c r="D150" s="21" t="s">
        <v>355</v>
      </c>
      <c r="F150" s="10" t="s">
        <v>950</v>
      </c>
      <c r="G150" s="21">
        <v>5.0</v>
      </c>
      <c r="H150" s="9" t="s">
        <v>470</v>
      </c>
      <c r="I150" s="21" t="s">
        <v>26</v>
      </c>
      <c r="J150" s="11" t="s">
        <v>951</v>
      </c>
      <c r="K150" s="13" t="s">
        <v>952</v>
      </c>
      <c r="L150" s="13" t="s">
        <v>953</v>
      </c>
      <c r="M150" s="13" t="s">
        <v>954</v>
      </c>
      <c r="N150" s="13" t="s">
        <v>955</v>
      </c>
      <c r="O150" s="13" t="s">
        <v>956</v>
      </c>
      <c r="P150" s="13" t="s">
        <v>957</v>
      </c>
      <c r="Q150" s="13" t="s">
        <v>958</v>
      </c>
      <c r="R150" s="13" t="s">
        <v>959</v>
      </c>
      <c r="S150" s="13" t="s">
        <v>960</v>
      </c>
      <c r="T150" s="13" t="s">
        <v>961</v>
      </c>
    </row>
    <row r="151">
      <c r="A151" s="16" t="s">
        <v>962</v>
      </c>
      <c r="B151" s="40" t="s">
        <v>365</v>
      </c>
      <c r="C151" s="15">
        <v>1.0</v>
      </c>
      <c r="D151" s="15" t="s">
        <v>380</v>
      </c>
      <c r="E151" s="16"/>
      <c r="F151" s="17" t="s">
        <v>963</v>
      </c>
      <c r="G151" s="15">
        <v>9.0</v>
      </c>
      <c r="H151" s="15" t="s">
        <v>964</v>
      </c>
      <c r="I151" s="9" t="s">
        <v>26</v>
      </c>
      <c r="J151" s="11" t="s">
        <v>965</v>
      </c>
      <c r="K151" s="13" t="s">
        <v>966</v>
      </c>
      <c r="L151" s="13" t="s">
        <v>967</v>
      </c>
      <c r="M151" s="13" t="s">
        <v>968</v>
      </c>
      <c r="N151" s="13" t="s">
        <v>969</v>
      </c>
      <c r="O151" s="13" t="s">
        <v>970</v>
      </c>
      <c r="P151" s="13" t="s">
        <v>971</v>
      </c>
      <c r="Q151" s="13" t="s">
        <v>972</v>
      </c>
      <c r="R151" s="13" t="s">
        <v>973</v>
      </c>
      <c r="S151" s="13" t="s">
        <v>974</v>
      </c>
      <c r="T151" s="13" t="s">
        <v>975</v>
      </c>
    </row>
    <row r="152">
      <c r="A152" s="16" t="s">
        <v>976</v>
      </c>
      <c r="B152" s="40" t="s">
        <v>365</v>
      </c>
      <c r="C152" s="15">
        <v>1.0</v>
      </c>
      <c r="D152" s="15" t="s">
        <v>977</v>
      </c>
      <c r="E152" s="16" t="s">
        <v>978</v>
      </c>
      <c r="F152" s="17" t="s">
        <v>104</v>
      </c>
      <c r="G152" s="15">
        <v>3.0</v>
      </c>
      <c r="H152" s="15" t="s">
        <v>474</v>
      </c>
      <c r="I152" s="15" t="s">
        <v>32</v>
      </c>
      <c r="J152" s="11" t="s">
        <v>979</v>
      </c>
      <c r="K152" s="13" t="s">
        <v>980</v>
      </c>
      <c r="L152" s="13" t="s">
        <v>981</v>
      </c>
      <c r="M152" s="13" t="s">
        <v>982</v>
      </c>
      <c r="N152" s="13" t="s">
        <v>983</v>
      </c>
      <c r="O152" s="13" t="s">
        <v>984</v>
      </c>
    </row>
    <row r="153" hidden="1">
      <c r="A153" s="16" t="s">
        <v>985</v>
      </c>
      <c r="B153" s="76" t="s">
        <v>986</v>
      </c>
      <c r="C153" s="15">
        <v>2.0</v>
      </c>
      <c r="D153" s="15" t="s">
        <v>37</v>
      </c>
      <c r="E153" s="16" t="s">
        <v>987</v>
      </c>
      <c r="F153" s="17" t="s">
        <v>988</v>
      </c>
      <c r="G153" s="15">
        <v>2.0</v>
      </c>
      <c r="H153" s="15" t="s">
        <v>989</v>
      </c>
      <c r="I153" s="15" t="s">
        <v>62</v>
      </c>
    </row>
    <row r="154">
      <c r="A154" s="31" t="s">
        <v>990</v>
      </c>
      <c r="B154" s="40" t="s">
        <v>365</v>
      </c>
      <c r="C154" s="15">
        <v>1.0</v>
      </c>
      <c r="D154" s="16" t="s">
        <v>380</v>
      </c>
      <c r="E154" s="31" t="s">
        <v>991</v>
      </c>
      <c r="G154" s="35"/>
      <c r="H154" s="35"/>
      <c r="I154" s="15" t="s">
        <v>32</v>
      </c>
    </row>
    <row r="155">
      <c r="A155" s="31" t="s">
        <v>992</v>
      </c>
      <c r="B155" s="40" t="s">
        <v>365</v>
      </c>
      <c r="C155" s="15">
        <v>1.0</v>
      </c>
      <c r="D155" s="16" t="s">
        <v>380</v>
      </c>
      <c r="E155" s="77"/>
      <c r="G155" s="35"/>
      <c r="H155" s="35"/>
      <c r="I155" s="15" t="s">
        <v>32</v>
      </c>
    </row>
    <row r="156" hidden="1">
      <c r="A156" s="31" t="s">
        <v>993</v>
      </c>
      <c r="B156" s="76" t="s">
        <v>986</v>
      </c>
      <c r="C156" s="15">
        <v>2.0</v>
      </c>
      <c r="D156" s="15" t="s">
        <v>644</v>
      </c>
      <c r="E156" s="16" t="s">
        <v>994</v>
      </c>
      <c r="F156" s="17" t="s">
        <v>645</v>
      </c>
      <c r="G156" s="15">
        <v>2.0</v>
      </c>
      <c r="H156" s="15" t="s">
        <v>995</v>
      </c>
      <c r="I156" s="15" t="s">
        <v>26</v>
      </c>
    </row>
    <row r="157">
      <c r="A157" s="31" t="s">
        <v>996</v>
      </c>
      <c r="B157" s="40" t="s">
        <v>365</v>
      </c>
      <c r="C157" s="15">
        <v>1.0</v>
      </c>
      <c r="D157" s="15" t="s">
        <v>997</v>
      </c>
      <c r="E157" s="16" t="s">
        <v>998</v>
      </c>
      <c r="F157" s="33"/>
      <c r="G157" s="15">
        <v>3.0</v>
      </c>
      <c r="H157" s="15" t="s">
        <v>368</v>
      </c>
      <c r="I157" s="15" t="s">
        <v>32</v>
      </c>
    </row>
    <row r="158">
      <c r="A158" s="16" t="s">
        <v>999</v>
      </c>
      <c r="B158" s="40" t="s">
        <v>365</v>
      </c>
      <c r="C158" s="15">
        <v>1.0</v>
      </c>
      <c r="D158" s="15" t="s">
        <v>1000</v>
      </c>
      <c r="F158" s="33"/>
      <c r="G158" s="15">
        <v>2.0</v>
      </c>
      <c r="H158" s="9" t="s">
        <v>386</v>
      </c>
      <c r="I158" s="15" t="s">
        <v>26</v>
      </c>
    </row>
    <row r="159">
      <c r="A159" s="16" t="s">
        <v>1001</v>
      </c>
      <c r="B159" s="40" t="s">
        <v>365</v>
      </c>
      <c r="C159" s="15">
        <v>1.0</v>
      </c>
      <c r="D159" s="16" t="s">
        <v>380</v>
      </c>
      <c r="E159" s="78" t="s">
        <v>1002</v>
      </c>
      <c r="G159" s="15">
        <v>1.0</v>
      </c>
      <c r="H159" s="15" t="s">
        <v>1003</v>
      </c>
      <c r="I159" s="15" t="s">
        <v>26</v>
      </c>
    </row>
    <row r="160" hidden="1">
      <c r="A160" s="16" t="s">
        <v>1004</v>
      </c>
      <c r="B160" s="40" t="s">
        <v>986</v>
      </c>
      <c r="C160" s="15">
        <v>2.0</v>
      </c>
      <c r="D160" s="15" t="s">
        <v>1005</v>
      </c>
      <c r="E160" s="16" t="s">
        <v>1006</v>
      </c>
      <c r="F160" s="17" t="s">
        <v>1007</v>
      </c>
      <c r="G160" s="15">
        <v>4.0</v>
      </c>
      <c r="H160" s="15" t="s">
        <v>390</v>
      </c>
      <c r="I160" s="15" t="s">
        <v>32</v>
      </c>
    </row>
    <row r="161">
      <c r="A161" s="7" t="s">
        <v>1008</v>
      </c>
      <c r="B161" s="7" t="s">
        <v>843</v>
      </c>
      <c r="C161" s="9">
        <v>1.0</v>
      </c>
      <c r="D161" s="9" t="s">
        <v>1009</v>
      </c>
      <c r="E161" s="7" t="s">
        <v>1010</v>
      </c>
      <c r="F161" s="10" t="s">
        <v>1011</v>
      </c>
      <c r="G161" s="9">
        <v>2.0</v>
      </c>
      <c r="H161" s="9" t="s">
        <v>846</v>
      </c>
      <c r="I161" s="9" t="s">
        <v>62</v>
      </c>
      <c r="J161" s="11" t="s">
        <v>1012</v>
      </c>
      <c r="K161" s="13" t="s">
        <v>1013</v>
      </c>
      <c r="L161" s="13" t="s">
        <v>1014</v>
      </c>
      <c r="M161" s="13" t="s">
        <v>1015</v>
      </c>
      <c r="N161" s="13" t="s">
        <v>1016</v>
      </c>
      <c r="O161" s="13" t="s">
        <v>1017</v>
      </c>
      <c r="P161" s="13" t="s">
        <v>1018</v>
      </c>
      <c r="Q161" s="13" t="s">
        <v>1019</v>
      </c>
      <c r="R161" s="13" t="s">
        <v>1020</v>
      </c>
      <c r="S161" s="13" t="s">
        <v>1021</v>
      </c>
      <c r="T161" s="13" t="s">
        <v>1022</v>
      </c>
    </row>
    <row r="162">
      <c r="A162" s="7" t="s">
        <v>1023</v>
      </c>
      <c r="B162" s="7" t="s">
        <v>843</v>
      </c>
      <c r="C162" s="9">
        <v>1.0</v>
      </c>
      <c r="D162" s="9" t="s">
        <v>294</v>
      </c>
      <c r="E162" s="7" t="s">
        <v>1024</v>
      </c>
      <c r="F162" s="75" t="s">
        <v>1025</v>
      </c>
      <c r="G162" s="9">
        <v>5.0</v>
      </c>
      <c r="H162" s="9" t="s">
        <v>1026</v>
      </c>
      <c r="I162" s="9" t="s">
        <v>32</v>
      </c>
      <c r="J162" s="11" t="s">
        <v>1027</v>
      </c>
      <c r="K162" s="13" t="s">
        <v>1028</v>
      </c>
      <c r="L162" s="13" t="s">
        <v>1029</v>
      </c>
      <c r="M162" s="13" t="s">
        <v>1030</v>
      </c>
      <c r="N162" s="13" t="s">
        <v>1031</v>
      </c>
      <c r="O162" s="13" t="s">
        <v>1032</v>
      </c>
      <c r="P162" s="13" t="s">
        <v>1033</v>
      </c>
      <c r="Q162" s="13" t="s">
        <v>1034</v>
      </c>
      <c r="R162" s="13" t="s">
        <v>1035</v>
      </c>
    </row>
    <row r="163" hidden="1">
      <c r="A163" s="16" t="s">
        <v>1036</v>
      </c>
      <c r="B163" s="79" t="s">
        <v>986</v>
      </c>
      <c r="C163" s="15">
        <v>2.0</v>
      </c>
      <c r="D163" s="15" t="s">
        <v>37</v>
      </c>
      <c r="E163" s="16" t="s">
        <v>1037</v>
      </c>
      <c r="F163" s="17" t="s">
        <v>192</v>
      </c>
      <c r="G163" s="15">
        <v>2.0</v>
      </c>
      <c r="H163" s="15" t="s">
        <v>1038</v>
      </c>
      <c r="I163" s="9" t="s">
        <v>62</v>
      </c>
    </row>
    <row r="164" hidden="1">
      <c r="A164" s="16" t="s">
        <v>1039</v>
      </c>
      <c r="B164" s="79" t="s">
        <v>986</v>
      </c>
      <c r="C164" s="15">
        <v>2.0</v>
      </c>
      <c r="D164" s="15" t="s">
        <v>128</v>
      </c>
      <c r="E164" s="16" t="s">
        <v>1040</v>
      </c>
      <c r="F164" s="17" t="s">
        <v>1041</v>
      </c>
      <c r="G164" s="15">
        <v>4.0</v>
      </c>
      <c r="H164" s="15" t="s">
        <v>1038</v>
      </c>
      <c r="I164" s="15" t="s">
        <v>62</v>
      </c>
    </row>
    <row r="165">
      <c r="A165" s="18" t="s">
        <v>1042</v>
      </c>
      <c r="B165" s="7" t="s">
        <v>843</v>
      </c>
      <c r="C165" s="9">
        <v>1.0</v>
      </c>
      <c r="D165" s="9" t="s">
        <v>1043</v>
      </c>
      <c r="E165" s="7"/>
      <c r="F165" s="10" t="s">
        <v>1044</v>
      </c>
      <c r="G165" s="9">
        <v>2.0</v>
      </c>
      <c r="H165" s="9" t="s">
        <v>1045</v>
      </c>
      <c r="I165" s="9" t="s">
        <v>26</v>
      </c>
      <c r="J165" s="11" t="s">
        <v>1046</v>
      </c>
      <c r="K165" s="13" t="s">
        <v>1047</v>
      </c>
      <c r="L165" s="13" t="s">
        <v>1048</v>
      </c>
      <c r="M165" s="13" t="s">
        <v>1049</v>
      </c>
      <c r="N165" s="13" t="s">
        <v>1050</v>
      </c>
      <c r="O165" s="13" t="s">
        <v>1051</v>
      </c>
      <c r="P165" s="13" t="s">
        <v>1052</v>
      </c>
      <c r="Q165" s="13" t="s">
        <v>1053</v>
      </c>
      <c r="R165" s="13" t="s">
        <v>1054</v>
      </c>
      <c r="S165" s="13" t="s">
        <v>1055</v>
      </c>
      <c r="T165" s="13" t="s">
        <v>1056</v>
      </c>
    </row>
    <row r="166">
      <c r="A166" s="80" t="s">
        <v>1057</v>
      </c>
      <c r="B166" s="7" t="s">
        <v>866</v>
      </c>
      <c r="C166" s="9">
        <v>1.0</v>
      </c>
      <c r="D166" s="9" t="s">
        <v>536</v>
      </c>
      <c r="E166" s="7" t="s">
        <v>1058</v>
      </c>
      <c r="F166" s="10" t="s">
        <v>1059</v>
      </c>
      <c r="G166" s="9">
        <v>5.0</v>
      </c>
      <c r="H166" s="9" t="s">
        <v>892</v>
      </c>
      <c r="I166" s="9" t="s">
        <v>62</v>
      </c>
      <c r="J166" s="11" t="s">
        <v>1060</v>
      </c>
      <c r="K166" s="13" t="s">
        <v>1061</v>
      </c>
      <c r="L166" s="13" t="s">
        <v>1062</v>
      </c>
      <c r="M166" s="13" t="s">
        <v>1063</v>
      </c>
      <c r="N166" s="13" t="s">
        <v>1064</v>
      </c>
      <c r="O166" s="13" t="s">
        <v>1065</v>
      </c>
      <c r="P166" s="13" t="s">
        <v>1066</v>
      </c>
      <c r="Q166" s="13" t="s">
        <v>1067</v>
      </c>
      <c r="R166" s="13" t="s">
        <v>1068</v>
      </c>
      <c r="S166" s="13" t="s">
        <v>1069</v>
      </c>
      <c r="T166" s="13" t="s">
        <v>1070</v>
      </c>
    </row>
    <row r="167" hidden="1">
      <c r="A167" s="7" t="s">
        <v>1071</v>
      </c>
      <c r="B167" s="81" t="s">
        <v>986</v>
      </c>
      <c r="C167" s="9">
        <v>2.0</v>
      </c>
      <c r="D167" s="9" t="s">
        <v>37</v>
      </c>
      <c r="E167" s="82" t="s">
        <v>1072</v>
      </c>
      <c r="F167" s="10" t="s">
        <v>607</v>
      </c>
      <c r="G167" s="9">
        <v>3.0</v>
      </c>
      <c r="H167" s="9" t="s">
        <v>995</v>
      </c>
      <c r="I167" s="9" t="s">
        <v>32</v>
      </c>
    </row>
    <row r="168">
      <c r="A168" s="7" t="s">
        <v>1073</v>
      </c>
      <c r="B168" s="7" t="s">
        <v>866</v>
      </c>
      <c r="C168" s="9">
        <v>1.0</v>
      </c>
      <c r="D168" s="9" t="s">
        <v>292</v>
      </c>
      <c r="E168" s="7" t="s">
        <v>1074</v>
      </c>
      <c r="F168" s="10" t="s">
        <v>1075</v>
      </c>
      <c r="G168" s="9">
        <v>6.0</v>
      </c>
      <c r="H168" s="9" t="s">
        <v>1076</v>
      </c>
      <c r="I168" s="9" t="s">
        <v>32</v>
      </c>
      <c r="J168" s="11" t="s">
        <v>1077</v>
      </c>
      <c r="K168" s="13" t="s">
        <v>1078</v>
      </c>
      <c r="L168" s="13" t="s">
        <v>1079</v>
      </c>
      <c r="M168" s="13" t="s">
        <v>1080</v>
      </c>
      <c r="N168" s="13" t="s">
        <v>1081</v>
      </c>
      <c r="O168" s="13" t="s">
        <v>1082</v>
      </c>
      <c r="P168" s="13" t="s">
        <v>1083</v>
      </c>
      <c r="Q168" s="13" t="s">
        <v>1084</v>
      </c>
      <c r="R168" s="13" t="s">
        <v>1085</v>
      </c>
      <c r="S168" s="13" t="s">
        <v>1086</v>
      </c>
      <c r="T168" s="13" t="s">
        <v>1087</v>
      </c>
    </row>
    <row r="169">
      <c r="A169" s="16" t="s">
        <v>1088</v>
      </c>
      <c r="B169" s="7" t="s">
        <v>866</v>
      </c>
      <c r="C169" s="9">
        <v>1.0</v>
      </c>
      <c r="D169" s="9" t="s">
        <v>1089</v>
      </c>
      <c r="E169" s="7"/>
      <c r="F169" s="10" t="s">
        <v>1090</v>
      </c>
      <c r="G169" s="9">
        <v>2.0</v>
      </c>
      <c r="H169" s="9" t="s">
        <v>1091</v>
      </c>
      <c r="I169" s="9" t="s">
        <v>26</v>
      </c>
      <c r="J169" s="11" t="s">
        <v>1092</v>
      </c>
      <c r="K169" s="13" t="s">
        <v>1093</v>
      </c>
      <c r="L169" s="13" t="s">
        <v>1094</v>
      </c>
      <c r="M169" s="13" t="s">
        <v>1095</v>
      </c>
      <c r="N169" s="13" t="s">
        <v>1096</v>
      </c>
      <c r="O169" s="13" t="s">
        <v>1097</v>
      </c>
      <c r="P169" s="13" t="s">
        <v>1098</v>
      </c>
      <c r="Q169" s="13" t="s">
        <v>1099</v>
      </c>
      <c r="R169" s="13" t="s">
        <v>1100</v>
      </c>
    </row>
    <row r="170" hidden="1">
      <c r="A170" s="22" t="s">
        <v>1101</v>
      </c>
      <c r="B170" s="81" t="s">
        <v>986</v>
      </c>
      <c r="C170" s="9">
        <v>2.0</v>
      </c>
      <c r="D170" s="9" t="s">
        <v>287</v>
      </c>
      <c r="E170" s="7" t="s">
        <v>1102</v>
      </c>
      <c r="F170" s="10" t="s">
        <v>1103</v>
      </c>
      <c r="G170" s="9">
        <v>3.0</v>
      </c>
      <c r="H170" s="9" t="s">
        <v>989</v>
      </c>
      <c r="I170" s="9" t="s">
        <v>62</v>
      </c>
    </row>
    <row r="171" hidden="1">
      <c r="A171" s="22" t="s">
        <v>1104</v>
      </c>
      <c r="B171" s="81" t="s">
        <v>986</v>
      </c>
      <c r="C171" s="9">
        <v>2.0</v>
      </c>
      <c r="D171" s="9" t="s">
        <v>394</v>
      </c>
      <c r="E171" s="7" t="s">
        <v>1105</v>
      </c>
      <c r="F171" s="10" t="s">
        <v>1106</v>
      </c>
      <c r="G171" s="9">
        <v>2.0</v>
      </c>
      <c r="H171" s="9" t="s">
        <v>1107</v>
      </c>
      <c r="I171" s="9" t="s">
        <v>26</v>
      </c>
    </row>
    <row r="172" hidden="1">
      <c r="A172" s="16" t="s">
        <v>1108</v>
      </c>
      <c r="B172" s="79" t="s">
        <v>986</v>
      </c>
      <c r="C172" s="15">
        <v>2.0</v>
      </c>
      <c r="D172" s="15" t="s">
        <v>128</v>
      </c>
      <c r="E172" s="16" t="s">
        <v>1109</v>
      </c>
      <c r="F172" s="17" t="s">
        <v>611</v>
      </c>
      <c r="G172" s="15">
        <v>4.0</v>
      </c>
      <c r="H172" s="15" t="s">
        <v>1110</v>
      </c>
      <c r="I172" s="15" t="s">
        <v>62</v>
      </c>
    </row>
    <row r="173" hidden="1">
      <c r="A173" s="22" t="s">
        <v>1111</v>
      </c>
      <c r="B173" s="81" t="s">
        <v>986</v>
      </c>
      <c r="C173" s="9">
        <v>2.0</v>
      </c>
      <c r="D173" s="9" t="s">
        <v>287</v>
      </c>
      <c r="E173" s="7" t="s">
        <v>1112</v>
      </c>
      <c r="F173" s="10" t="s">
        <v>1113</v>
      </c>
      <c r="G173" s="9">
        <v>4.0</v>
      </c>
      <c r="H173" s="9" t="s">
        <v>1110</v>
      </c>
      <c r="I173" s="15" t="s">
        <v>62</v>
      </c>
    </row>
    <row r="174" hidden="1">
      <c r="A174" s="16" t="s">
        <v>1114</v>
      </c>
      <c r="B174" s="79" t="s">
        <v>986</v>
      </c>
      <c r="C174" s="15">
        <v>2.0</v>
      </c>
      <c r="D174" s="15" t="s">
        <v>37</v>
      </c>
      <c r="E174" s="16" t="s">
        <v>1115</v>
      </c>
      <c r="F174" s="17" t="s">
        <v>1116</v>
      </c>
      <c r="G174" s="15">
        <v>1.0</v>
      </c>
      <c r="H174" s="15" t="s">
        <v>1107</v>
      </c>
      <c r="I174" s="15" t="s">
        <v>26</v>
      </c>
    </row>
    <row r="175">
      <c r="A175" s="7" t="s">
        <v>1117</v>
      </c>
      <c r="B175" s="7" t="s">
        <v>912</v>
      </c>
      <c r="C175" s="15">
        <v>1.0</v>
      </c>
      <c r="D175" s="9" t="s">
        <v>1118</v>
      </c>
      <c r="E175" s="7" t="s">
        <v>1119</v>
      </c>
      <c r="F175" s="10" t="s">
        <v>1120</v>
      </c>
      <c r="G175" s="9">
        <v>5.0</v>
      </c>
      <c r="H175" s="9" t="s">
        <v>919</v>
      </c>
      <c r="I175" s="9" t="s">
        <v>62</v>
      </c>
      <c r="J175" s="11" t="s">
        <v>1121</v>
      </c>
      <c r="K175" s="13" t="s">
        <v>1122</v>
      </c>
      <c r="L175" s="13" t="s">
        <v>1123</v>
      </c>
      <c r="M175" s="13" t="s">
        <v>1124</v>
      </c>
      <c r="N175" s="13" t="s">
        <v>1125</v>
      </c>
      <c r="O175" s="13" t="s">
        <v>1126</v>
      </c>
      <c r="P175" s="13" t="s">
        <v>1127</v>
      </c>
    </row>
    <row r="176" hidden="1">
      <c r="A176" s="16" t="s">
        <v>1128</v>
      </c>
      <c r="B176" s="79" t="s">
        <v>986</v>
      </c>
      <c r="C176" s="15">
        <v>2.0</v>
      </c>
      <c r="D176" s="15" t="s">
        <v>128</v>
      </c>
      <c r="E176" s="16" t="s">
        <v>1129</v>
      </c>
      <c r="F176" s="17" t="s">
        <v>1130</v>
      </c>
      <c r="G176" s="15">
        <v>3.0</v>
      </c>
      <c r="H176" s="15" t="s">
        <v>1110</v>
      </c>
      <c r="I176" s="15" t="s">
        <v>26</v>
      </c>
    </row>
    <row r="177">
      <c r="A177" s="7" t="s">
        <v>1131</v>
      </c>
      <c r="B177" s="7" t="s">
        <v>912</v>
      </c>
      <c r="C177" s="9">
        <v>1.0</v>
      </c>
      <c r="D177" s="9" t="s">
        <v>761</v>
      </c>
      <c r="E177" s="7" t="s">
        <v>1132</v>
      </c>
      <c r="F177" s="10" t="s">
        <v>1133</v>
      </c>
      <c r="G177" s="9">
        <v>5.0</v>
      </c>
      <c r="H177" s="9" t="s">
        <v>1134</v>
      </c>
      <c r="I177" s="9" t="s">
        <v>32</v>
      </c>
      <c r="J177" s="11" t="s">
        <v>1135</v>
      </c>
      <c r="K177" s="13" t="s">
        <v>1136</v>
      </c>
      <c r="L177" s="13" t="s">
        <v>1137</v>
      </c>
      <c r="M177" s="13" t="s">
        <v>1138</v>
      </c>
    </row>
    <row r="178" hidden="1">
      <c r="A178" s="51" t="s">
        <v>1139</v>
      </c>
      <c r="B178" s="81" t="s">
        <v>986</v>
      </c>
      <c r="C178" s="9">
        <v>2.0</v>
      </c>
      <c r="D178" s="9" t="s">
        <v>294</v>
      </c>
      <c r="E178" s="7" t="s">
        <v>1140</v>
      </c>
      <c r="F178" s="10" t="s">
        <v>1141</v>
      </c>
      <c r="G178" s="9">
        <v>3.0</v>
      </c>
      <c r="H178" s="9" t="s">
        <v>1038</v>
      </c>
      <c r="I178" s="9" t="s">
        <v>62</v>
      </c>
    </row>
    <row r="179">
      <c r="A179" s="7" t="s">
        <v>1142</v>
      </c>
      <c r="B179" s="7" t="s">
        <v>912</v>
      </c>
      <c r="C179" s="9">
        <v>1.0</v>
      </c>
      <c r="D179" s="9" t="s">
        <v>1143</v>
      </c>
      <c r="E179" s="7"/>
      <c r="F179" s="10" t="s">
        <v>1144</v>
      </c>
      <c r="G179" s="9">
        <v>2.0</v>
      </c>
      <c r="H179" s="9" t="s">
        <v>914</v>
      </c>
      <c r="I179" s="9" t="s">
        <v>26</v>
      </c>
      <c r="J179" s="11" t="s">
        <v>1145</v>
      </c>
      <c r="K179" s="13" t="s">
        <v>1146</v>
      </c>
      <c r="L179" s="13" t="s">
        <v>1147</v>
      </c>
      <c r="M179" s="13" t="s">
        <v>1148</v>
      </c>
      <c r="N179" s="13" t="s">
        <v>1149</v>
      </c>
      <c r="O179" s="13" t="s">
        <v>1150</v>
      </c>
      <c r="P179" s="13" t="s">
        <v>1151</v>
      </c>
      <c r="Q179" s="13" t="s">
        <v>1152</v>
      </c>
      <c r="R179" s="13" t="s">
        <v>1153</v>
      </c>
      <c r="S179" s="13" t="s">
        <v>1154</v>
      </c>
      <c r="T179" s="13" t="s">
        <v>1155</v>
      </c>
    </row>
    <row r="180">
      <c r="A180" s="7" t="s">
        <v>1156</v>
      </c>
      <c r="B180" s="7" t="s">
        <v>986</v>
      </c>
      <c r="C180" s="9">
        <v>1.0</v>
      </c>
      <c r="D180" s="15" t="s">
        <v>602</v>
      </c>
      <c r="E180" s="16" t="s">
        <v>1157</v>
      </c>
      <c r="F180" s="38" t="s">
        <v>1158</v>
      </c>
      <c r="G180" s="15">
        <v>3.0</v>
      </c>
      <c r="H180" s="15" t="s">
        <v>989</v>
      </c>
      <c r="I180" s="9" t="s">
        <v>26</v>
      </c>
      <c r="J180" s="11" t="s">
        <v>1159</v>
      </c>
      <c r="K180" s="13" t="s">
        <v>1160</v>
      </c>
      <c r="L180" s="13" t="s">
        <v>1161</v>
      </c>
      <c r="M180" s="13" t="s">
        <v>1162</v>
      </c>
      <c r="N180" s="13" t="s">
        <v>1163</v>
      </c>
      <c r="O180" s="13" t="s">
        <v>1164</v>
      </c>
      <c r="P180" s="13" t="s">
        <v>1161</v>
      </c>
      <c r="Q180" s="13" t="s">
        <v>1165</v>
      </c>
    </row>
    <row r="181" hidden="1">
      <c r="A181" s="22" t="s">
        <v>1166</v>
      </c>
      <c r="B181" s="81" t="s">
        <v>986</v>
      </c>
      <c r="C181" s="15">
        <v>2.0</v>
      </c>
      <c r="D181" s="9" t="s">
        <v>70</v>
      </c>
      <c r="E181" s="7" t="s">
        <v>1167</v>
      </c>
      <c r="F181" s="10" t="s">
        <v>1168</v>
      </c>
      <c r="G181" s="9">
        <v>3.0</v>
      </c>
      <c r="H181" s="9" t="s">
        <v>1038</v>
      </c>
      <c r="I181" s="9" t="s">
        <v>62</v>
      </c>
    </row>
    <row r="182" ht="14.25" customHeight="1">
      <c r="A182" s="7" t="s">
        <v>1169</v>
      </c>
      <c r="B182" s="7" t="s">
        <v>986</v>
      </c>
      <c r="C182" s="9">
        <v>1.0</v>
      </c>
      <c r="D182" s="9" t="s">
        <v>609</v>
      </c>
      <c r="E182" s="7" t="s">
        <v>1170</v>
      </c>
      <c r="F182" s="10" t="s">
        <v>1171</v>
      </c>
      <c r="G182" s="9">
        <v>1.0</v>
      </c>
      <c r="H182" s="9" t="s">
        <v>995</v>
      </c>
      <c r="I182" s="9" t="s">
        <v>26</v>
      </c>
      <c r="J182" s="11" t="s">
        <v>1172</v>
      </c>
      <c r="K182" s="13" t="s">
        <v>1173</v>
      </c>
      <c r="L182" s="13" t="s">
        <v>1174</v>
      </c>
      <c r="M182" s="13" t="s">
        <v>1175</v>
      </c>
      <c r="N182" s="13" t="s">
        <v>1176</v>
      </c>
      <c r="O182" s="13" t="s">
        <v>1177</v>
      </c>
      <c r="P182" s="13" t="s">
        <v>1178</v>
      </c>
      <c r="Q182" s="13" t="s">
        <v>1179</v>
      </c>
    </row>
    <row r="183" hidden="1">
      <c r="A183" s="7" t="s">
        <v>1180</v>
      </c>
      <c r="B183" s="81" t="s">
        <v>986</v>
      </c>
      <c r="C183" s="15">
        <v>2.0</v>
      </c>
      <c r="D183" s="9" t="s">
        <v>37</v>
      </c>
      <c r="E183" s="83" t="s">
        <v>1181</v>
      </c>
      <c r="F183" s="10" t="s">
        <v>1182</v>
      </c>
      <c r="G183" s="9">
        <v>3.0</v>
      </c>
      <c r="H183" s="9" t="s">
        <v>1038</v>
      </c>
      <c r="I183" s="9" t="s">
        <v>62</v>
      </c>
    </row>
    <row r="184" ht="16.5" hidden="1" customHeight="1">
      <c r="A184" s="22" t="s">
        <v>1183</v>
      </c>
      <c r="B184" s="81" t="s">
        <v>986</v>
      </c>
      <c r="C184" s="9">
        <v>0.0</v>
      </c>
      <c r="D184" s="9" t="s">
        <v>217</v>
      </c>
      <c r="E184" s="7" t="s">
        <v>1184</v>
      </c>
      <c r="F184" s="10" t="s">
        <v>1185</v>
      </c>
      <c r="G184" s="9">
        <v>4.0</v>
      </c>
      <c r="H184" s="9" t="s">
        <v>1110</v>
      </c>
      <c r="I184" s="15" t="s">
        <v>62</v>
      </c>
    </row>
    <row r="185" hidden="1">
      <c r="A185" s="16" t="s">
        <v>1186</v>
      </c>
      <c r="B185" s="81" t="s">
        <v>986</v>
      </c>
      <c r="C185" s="9">
        <v>2.0</v>
      </c>
      <c r="D185" s="9" t="s">
        <v>946</v>
      </c>
      <c r="E185" s="7" t="s">
        <v>1187</v>
      </c>
      <c r="F185" s="10" t="s">
        <v>607</v>
      </c>
      <c r="G185" s="9">
        <v>2.0</v>
      </c>
      <c r="H185" s="9" t="s">
        <v>1188</v>
      </c>
      <c r="I185" s="9" t="s">
        <v>62</v>
      </c>
    </row>
    <row r="186">
      <c r="A186" s="16" t="s">
        <v>1189</v>
      </c>
      <c r="B186" s="7" t="s">
        <v>986</v>
      </c>
      <c r="C186" s="9">
        <v>1.0</v>
      </c>
      <c r="D186" s="9" t="s">
        <v>37</v>
      </c>
      <c r="E186" s="7" t="s">
        <v>54</v>
      </c>
      <c r="F186" s="10" t="s">
        <v>1190</v>
      </c>
      <c r="G186" s="9">
        <v>1.0</v>
      </c>
      <c r="H186" s="9" t="s">
        <v>1107</v>
      </c>
      <c r="I186" s="9" t="s">
        <v>26</v>
      </c>
      <c r="J186" s="11" t="s">
        <v>1191</v>
      </c>
      <c r="K186" s="13" t="s">
        <v>1192</v>
      </c>
      <c r="L186" s="13" t="s">
        <v>1193</v>
      </c>
      <c r="M186" s="13" t="s">
        <v>1194</v>
      </c>
      <c r="N186" s="13" t="s">
        <v>1195</v>
      </c>
      <c r="O186" s="13" t="s">
        <v>1196</v>
      </c>
      <c r="P186" s="13" t="s">
        <v>1197</v>
      </c>
      <c r="Q186" s="13" t="s">
        <v>1198</v>
      </c>
      <c r="R186" s="13" t="s">
        <v>1199</v>
      </c>
      <c r="S186" s="13" t="s">
        <v>1200</v>
      </c>
    </row>
    <row r="187" hidden="1">
      <c r="A187" s="16" t="s">
        <v>1201</v>
      </c>
      <c r="B187" s="79" t="s">
        <v>986</v>
      </c>
      <c r="C187" s="15">
        <v>2.0</v>
      </c>
      <c r="D187" s="15" t="s">
        <v>97</v>
      </c>
      <c r="E187" s="16" t="s">
        <v>1202</v>
      </c>
      <c r="F187" s="17" t="s">
        <v>1203</v>
      </c>
      <c r="G187" s="15">
        <v>1.0</v>
      </c>
      <c r="H187" s="15" t="s">
        <v>1107</v>
      </c>
      <c r="I187" s="15" t="s">
        <v>26</v>
      </c>
    </row>
    <row r="188">
      <c r="A188" s="22" t="s">
        <v>1204</v>
      </c>
      <c r="B188" s="7" t="s">
        <v>986</v>
      </c>
      <c r="C188" s="9">
        <v>1.0</v>
      </c>
      <c r="D188" s="9" t="s">
        <v>114</v>
      </c>
      <c r="E188" s="7" t="s">
        <v>1205</v>
      </c>
      <c r="F188" s="10" t="s">
        <v>1206</v>
      </c>
      <c r="G188" s="9">
        <v>3.0</v>
      </c>
      <c r="H188" s="9" t="s">
        <v>1207</v>
      </c>
      <c r="I188" s="9" t="s">
        <v>26</v>
      </c>
      <c r="J188" s="11" t="s">
        <v>1208</v>
      </c>
      <c r="K188" s="13" t="s">
        <v>1209</v>
      </c>
      <c r="L188" s="13" t="s">
        <v>1210</v>
      </c>
      <c r="M188" s="13" t="s">
        <v>1211</v>
      </c>
      <c r="N188" s="13" t="s">
        <v>1212</v>
      </c>
      <c r="O188" s="13" t="s">
        <v>1213</v>
      </c>
    </row>
    <row r="189">
      <c r="A189" s="22" t="s">
        <v>1214</v>
      </c>
      <c r="B189" s="7" t="s">
        <v>986</v>
      </c>
      <c r="C189" s="9">
        <v>1.0</v>
      </c>
      <c r="D189" s="9" t="s">
        <v>380</v>
      </c>
      <c r="E189" s="7" t="s">
        <v>1215</v>
      </c>
      <c r="F189" s="10" t="s">
        <v>1216</v>
      </c>
      <c r="G189" s="9">
        <v>2.0</v>
      </c>
      <c r="H189" s="9" t="s">
        <v>1038</v>
      </c>
      <c r="I189" s="9" t="s">
        <v>26</v>
      </c>
      <c r="J189" s="11" t="s">
        <v>1217</v>
      </c>
      <c r="K189" s="13" t="s">
        <v>1218</v>
      </c>
      <c r="L189" s="13" t="s">
        <v>1219</v>
      </c>
      <c r="M189" s="13" t="s">
        <v>1220</v>
      </c>
      <c r="N189" s="13" t="s">
        <v>1221</v>
      </c>
      <c r="O189" s="13" t="s">
        <v>1222</v>
      </c>
      <c r="P189" s="13" t="s">
        <v>1223</v>
      </c>
      <c r="Q189" s="13" t="s">
        <v>1224</v>
      </c>
    </row>
    <row r="190">
      <c r="A190" s="22" t="s">
        <v>1225</v>
      </c>
      <c r="B190" s="7" t="s">
        <v>986</v>
      </c>
      <c r="C190" s="9">
        <v>1.0</v>
      </c>
      <c r="D190" s="9" t="s">
        <v>70</v>
      </c>
      <c r="E190" s="7" t="s">
        <v>1226</v>
      </c>
      <c r="F190" s="10" t="s">
        <v>1227</v>
      </c>
      <c r="G190" s="9">
        <v>4.0</v>
      </c>
      <c r="H190" s="9" t="s">
        <v>1228</v>
      </c>
      <c r="I190" s="9" t="s">
        <v>26</v>
      </c>
      <c r="J190" s="11" t="s">
        <v>1229</v>
      </c>
      <c r="K190" s="13" t="s">
        <v>1230</v>
      </c>
      <c r="L190" s="13" t="s">
        <v>1231</v>
      </c>
      <c r="M190" s="13" t="s">
        <v>1232</v>
      </c>
      <c r="N190" s="13" t="s">
        <v>1233</v>
      </c>
      <c r="O190" s="13" t="s">
        <v>1234</v>
      </c>
    </row>
    <row r="191">
      <c r="A191" s="7" t="s">
        <v>1235</v>
      </c>
      <c r="B191" s="7" t="s">
        <v>986</v>
      </c>
      <c r="C191" s="9">
        <v>1.0</v>
      </c>
      <c r="D191" s="9" t="s">
        <v>946</v>
      </c>
      <c r="E191" s="73" t="s">
        <v>1236</v>
      </c>
      <c r="F191" s="17" t="s">
        <v>1237</v>
      </c>
      <c r="G191" s="9">
        <v>6.0</v>
      </c>
      <c r="H191" s="9" t="s">
        <v>1238</v>
      </c>
      <c r="I191" s="9" t="s">
        <v>26</v>
      </c>
      <c r="J191" s="11" t="s">
        <v>1239</v>
      </c>
      <c r="K191" s="13" t="s">
        <v>1240</v>
      </c>
      <c r="L191" s="13" t="s">
        <v>1241</v>
      </c>
      <c r="M191" s="13" t="s">
        <v>1242</v>
      </c>
      <c r="N191" s="13" t="s">
        <v>1243</v>
      </c>
      <c r="O191" s="13" t="s">
        <v>1244</v>
      </c>
      <c r="P191" s="13" t="s">
        <v>1245</v>
      </c>
    </row>
    <row r="192" hidden="1">
      <c r="A192" s="22" t="s">
        <v>1246</v>
      </c>
      <c r="B192" s="81" t="s">
        <v>986</v>
      </c>
      <c r="C192" s="9">
        <v>2.0</v>
      </c>
      <c r="D192" s="9" t="s">
        <v>97</v>
      </c>
      <c r="E192" s="7" t="s">
        <v>1247</v>
      </c>
      <c r="F192" s="10" t="s">
        <v>1248</v>
      </c>
      <c r="G192" s="9">
        <v>1.0</v>
      </c>
      <c r="H192" s="9" t="s">
        <v>995</v>
      </c>
      <c r="I192" s="9" t="s">
        <v>26</v>
      </c>
    </row>
    <row r="193" hidden="1">
      <c r="A193" s="7" t="s">
        <v>1249</v>
      </c>
      <c r="B193" s="81" t="s">
        <v>986</v>
      </c>
      <c r="C193" s="15">
        <v>2.0</v>
      </c>
      <c r="D193" s="9" t="s">
        <v>229</v>
      </c>
      <c r="E193" s="7" t="s">
        <v>1250</v>
      </c>
      <c r="F193" s="10" t="s">
        <v>24</v>
      </c>
      <c r="G193" s="9">
        <v>6.0</v>
      </c>
      <c r="H193" s="9" t="s">
        <v>1207</v>
      </c>
      <c r="I193" s="9" t="s">
        <v>32</v>
      </c>
    </row>
    <row r="194">
      <c r="A194" s="24" t="s">
        <v>1251</v>
      </c>
      <c r="B194" s="7" t="s">
        <v>986</v>
      </c>
      <c r="C194" s="9">
        <v>1.0</v>
      </c>
      <c r="D194" s="21" t="s">
        <v>97</v>
      </c>
      <c r="E194" s="73" t="s">
        <v>1252</v>
      </c>
      <c r="F194" s="63" t="s">
        <v>1253</v>
      </c>
      <c r="G194" s="9">
        <v>2.0</v>
      </c>
      <c r="H194" s="9" t="s">
        <v>1254</v>
      </c>
      <c r="I194" s="15" t="s">
        <v>26</v>
      </c>
      <c r="J194" s="11" t="s">
        <v>1255</v>
      </c>
      <c r="K194" s="13" t="s">
        <v>1256</v>
      </c>
      <c r="L194" s="13" t="s">
        <v>1257</v>
      </c>
      <c r="M194" s="13" t="s">
        <v>1258</v>
      </c>
      <c r="N194" s="13" t="s">
        <v>1259</v>
      </c>
      <c r="O194" s="13" t="s">
        <v>1260</v>
      </c>
    </row>
    <row r="195" hidden="1">
      <c r="A195" s="16" t="s">
        <v>1261</v>
      </c>
      <c r="B195" s="79" t="s">
        <v>986</v>
      </c>
      <c r="C195" s="15">
        <v>2.0</v>
      </c>
      <c r="D195" s="15" t="s">
        <v>946</v>
      </c>
      <c r="E195" s="16" t="s">
        <v>1262</v>
      </c>
      <c r="F195" s="17" t="s">
        <v>24</v>
      </c>
      <c r="G195" s="15">
        <v>1.0</v>
      </c>
      <c r="H195" s="15" t="s">
        <v>1107</v>
      </c>
      <c r="I195" s="15" t="s">
        <v>26</v>
      </c>
    </row>
    <row r="196">
      <c r="A196" s="16" t="s">
        <v>1263</v>
      </c>
      <c r="B196" s="7" t="s">
        <v>986</v>
      </c>
      <c r="C196" s="9">
        <v>1.0</v>
      </c>
      <c r="D196" s="9" t="s">
        <v>394</v>
      </c>
      <c r="E196" s="7" t="s">
        <v>1264</v>
      </c>
      <c r="F196" s="10" t="s">
        <v>1265</v>
      </c>
      <c r="G196" s="9">
        <v>1.0</v>
      </c>
      <c r="H196" s="9" t="s">
        <v>995</v>
      </c>
      <c r="I196" s="21" t="s">
        <v>26</v>
      </c>
      <c r="J196" s="11" t="s">
        <v>1266</v>
      </c>
      <c r="K196" s="13" t="s">
        <v>1267</v>
      </c>
      <c r="L196" s="13" t="s">
        <v>1268</v>
      </c>
      <c r="M196" s="13" t="s">
        <v>1269</v>
      </c>
      <c r="N196" s="13" t="s">
        <v>1270</v>
      </c>
      <c r="O196" s="13" t="s">
        <v>1271</v>
      </c>
      <c r="P196" s="13" t="s">
        <v>1272</v>
      </c>
      <c r="Q196" s="13" t="s">
        <v>1273</v>
      </c>
    </row>
    <row r="197">
      <c r="A197" s="7" t="s">
        <v>1274</v>
      </c>
      <c r="B197" s="7" t="s">
        <v>986</v>
      </c>
      <c r="C197" s="9">
        <v>1.0</v>
      </c>
      <c r="D197" s="9" t="s">
        <v>946</v>
      </c>
      <c r="E197" s="7" t="s">
        <v>1275</v>
      </c>
      <c r="F197" s="10" t="s">
        <v>1276</v>
      </c>
      <c r="G197" s="9">
        <v>0.0</v>
      </c>
      <c r="H197" s="9" t="s">
        <v>1228</v>
      </c>
      <c r="I197" s="9" t="s">
        <v>26</v>
      </c>
      <c r="J197" s="11" t="s">
        <v>1277</v>
      </c>
      <c r="K197" s="13" t="s">
        <v>1278</v>
      </c>
      <c r="L197" s="13" t="s">
        <v>1279</v>
      </c>
      <c r="M197" s="13" t="s">
        <v>1280</v>
      </c>
      <c r="N197" s="13" t="s">
        <v>1281</v>
      </c>
      <c r="O197" s="13" t="s">
        <v>1282</v>
      </c>
    </row>
    <row r="198">
      <c r="A198" s="7" t="s">
        <v>1283</v>
      </c>
      <c r="B198" s="7" t="s">
        <v>986</v>
      </c>
      <c r="C198" s="9">
        <v>1.0</v>
      </c>
      <c r="D198" s="9" t="s">
        <v>97</v>
      </c>
      <c r="E198" s="73" t="s">
        <v>1284</v>
      </c>
      <c r="F198" s="84" t="s">
        <v>1285</v>
      </c>
      <c r="G198" s="9">
        <v>2.0</v>
      </c>
      <c r="H198" s="9" t="s">
        <v>989</v>
      </c>
      <c r="I198" s="9" t="s">
        <v>26</v>
      </c>
      <c r="J198" s="11" t="s">
        <v>1286</v>
      </c>
      <c r="K198" s="13" t="s">
        <v>1287</v>
      </c>
      <c r="L198" s="13" t="s">
        <v>1288</v>
      </c>
    </row>
    <row r="199">
      <c r="A199" s="16" t="s">
        <v>1289</v>
      </c>
      <c r="B199" s="7" t="s">
        <v>986</v>
      </c>
      <c r="C199" s="9">
        <v>1.0</v>
      </c>
      <c r="D199" s="9" t="s">
        <v>128</v>
      </c>
      <c r="E199" s="32" t="s">
        <v>1290</v>
      </c>
      <c r="F199" s="10" t="s">
        <v>1291</v>
      </c>
      <c r="G199" s="9">
        <v>4.0</v>
      </c>
      <c r="H199" s="9" t="s">
        <v>1038</v>
      </c>
      <c r="I199" s="9" t="s">
        <v>62</v>
      </c>
      <c r="J199" s="11" t="s">
        <v>1292</v>
      </c>
      <c r="K199" s="13" t="s">
        <v>1293</v>
      </c>
      <c r="L199" s="13" t="s">
        <v>1294</v>
      </c>
      <c r="M199" s="13" t="s">
        <v>1295</v>
      </c>
      <c r="N199" s="13" t="s">
        <v>1296</v>
      </c>
      <c r="O199" s="13" t="s">
        <v>1297</v>
      </c>
      <c r="P199" s="13" t="s">
        <v>1298</v>
      </c>
      <c r="Q199" s="13" t="s">
        <v>1299</v>
      </c>
    </row>
    <row r="200">
      <c r="A200" s="7" t="s">
        <v>1300</v>
      </c>
      <c r="B200" s="7" t="s">
        <v>986</v>
      </c>
      <c r="C200" s="9">
        <v>1.0</v>
      </c>
      <c r="D200" s="9" t="s">
        <v>37</v>
      </c>
      <c r="E200" s="7" t="s">
        <v>1301</v>
      </c>
      <c r="F200" s="10" t="s">
        <v>1302</v>
      </c>
      <c r="G200" s="9">
        <v>1.0</v>
      </c>
      <c r="H200" s="9" t="s">
        <v>995</v>
      </c>
      <c r="I200" s="9" t="s">
        <v>62</v>
      </c>
      <c r="J200" s="11" t="s">
        <v>1303</v>
      </c>
      <c r="K200" s="13" t="s">
        <v>1304</v>
      </c>
      <c r="L200" s="13" t="s">
        <v>1305</v>
      </c>
      <c r="M200" s="13" t="s">
        <v>1306</v>
      </c>
    </row>
    <row r="201" hidden="1">
      <c r="A201" s="16" t="s">
        <v>1307</v>
      </c>
      <c r="B201" s="16" t="s">
        <v>986</v>
      </c>
      <c r="C201" s="15">
        <v>2.0</v>
      </c>
      <c r="D201" s="15" t="s">
        <v>1308</v>
      </c>
      <c r="E201" s="16" t="s">
        <v>1309</v>
      </c>
      <c r="F201" s="17" t="s">
        <v>1310</v>
      </c>
      <c r="G201" s="15">
        <v>5.0</v>
      </c>
      <c r="H201" s="15" t="s">
        <v>390</v>
      </c>
      <c r="I201" s="15" t="s">
        <v>26</v>
      </c>
    </row>
    <row r="202" hidden="1">
      <c r="A202" s="51" t="s">
        <v>1311</v>
      </c>
      <c r="B202" s="54" t="s">
        <v>1312</v>
      </c>
      <c r="C202" s="53">
        <v>2.0</v>
      </c>
      <c r="D202" s="53" t="s">
        <v>1313</v>
      </c>
      <c r="E202" s="54" t="s">
        <v>1314</v>
      </c>
      <c r="F202" s="55" t="s">
        <v>24</v>
      </c>
      <c r="G202" s="56">
        <v>7.0</v>
      </c>
      <c r="H202" s="53" t="s">
        <v>1315</v>
      </c>
      <c r="I202" s="56" t="s">
        <v>62</v>
      </c>
    </row>
    <row r="203">
      <c r="A203" s="22" t="s">
        <v>1316</v>
      </c>
      <c r="B203" s="7" t="s">
        <v>986</v>
      </c>
      <c r="C203" s="9">
        <v>1.0</v>
      </c>
      <c r="D203" s="9" t="s">
        <v>229</v>
      </c>
      <c r="E203" s="7" t="s">
        <v>1317</v>
      </c>
      <c r="F203" s="10" t="s">
        <v>1318</v>
      </c>
      <c r="G203" s="9">
        <v>2.0</v>
      </c>
      <c r="H203" s="9" t="s">
        <v>989</v>
      </c>
      <c r="I203" s="9" t="s">
        <v>62</v>
      </c>
      <c r="J203" s="11" t="s">
        <v>1319</v>
      </c>
      <c r="K203" s="13" t="s">
        <v>1320</v>
      </c>
      <c r="L203" s="13" t="s">
        <v>1321</v>
      </c>
      <c r="M203" s="13" t="s">
        <v>1322</v>
      </c>
    </row>
    <row r="204" hidden="1">
      <c r="A204" s="7" t="s">
        <v>1323</v>
      </c>
      <c r="B204" s="7" t="s">
        <v>1312</v>
      </c>
      <c r="C204" s="9">
        <v>2.0</v>
      </c>
      <c r="D204" s="9" t="s">
        <v>355</v>
      </c>
      <c r="E204" s="16" t="s">
        <v>1324</v>
      </c>
      <c r="F204" s="17" t="s">
        <v>1325</v>
      </c>
      <c r="G204" s="9">
        <v>3.0</v>
      </c>
      <c r="H204" s="9" t="s">
        <v>1326</v>
      </c>
      <c r="I204" s="9" t="s">
        <v>62</v>
      </c>
    </row>
    <row r="205">
      <c r="A205" s="7" t="s">
        <v>1327</v>
      </c>
      <c r="B205" s="7" t="s">
        <v>986</v>
      </c>
      <c r="C205" s="9">
        <v>1.0</v>
      </c>
      <c r="D205" s="9" t="s">
        <v>70</v>
      </c>
      <c r="E205" s="7" t="s">
        <v>1328</v>
      </c>
      <c r="F205" s="10" t="s">
        <v>1329</v>
      </c>
      <c r="G205" s="9">
        <v>2.0</v>
      </c>
      <c r="H205" s="9" t="s">
        <v>1038</v>
      </c>
      <c r="I205" s="9" t="s">
        <v>62</v>
      </c>
      <c r="J205" s="11" t="s">
        <v>1330</v>
      </c>
      <c r="K205" s="13" t="s">
        <v>1331</v>
      </c>
      <c r="L205" s="13" t="s">
        <v>1332</v>
      </c>
      <c r="M205" s="13" t="s">
        <v>1333</v>
      </c>
      <c r="N205" s="13" t="s">
        <v>1334</v>
      </c>
      <c r="O205" s="13" t="s">
        <v>1335</v>
      </c>
    </row>
    <row r="206" hidden="1">
      <c r="A206" s="16" t="s">
        <v>1336</v>
      </c>
      <c r="B206" s="16" t="s">
        <v>1312</v>
      </c>
      <c r="C206" s="15">
        <v>2.0</v>
      </c>
      <c r="D206" s="15" t="s">
        <v>217</v>
      </c>
      <c r="E206" s="16" t="s">
        <v>1337</v>
      </c>
      <c r="F206" s="17" t="s">
        <v>147</v>
      </c>
      <c r="G206" s="15">
        <v>2.0</v>
      </c>
      <c r="H206" s="15" t="s">
        <v>1338</v>
      </c>
      <c r="I206" s="15" t="s">
        <v>62</v>
      </c>
    </row>
    <row r="207" hidden="1">
      <c r="A207" s="16" t="s">
        <v>1339</v>
      </c>
      <c r="B207" s="16" t="s">
        <v>1312</v>
      </c>
      <c r="C207" s="15">
        <v>2.0</v>
      </c>
      <c r="D207" s="15" t="s">
        <v>1340</v>
      </c>
      <c r="E207" s="16" t="s">
        <v>1341</v>
      </c>
      <c r="F207" s="33"/>
      <c r="G207" s="15">
        <v>3.0</v>
      </c>
      <c r="H207" s="15" t="s">
        <v>1326</v>
      </c>
      <c r="I207" s="15" t="s">
        <v>62</v>
      </c>
    </row>
    <row r="208">
      <c r="A208" s="85" t="s">
        <v>1342</v>
      </c>
      <c r="B208" s="7" t="s">
        <v>986</v>
      </c>
      <c r="C208" s="9">
        <v>1.0</v>
      </c>
      <c r="D208" s="9" t="s">
        <v>886</v>
      </c>
      <c r="E208" s="73" t="s">
        <v>1343</v>
      </c>
      <c r="F208" s="86" t="s">
        <v>1344</v>
      </c>
      <c r="G208" s="9">
        <v>3.0</v>
      </c>
      <c r="H208" s="9" t="s">
        <v>1038</v>
      </c>
      <c r="I208" s="21" t="s">
        <v>62</v>
      </c>
      <c r="J208" s="11" t="s">
        <v>1345</v>
      </c>
      <c r="K208" s="13" t="s">
        <v>1346</v>
      </c>
      <c r="L208" s="13" t="s">
        <v>1347</v>
      </c>
      <c r="M208" s="13" t="s">
        <v>1348</v>
      </c>
      <c r="N208" s="13" t="s">
        <v>1349</v>
      </c>
      <c r="O208" s="13" t="s">
        <v>1350</v>
      </c>
      <c r="P208" s="13" t="s">
        <v>1351</v>
      </c>
      <c r="Q208" s="13" t="s">
        <v>1352</v>
      </c>
      <c r="R208" s="13" t="s">
        <v>1353</v>
      </c>
    </row>
    <row r="209" hidden="1">
      <c r="A209" s="7" t="s">
        <v>1354</v>
      </c>
      <c r="B209" s="7" t="s">
        <v>1312</v>
      </c>
      <c r="C209" s="9">
        <v>2.0</v>
      </c>
      <c r="D209" s="9" t="s">
        <v>394</v>
      </c>
      <c r="E209" s="7" t="s">
        <v>1355</v>
      </c>
      <c r="F209" s="10" t="s">
        <v>1356</v>
      </c>
      <c r="G209" s="9">
        <v>3.0</v>
      </c>
      <c r="H209" s="9" t="s">
        <v>1326</v>
      </c>
      <c r="I209" s="9" t="s">
        <v>62</v>
      </c>
    </row>
    <row r="210">
      <c r="A210" s="24" t="s">
        <v>1357</v>
      </c>
      <c r="B210" s="7" t="s">
        <v>986</v>
      </c>
      <c r="C210" s="9">
        <v>1.0</v>
      </c>
      <c r="D210" s="9" t="s">
        <v>128</v>
      </c>
      <c r="E210" s="7" t="s">
        <v>1358</v>
      </c>
      <c r="F210" s="10" t="s">
        <v>1359</v>
      </c>
      <c r="G210" s="21">
        <v>3.0</v>
      </c>
      <c r="H210" s="9" t="s">
        <v>1228</v>
      </c>
      <c r="I210" s="21" t="s">
        <v>62</v>
      </c>
      <c r="J210" s="11" t="s">
        <v>1360</v>
      </c>
      <c r="K210" s="13" t="s">
        <v>1361</v>
      </c>
      <c r="L210" s="13" t="s">
        <v>1362</v>
      </c>
      <c r="M210" s="13" t="s">
        <v>1363</v>
      </c>
      <c r="N210" s="13" t="s">
        <v>1364</v>
      </c>
      <c r="O210" s="13" t="s">
        <v>1365</v>
      </c>
      <c r="P210" s="13" t="s">
        <v>1366</v>
      </c>
      <c r="Q210" s="13" t="s">
        <v>1367</v>
      </c>
      <c r="R210" s="13" t="s">
        <v>1368</v>
      </c>
      <c r="S210" s="13" t="s">
        <v>1369</v>
      </c>
      <c r="T210" s="13" t="s">
        <v>1370</v>
      </c>
    </row>
    <row r="211" hidden="1">
      <c r="A211" s="7" t="s">
        <v>1371</v>
      </c>
      <c r="B211" s="7" t="s">
        <v>1372</v>
      </c>
      <c r="C211" s="9">
        <v>2.0</v>
      </c>
      <c r="D211" s="9" t="s">
        <v>37</v>
      </c>
      <c r="E211" s="87" t="s">
        <v>1373</v>
      </c>
      <c r="F211" s="10" t="s">
        <v>786</v>
      </c>
      <c r="G211" s="9">
        <v>3.0</v>
      </c>
      <c r="H211" s="9" t="s">
        <v>1374</v>
      </c>
      <c r="I211" s="9" t="s">
        <v>62</v>
      </c>
    </row>
    <row r="212">
      <c r="A212" s="16" t="s">
        <v>1375</v>
      </c>
      <c r="B212" s="16" t="s">
        <v>986</v>
      </c>
      <c r="C212" s="15">
        <v>1.0</v>
      </c>
      <c r="D212" s="15" t="s">
        <v>128</v>
      </c>
      <c r="E212" s="16" t="s">
        <v>1376</v>
      </c>
      <c r="F212" s="17" t="s">
        <v>1377</v>
      </c>
      <c r="G212" s="15">
        <v>2.0</v>
      </c>
      <c r="H212" s="15" t="s">
        <v>1188</v>
      </c>
      <c r="I212" s="15" t="s">
        <v>62</v>
      </c>
      <c r="J212" s="11" t="s">
        <v>1378</v>
      </c>
      <c r="K212" s="13" t="s">
        <v>1379</v>
      </c>
      <c r="L212" s="13" t="s">
        <v>1380</v>
      </c>
      <c r="M212" s="13" t="s">
        <v>1381</v>
      </c>
      <c r="N212" s="13" t="s">
        <v>1382</v>
      </c>
      <c r="O212" s="13" t="s">
        <v>1383</v>
      </c>
      <c r="P212" s="13" t="s">
        <v>1384</v>
      </c>
      <c r="Q212" s="13" t="s">
        <v>1385</v>
      </c>
      <c r="R212" s="13" t="s">
        <v>1386</v>
      </c>
      <c r="S212" s="13" t="s">
        <v>1387</v>
      </c>
    </row>
    <row r="213" hidden="1">
      <c r="A213" s="16" t="s">
        <v>1388</v>
      </c>
      <c r="B213" s="16" t="s">
        <v>1372</v>
      </c>
      <c r="C213" s="15">
        <v>2.0</v>
      </c>
      <c r="D213" s="15" t="s">
        <v>1389</v>
      </c>
      <c r="E213" s="16" t="s">
        <v>1390</v>
      </c>
      <c r="F213" s="17" t="s">
        <v>786</v>
      </c>
      <c r="G213" s="15">
        <v>3.0</v>
      </c>
      <c r="H213" s="15" t="s">
        <v>1391</v>
      </c>
      <c r="I213" s="9" t="s">
        <v>62</v>
      </c>
    </row>
    <row r="214">
      <c r="A214" s="69" t="s">
        <v>1392</v>
      </c>
      <c r="B214" s="88" t="s">
        <v>986</v>
      </c>
      <c r="C214" s="71">
        <v>1.0</v>
      </c>
      <c r="D214" s="71" t="s">
        <v>287</v>
      </c>
      <c r="E214" s="69" t="s">
        <v>1393</v>
      </c>
      <c r="F214" s="69"/>
      <c r="G214" s="71">
        <v>4.0</v>
      </c>
      <c r="H214" s="71" t="s">
        <v>390</v>
      </c>
      <c r="I214" s="71" t="s">
        <v>62</v>
      </c>
      <c r="J214" s="11" t="s">
        <v>1394</v>
      </c>
      <c r="K214" s="72" t="s">
        <v>1395</v>
      </c>
      <c r="L214" s="72" t="s">
        <v>1396</v>
      </c>
      <c r="M214" s="72" t="s">
        <v>1397</v>
      </c>
      <c r="N214" s="72" t="s">
        <v>1398</v>
      </c>
      <c r="O214" s="72" t="s">
        <v>1399</v>
      </c>
      <c r="P214" s="72" t="s">
        <v>1400</v>
      </c>
      <c r="Q214" s="72" t="s">
        <v>1401</v>
      </c>
      <c r="R214" s="72" t="s">
        <v>1402</v>
      </c>
      <c r="S214" s="28"/>
      <c r="T214" s="28"/>
    </row>
    <row r="215" hidden="1">
      <c r="A215" s="22" t="s">
        <v>1403</v>
      </c>
      <c r="B215" s="7" t="s">
        <v>1372</v>
      </c>
      <c r="C215" s="9">
        <v>2.0</v>
      </c>
      <c r="D215" s="9" t="s">
        <v>298</v>
      </c>
      <c r="E215" s="87" t="s">
        <v>1404</v>
      </c>
      <c r="F215" s="10" t="s">
        <v>1405</v>
      </c>
      <c r="G215" s="9">
        <v>2.0</v>
      </c>
      <c r="H215" s="74" t="s">
        <v>1374</v>
      </c>
      <c r="I215" s="9" t="s">
        <v>62</v>
      </c>
    </row>
    <row r="216" hidden="1">
      <c r="A216" s="16" t="s">
        <v>1406</v>
      </c>
      <c r="B216" s="16" t="s">
        <v>1372</v>
      </c>
      <c r="C216" s="15">
        <v>2.0</v>
      </c>
      <c r="D216" s="15" t="s">
        <v>1407</v>
      </c>
      <c r="E216" s="16" t="s">
        <v>1408</v>
      </c>
      <c r="F216" s="33"/>
      <c r="G216" s="15">
        <v>3.0</v>
      </c>
      <c r="H216" s="15" t="s">
        <v>1409</v>
      </c>
      <c r="I216" s="9" t="s">
        <v>62</v>
      </c>
    </row>
    <row r="217" hidden="1">
      <c r="A217" s="16" t="s">
        <v>1410</v>
      </c>
      <c r="B217" s="16" t="s">
        <v>1372</v>
      </c>
      <c r="C217" s="15">
        <v>2.0</v>
      </c>
      <c r="D217" s="15" t="s">
        <v>1118</v>
      </c>
      <c r="E217" s="16" t="s">
        <v>1411</v>
      </c>
      <c r="F217" s="33"/>
      <c r="G217" s="15">
        <v>7.0</v>
      </c>
      <c r="H217" s="15" t="s">
        <v>1412</v>
      </c>
      <c r="I217" s="15" t="s">
        <v>62</v>
      </c>
    </row>
    <row r="218" hidden="1">
      <c r="A218" s="16" t="s">
        <v>1413</v>
      </c>
      <c r="B218" s="16" t="s">
        <v>1372</v>
      </c>
      <c r="C218" s="15">
        <v>2.0</v>
      </c>
      <c r="D218" s="15" t="s">
        <v>37</v>
      </c>
      <c r="E218" s="16" t="s">
        <v>1414</v>
      </c>
      <c r="F218" s="33"/>
      <c r="G218" s="15">
        <v>1.0</v>
      </c>
      <c r="H218" s="15" t="s">
        <v>1415</v>
      </c>
      <c r="I218" s="15" t="s">
        <v>26</v>
      </c>
    </row>
    <row r="219">
      <c r="A219" s="16" t="s">
        <v>1416</v>
      </c>
      <c r="B219" s="7" t="s">
        <v>986</v>
      </c>
      <c r="C219" s="9">
        <v>1.0</v>
      </c>
      <c r="D219" s="9" t="s">
        <v>128</v>
      </c>
      <c r="E219" s="16" t="s">
        <v>1417</v>
      </c>
      <c r="F219" s="17" t="s">
        <v>1418</v>
      </c>
      <c r="G219" s="9">
        <v>2.0</v>
      </c>
      <c r="H219" s="9" t="s">
        <v>390</v>
      </c>
      <c r="I219" s="9" t="s">
        <v>32</v>
      </c>
      <c r="J219" s="57" t="s">
        <v>1419</v>
      </c>
      <c r="K219" s="13" t="s">
        <v>1420</v>
      </c>
      <c r="L219" s="13" t="s">
        <v>1421</v>
      </c>
      <c r="M219" s="13" t="s">
        <v>1422</v>
      </c>
      <c r="N219" s="13" t="s">
        <v>1423</v>
      </c>
      <c r="O219" s="13" t="s">
        <v>1424</v>
      </c>
    </row>
    <row r="220">
      <c r="A220" s="16" t="s">
        <v>1425</v>
      </c>
      <c r="B220" s="16" t="s">
        <v>986</v>
      </c>
      <c r="C220" s="15">
        <v>1.0</v>
      </c>
      <c r="D220" s="15" t="s">
        <v>114</v>
      </c>
      <c r="E220" s="16" t="s">
        <v>1426</v>
      </c>
      <c r="F220" s="17" t="s">
        <v>1427</v>
      </c>
      <c r="G220" s="15">
        <v>3.0</v>
      </c>
      <c r="H220" s="15" t="s">
        <v>989</v>
      </c>
      <c r="I220" s="9" t="s">
        <v>32</v>
      </c>
      <c r="J220" s="57" t="s">
        <v>1428</v>
      </c>
      <c r="K220" s="13" t="s">
        <v>1429</v>
      </c>
      <c r="L220" s="13" t="s">
        <v>1430</v>
      </c>
      <c r="M220" s="13" t="s">
        <v>1431</v>
      </c>
      <c r="N220" s="13" t="s">
        <v>1432</v>
      </c>
    </row>
    <row r="221">
      <c r="A221" s="24" t="s">
        <v>1433</v>
      </c>
      <c r="B221" s="7" t="s">
        <v>986</v>
      </c>
      <c r="C221" s="9">
        <v>1.0</v>
      </c>
      <c r="D221" s="9" t="s">
        <v>37</v>
      </c>
      <c r="E221" s="7" t="s">
        <v>1434</v>
      </c>
      <c r="F221" s="10" t="s">
        <v>1435</v>
      </c>
      <c r="G221" s="9">
        <v>4.0</v>
      </c>
      <c r="H221" s="9" t="s">
        <v>1038</v>
      </c>
      <c r="I221" s="21" t="s">
        <v>32</v>
      </c>
      <c r="J221" s="16" t="s">
        <v>1436</v>
      </c>
      <c r="K221" s="13" t="s">
        <v>1437</v>
      </c>
      <c r="L221" s="13" t="s">
        <v>1438</v>
      </c>
      <c r="M221" s="13" t="s">
        <v>1439</v>
      </c>
      <c r="N221" s="13" t="s">
        <v>1440</v>
      </c>
      <c r="O221" s="13" t="s">
        <v>1441</v>
      </c>
      <c r="P221" s="13" t="s">
        <v>1442</v>
      </c>
    </row>
    <row r="222" hidden="1">
      <c r="A222" s="7" t="s">
        <v>1443</v>
      </c>
      <c r="B222" s="89" t="s">
        <v>1444</v>
      </c>
      <c r="C222" s="9">
        <v>2.0</v>
      </c>
      <c r="D222" s="9" t="s">
        <v>97</v>
      </c>
      <c r="E222" s="16" t="s">
        <v>1445</v>
      </c>
      <c r="F222" s="17" t="s">
        <v>24</v>
      </c>
      <c r="G222" s="9">
        <v>0.0</v>
      </c>
      <c r="H222" s="9" t="s">
        <v>1446</v>
      </c>
      <c r="I222" s="9" t="s">
        <v>32</v>
      </c>
    </row>
    <row r="223">
      <c r="A223" s="28" t="s">
        <v>1447</v>
      </c>
      <c r="B223" s="29" t="s">
        <v>986</v>
      </c>
      <c r="C223" s="65">
        <v>1.0</v>
      </c>
      <c r="D223" s="65" t="s">
        <v>394</v>
      </c>
      <c r="E223" s="90" t="s">
        <v>1448</v>
      </c>
      <c r="F223" s="66" t="s">
        <v>607</v>
      </c>
      <c r="G223" s="67">
        <v>7.0</v>
      </c>
      <c r="H223" s="65" t="s">
        <v>1449</v>
      </c>
      <c r="I223" s="67" t="s">
        <v>32</v>
      </c>
      <c r="J223" s="16" t="s">
        <v>1450</v>
      </c>
      <c r="K223" s="13" t="s">
        <v>1451</v>
      </c>
      <c r="L223" s="13" t="s">
        <v>1452</v>
      </c>
      <c r="M223" s="13" t="s">
        <v>1453</v>
      </c>
      <c r="N223" s="13" t="s">
        <v>1454</v>
      </c>
      <c r="O223" s="13" t="s">
        <v>1455</v>
      </c>
      <c r="P223" s="13" t="s">
        <v>1456</v>
      </c>
      <c r="Q223" s="13" t="s">
        <v>1457</v>
      </c>
    </row>
    <row r="224">
      <c r="A224" s="31" t="s">
        <v>1458</v>
      </c>
      <c r="B224" s="16" t="s">
        <v>986</v>
      </c>
      <c r="C224" s="15">
        <v>1.0</v>
      </c>
      <c r="D224" s="15" t="s">
        <v>334</v>
      </c>
      <c r="E224" s="16" t="s">
        <v>1459</v>
      </c>
      <c r="F224" s="17" t="s">
        <v>1460</v>
      </c>
      <c r="G224" s="15">
        <v>6.0</v>
      </c>
      <c r="H224" s="15" t="s">
        <v>1207</v>
      </c>
      <c r="I224" s="15" t="s">
        <v>32</v>
      </c>
      <c r="K224" s="13" t="s">
        <v>1461</v>
      </c>
      <c r="L224" s="13" t="s">
        <v>1462</v>
      </c>
    </row>
    <row r="225" hidden="1">
      <c r="A225" s="16" t="s">
        <v>1463</v>
      </c>
      <c r="B225" s="91" t="s">
        <v>1444</v>
      </c>
      <c r="C225" s="15">
        <v>2.0</v>
      </c>
      <c r="D225" s="15" t="s">
        <v>1464</v>
      </c>
      <c r="E225" s="16" t="s">
        <v>1465</v>
      </c>
      <c r="F225" s="17" t="s">
        <v>219</v>
      </c>
      <c r="G225" s="15">
        <v>3.0</v>
      </c>
      <c r="H225" s="15" t="s">
        <v>1466</v>
      </c>
      <c r="I225" s="15" t="s">
        <v>32</v>
      </c>
    </row>
    <row r="226" hidden="1">
      <c r="A226" s="22" t="s">
        <v>1467</v>
      </c>
      <c r="B226" s="89" t="s">
        <v>1444</v>
      </c>
      <c r="C226" s="9">
        <v>2.0</v>
      </c>
      <c r="D226" s="9" t="s">
        <v>37</v>
      </c>
      <c r="E226" s="7" t="s">
        <v>1468</v>
      </c>
      <c r="F226" s="10" t="s">
        <v>1469</v>
      </c>
      <c r="G226" s="9">
        <v>2.0</v>
      </c>
      <c r="H226" s="9" t="s">
        <v>1470</v>
      </c>
      <c r="I226" s="9" t="s">
        <v>62</v>
      </c>
    </row>
    <row r="227" hidden="1">
      <c r="A227" s="16" t="s">
        <v>1471</v>
      </c>
      <c r="B227" s="91" t="s">
        <v>1444</v>
      </c>
      <c r="C227" s="15">
        <v>2.0</v>
      </c>
      <c r="D227" s="15" t="s">
        <v>1472</v>
      </c>
      <c r="E227" s="16" t="s">
        <v>1473</v>
      </c>
      <c r="F227" s="17" t="s">
        <v>1474</v>
      </c>
      <c r="G227" s="15">
        <v>5.0</v>
      </c>
      <c r="H227" s="15" t="s">
        <v>1475</v>
      </c>
      <c r="I227" s="15" t="s">
        <v>62</v>
      </c>
    </row>
    <row r="228" hidden="1">
      <c r="A228" s="16" t="s">
        <v>1476</v>
      </c>
      <c r="B228" s="30" t="s">
        <v>1444</v>
      </c>
      <c r="C228" s="15">
        <v>2.0</v>
      </c>
      <c r="D228" s="15" t="s">
        <v>1477</v>
      </c>
      <c r="E228" s="16" t="s">
        <v>1478</v>
      </c>
      <c r="F228" s="17" t="s">
        <v>192</v>
      </c>
      <c r="G228" s="15">
        <v>4.0</v>
      </c>
      <c r="H228" s="15" t="s">
        <v>1466</v>
      </c>
      <c r="I228" s="15" t="s">
        <v>26</v>
      </c>
    </row>
    <row r="229">
      <c r="A229" s="69" t="s">
        <v>1479</v>
      </c>
      <c r="B229" s="88" t="s">
        <v>986</v>
      </c>
      <c r="C229" s="71">
        <v>1.0</v>
      </c>
      <c r="D229" s="71" t="s">
        <v>394</v>
      </c>
      <c r="E229" s="69" t="s">
        <v>1480</v>
      </c>
      <c r="F229" s="69"/>
      <c r="G229" s="71">
        <v>7.0</v>
      </c>
      <c r="H229" s="71" t="s">
        <v>1449</v>
      </c>
      <c r="I229" s="71" t="s">
        <v>32</v>
      </c>
      <c r="J229" s="28"/>
      <c r="K229" s="28"/>
      <c r="L229" s="28"/>
      <c r="M229" s="28"/>
      <c r="N229" s="28"/>
      <c r="O229" s="28"/>
      <c r="P229" s="28"/>
      <c r="Q229" s="28"/>
      <c r="R229" s="28"/>
      <c r="S229" s="28"/>
      <c r="T229" s="28"/>
    </row>
    <row r="230">
      <c r="A230" s="31" t="s">
        <v>1481</v>
      </c>
      <c r="B230" s="16" t="s">
        <v>986</v>
      </c>
      <c r="C230" s="15">
        <v>1.0</v>
      </c>
      <c r="D230" s="15" t="s">
        <v>229</v>
      </c>
      <c r="E230" s="16" t="s">
        <v>1482</v>
      </c>
      <c r="F230" s="33"/>
      <c r="G230" s="15">
        <v>3.0</v>
      </c>
      <c r="H230" s="15" t="s">
        <v>995</v>
      </c>
      <c r="I230" s="15" t="s">
        <v>32</v>
      </c>
    </row>
    <row r="231">
      <c r="A231" s="16" t="s">
        <v>1483</v>
      </c>
      <c r="B231" s="92" t="s">
        <v>986</v>
      </c>
      <c r="C231" s="15">
        <v>1.0</v>
      </c>
      <c r="D231" s="15" t="s">
        <v>294</v>
      </c>
      <c r="E231" s="16" t="s">
        <v>1484</v>
      </c>
      <c r="F231" s="33"/>
      <c r="G231" s="15">
        <v>2.0</v>
      </c>
      <c r="H231" s="15" t="s">
        <v>1107</v>
      </c>
      <c r="I231" s="15" t="s">
        <v>32</v>
      </c>
      <c r="K231" s="93" t="s">
        <v>1485</v>
      </c>
    </row>
    <row r="232">
      <c r="A232" s="16" t="s">
        <v>1486</v>
      </c>
      <c r="B232" s="7" t="s">
        <v>986</v>
      </c>
      <c r="C232" s="9">
        <v>1.0</v>
      </c>
      <c r="D232" s="9" t="s">
        <v>394</v>
      </c>
      <c r="E232" s="94"/>
      <c r="F232" s="95" t="s">
        <v>1487</v>
      </c>
      <c r="G232" s="9">
        <v>5.0</v>
      </c>
      <c r="H232" s="15" t="s">
        <v>1110</v>
      </c>
      <c r="I232" s="9" t="s">
        <v>26</v>
      </c>
      <c r="J232" s="11" t="s">
        <v>1488</v>
      </c>
      <c r="K232" s="13" t="s">
        <v>1489</v>
      </c>
      <c r="L232" s="13" t="s">
        <v>1490</v>
      </c>
      <c r="M232" s="13" t="s">
        <v>1491</v>
      </c>
      <c r="N232" s="13" t="s">
        <v>1492</v>
      </c>
      <c r="O232" s="13" t="s">
        <v>1493</v>
      </c>
      <c r="P232" s="13" t="s">
        <v>1494</v>
      </c>
      <c r="Q232" s="13" t="s">
        <v>1495</v>
      </c>
    </row>
    <row r="233">
      <c r="A233" s="7" t="s">
        <v>1496</v>
      </c>
      <c r="B233" s="7" t="s">
        <v>986</v>
      </c>
      <c r="C233" s="9">
        <v>1.0</v>
      </c>
      <c r="D233" s="9" t="s">
        <v>128</v>
      </c>
      <c r="E233" s="96"/>
      <c r="F233" s="10" t="s">
        <v>1497</v>
      </c>
      <c r="G233" s="9">
        <v>4.0</v>
      </c>
      <c r="H233" s="9" t="s">
        <v>1228</v>
      </c>
      <c r="I233" s="9" t="s">
        <v>26</v>
      </c>
      <c r="J233" s="11" t="s">
        <v>1498</v>
      </c>
      <c r="K233" s="13" t="s">
        <v>1499</v>
      </c>
      <c r="L233" s="13" t="s">
        <v>1500</v>
      </c>
      <c r="M233" s="13" t="s">
        <v>1501</v>
      </c>
      <c r="N233" s="13" t="s">
        <v>1502</v>
      </c>
      <c r="O233" s="13" t="s">
        <v>1503</v>
      </c>
      <c r="P233" s="13" t="s">
        <v>1504</v>
      </c>
      <c r="Q233" s="13" t="s">
        <v>1505</v>
      </c>
      <c r="R233" s="13" t="s">
        <v>1506</v>
      </c>
      <c r="S233" s="13" t="s">
        <v>1507</v>
      </c>
    </row>
    <row r="234">
      <c r="A234" s="16" t="s">
        <v>1508</v>
      </c>
      <c r="B234" s="16" t="s">
        <v>986</v>
      </c>
      <c r="C234" s="15">
        <v>1.0</v>
      </c>
      <c r="D234" s="15" t="s">
        <v>1509</v>
      </c>
      <c r="F234" s="33"/>
      <c r="G234" s="15">
        <v>3.0</v>
      </c>
      <c r="H234" s="15" t="s">
        <v>989</v>
      </c>
      <c r="I234" s="15" t="s">
        <v>26</v>
      </c>
    </row>
    <row r="235" hidden="1">
      <c r="A235" s="24" t="s">
        <v>1510</v>
      </c>
      <c r="B235" s="89" t="s">
        <v>1444</v>
      </c>
      <c r="C235" s="9">
        <v>2.0</v>
      </c>
      <c r="D235" s="9" t="s">
        <v>867</v>
      </c>
      <c r="E235" s="87" t="s">
        <v>1511</v>
      </c>
      <c r="F235" s="10" t="s">
        <v>24</v>
      </c>
      <c r="G235" s="9">
        <v>2.0</v>
      </c>
      <c r="H235" s="9" t="s">
        <v>1446</v>
      </c>
      <c r="I235" s="21" t="s">
        <v>26</v>
      </c>
    </row>
    <row r="236" hidden="1">
      <c r="A236" s="22" t="s">
        <v>1512</v>
      </c>
      <c r="B236" s="89" t="s">
        <v>1444</v>
      </c>
      <c r="C236" s="9">
        <v>0.0</v>
      </c>
      <c r="D236" s="9" t="s">
        <v>1513</v>
      </c>
      <c r="E236" s="18" t="s">
        <v>1514</v>
      </c>
      <c r="F236" s="10" t="s">
        <v>1515</v>
      </c>
      <c r="G236" s="9">
        <v>4.0</v>
      </c>
      <c r="H236" s="9" t="s">
        <v>1466</v>
      </c>
      <c r="I236" s="9" t="s">
        <v>62</v>
      </c>
    </row>
    <row r="237">
      <c r="A237" s="16" t="s">
        <v>1516</v>
      </c>
      <c r="B237" s="16" t="s">
        <v>986</v>
      </c>
      <c r="C237" s="15">
        <v>1.0</v>
      </c>
      <c r="D237" s="15" t="s">
        <v>174</v>
      </c>
      <c r="F237" s="33"/>
      <c r="G237" s="15">
        <v>2.0</v>
      </c>
      <c r="H237" s="15" t="s">
        <v>995</v>
      </c>
      <c r="I237" s="15" t="s">
        <v>26</v>
      </c>
    </row>
    <row r="238" hidden="1">
      <c r="A238" s="16" t="s">
        <v>1517</v>
      </c>
      <c r="B238" s="89" t="s">
        <v>1444</v>
      </c>
      <c r="C238" s="9">
        <v>2.0</v>
      </c>
      <c r="D238" s="9" t="s">
        <v>609</v>
      </c>
      <c r="E238" s="24"/>
      <c r="F238" s="10" t="s">
        <v>1518</v>
      </c>
      <c r="G238" s="9">
        <v>7.0</v>
      </c>
      <c r="H238" s="9" t="s">
        <v>1519</v>
      </c>
      <c r="I238" s="9" t="s">
        <v>26</v>
      </c>
    </row>
    <row r="239" hidden="1">
      <c r="A239" s="31" t="s">
        <v>1520</v>
      </c>
      <c r="B239" s="91" t="s">
        <v>1444</v>
      </c>
      <c r="C239" s="15">
        <v>2.0</v>
      </c>
      <c r="D239" s="15" t="s">
        <v>1521</v>
      </c>
      <c r="E239" s="16" t="s">
        <v>249</v>
      </c>
      <c r="F239" s="17" t="s">
        <v>645</v>
      </c>
      <c r="G239" s="15">
        <v>2.0</v>
      </c>
      <c r="H239" s="15" t="s">
        <v>1446</v>
      </c>
      <c r="I239" s="15" t="s">
        <v>26</v>
      </c>
    </row>
    <row r="240" hidden="1">
      <c r="A240" s="16" t="s">
        <v>1522</v>
      </c>
      <c r="B240" s="91" t="s">
        <v>1444</v>
      </c>
      <c r="C240" s="15">
        <v>2.0</v>
      </c>
      <c r="D240" s="15" t="s">
        <v>114</v>
      </c>
      <c r="E240" s="16" t="s">
        <v>1523</v>
      </c>
      <c r="F240" s="17" t="s">
        <v>1524</v>
      </c>
      <c r="G240" s="15">
        <v>2.0</v>
      </c>
      <c r="H240" s="9" t="s">
        <v>1519</v>
      </c>
      <c r="I240" s="9" t="s">
        <v>62</v>
      </c>
    </row>
    <row r="241">
      <c r="A241" s="16" t="s">
        <v>1525</v>
      </c>
      <c r="B241" s="16" t="s">
        <v>986</v>
      </c>
      <c r="C241" s="15">
        <v>1.0</v>
      </c>
      <c r="D241" s="15" t="s">
        <v>1526</v>
      </c>
      <c r="E241" s="97" t="s">
        <v>1527</v>
      </c>
      <c r="F241" s="33"/>
      <c r="G241" s="15">
        <v>2.0</v>
      </c>
      <c r="H241" s="15" t="s">
        <v>995</v>
      </c>
      <c r="I241" s="9" t="s">
        <v>62</v>
      </c>
    </row>
    <row r="242">
      <c r="A242" s="16" t="s">
        <v>1528</v>
      </c>
      <c r="B242" s="16" t="s">
        <v>986</v>
      </c>
      <c r="C242" s="15">
        <v>1.0</v>
      </c>
      <c r="D242" s="15" t="s">
        <v>319</v>
      </c>
      <c r="E242" s="16" t="s">
        <v>1529</v>
      </c>
      <c r="F242" s="33"/>
      <c r="G242" s="15">
        <v>1.0</v>
      </c>
      <c r="H242" s="15" t="s">
        <v>1107</v>
      </c>
      <c r="I242" s="9" t="s">
        <v>62</v>
      </c>
    </row>
    <row r="243">
      <c r="A243" s="16" t="s">
        <v>1530</v>
      </c>
      <c r="B243" s="16" t="s">
        <v>986</v>
      </c>
      <c r="C243" s="15">
        <v>1.0</v>
      </c>
      <c r="D243" s="15" t="s">
        <v>82</v>
      </c>
      <c r="F243" s="33"/>
      <c r="G243" s="16">
        <v>3.0</v>
      </c>
      <c r="H243" s="16" t="s">
        <v>1254</v>
      </c>
      <c r="I243" s="9" t="s">
        <v>26</v>
      </c>
    </row>
    <row r="244" hidden="1">
      <c r="A244" s="16" t="s">
        <v>1531</v>
      </c>
      <c r="B244" s="91" t="s">
        <v>1444</v>
      </c>
      <c r="C244" s="15">
        <v>2.0</v>
      </c>
      <c r="D244" s="15" t="s">
        <v>97</v>
      </c>
      <c r="E244" s="16" t="s">
        <v>1532</v>
      </c>
      <c r="F244" s="17" t="s">
        <v>24</v>
      </c>
      <c r="G244" s="15">
        <v>1.0</v>
      </c>
      <c r="H244" s="15" t="s">
        <v>1446</v>
      </c>
      <c r="I244" s="15" t="s">
        <v>26</v>
      </c>
    </row>
    <row r="245">
      <c r="A245" s="16" t="s">
        <v>1533</v>
      </c>
      <c r="B245" s="16" t="s">
        <v>986</v>
      </c>
      <c r="C245" s="15">
        <v>1.0</v>
      </c>
      <c r="D245" s="15" t="s">
        <v>1313</v>
      </c>
      <c r="F245" s="17" t="s">
        <v>1534</v>
      </c>
      <c r="H245" s="16" t="s">
        <v>1535</v>
      </c>
      <c r="I245" s="9" t="s">
        <v>26</v>
      </c>
    </row>
    <row r="246">
      <c r="A246" s="16" t="s">
        <v>1536</v>
      </c>
      <c r="B246" s="16" t="s">
        <v>986</v>
      </c>
      <c r="C246" s="15">
        <v>1.0</v>
      </c>
      <c r="D246" s="15" t="s">
        <v>294</v>
      </c>
      <c r="E246" s="16" t="s">
        <v>1537</v>
      </c>
      <c r="F246" s="17"/>
      <c r="G246" s="16">
        <v>3.0</v>
      </c>
      <c r="H246" s="16" t="s">
        <v>390</v>
      </c>
      <c r="I246" s="9" t="s">
        <v>26</v>
      </c>
    </row>
    <row r="247">
      <c r="A247" s="7" t="s">
        <v>1538</v>
      </c>
      <c r="B247" s="7" t="s">
        <v>1312</v>
      </c>
      <c r="C247" s="9">
        <v>1.0</v>
      </c>
      <c r="D247" s="9" t="s">
        <v>946</v>
      </c>
      <c r="E247" s="7" t="s">
        <v>1539</v>
      </c>
      <c r="F247" s="10" t="s">
        <v>1540</v>
      </c>
      <c r="G247" s="9">
        <v>3.0</v>
      </c>
      <c r="H247" s="9" t="s">
        <v>1541</v>
      </c>
      <c r="I247" s="9" t="s">
        <v>62</v>
      </c>
    </row>
    <row r="248">
      <c r="A248" s="22" t="s">
        <v>1542</v>
      </c>
      <c r="B248" s="7" t="s">
        <v>1312</v>
      </c>
      <c r="C248" s="9">
        <v>1.0</v>
      </c>
      <c r="D248" s="9" t="s">
        <v>1543</v>
      </c>
      <c r="E248" s="7" t="s">
        <v>1544</v>
      </c>
      <c r="F248" s="10" t="s">
        <v>1545</v>
      </c>
      <c r="G248" s="9">
        <v>3.0</v>
      </c>
      <c r="H248" s="9" t="s">
        <v>1546</v>
      </c>
      <c r="I248" s="9" t="s">
        <v>32</v>
      </c>
    </row>
    <row r="249">
      <c r="A249" s="7" t="s">
        <v>1547</v>
      </c>
      <c r="B249" s="7" t="s">
        <v>1312</v>
      </c>
      <c r="C249" s="9">
        <v>1.0</v>
      </c>
      <c r="D249" s="9" t="s">
        <v>1548</v>
      </c>
      <c r="E249" s="7"/>
      <c r="F249" s="10" t="s">
        <v>1549</v>
      </c>
      <c r="G249" s="9">
        <v>2.0</v>
      </c>
      <c r="H249" s="9" t="s">
        <v>1550</v>
      </c>
      <c r="I249" s="9" t="s">
        <v>26</v>
      </c>
    </row>
    <row r="250">
      <c r="A250" s="7" t="s">
        <v>1551</v>
      </c>
      <c r="B250" s="7" t="s">
        <v>1372</v>
      </c>
      <c r="C250" s="9">
        <v>1.0</v>
      </c>
      <c r="D250" s="9" t="s">
        <v>1552</v>
      </c>
      <c r="E250" s="7" t="s">
        <v>1553</v>
      </c>
      <c r="F250" s="10" t="s">
        <v>1554</v>
      </c>
      <c r="G250" s="9">
        <v>1.0</v>
      </c>
      <c r="H250" s="9" t="s">
        <v>1555</v>
      </c>
      <c r="I250" s="9" t="s">
        <v>62</v>
      </c>
    </row>
    <row r="251" hidden="1">
      <c r="A251" s="31" t="s">
        <v>1556</v>
      </c>
      <c r="B251" s="91" t="s">
        <v>1444</v>
      </c>
      <c r="C251" s="15">
        <v>2.0</v>
      </c>
      <c r="D251" s="15" t="s">
        <v>1557</v>
      </c>
      <c r="E251" s="16" t="s">
        <v>1558</v>
      </c>
      <c r="F251" s="17" t="s">
        <v>891</v>
      </c>
      <c r="G251" s="15">
        <v>4.0</v>
      </c>
      <c r="H251" s="15" t="s">
        <v>1559</v>
      </c>
      <c r="I251" s="15" t="s">
        <v>26</v>
      </c>
    </row>
    <row r="252" hidden="1">
      <c r="A252" s="22" t="s">
        <v>1560</v>
      </c>
      <c r="B252" s="89" t="s">
        <v>1444</v>
      </c>
      <c r="C252" s="9">
        <v>0.0</v>
      </c>
      <c r="D252" s="9" t="s">
        <v>1464</v>
      </c>
      <c r="E252" s="7" t="s">
        <v>1561</v>
      </c>
      <c r="F252" s="10" t="s">
        <v>1562</v>
      </c>
      <c r="G252" s="9">
        <v>5.0</v>
      </c>
      <c r="H252" s="9" t="s">
        <v>1559</v>
      </c>
      <c r="I252" s="9" t="s">
        <v>26</v>
      </c>
    </row>
    <row r="253" ht="14.25" hidden="1" customHeight="1">
      <c r="A253" s="7" t="s">
        <v>1563</v>
      </c>
      <c r="B253" s="87" t="s">
        <v>1444</v>
      </c>
      <c r="C253" s="9">
        <v>2.0</v>
      </c>
      <c r="D253" s="9" t="s">
        <v>609</v>
      </c>
      <c r="E253" s="7" t="s">
        <v>1564</v>
      </c>
      <c r="F253" s="10" t="s">
        <v>1565</v>
      </c>
      <c r="G253" s="9">
        <v>1.0</v>
      </c>
      <c r="H253" s="9" t="s">
        <v>1470</v>
      </c>
      <c r="I253" s="9" t="s">
        <v>62</v>
      </c>
    </row>
    <row r="254">
      <c r="A254" s="7" t="s">
        <v>1566</v>
      </c>
      <c r="B254" s="7" t="s">
        <v>1372</v>
      </c>
      <c r="C254" s="9">
        <v>1.0</v>
      </c>
      <c r="D254" s="9" t="s">
        <v>1389</v>
      </c>
      <c r="E254" s="7" t="s">
        <v>1567</v>
      </c>
      <c r="F254" s="10" t="s">
        <v>1568</v>
      </c>
      <c r="G254" s="9">
        <v>2.0</v>
      </c>
      <c r="H254" s="9" t="s">
        <v>1569</v>
      </c>
      <c r="I254" s="9" t="s">
        <v>32</v>
      </c>
    </row>
    <row r="255" hidden="1">
      <c r="A255" s="31" t="s">
        <v>1570</v>
      </c>
      <c r="B255" s="16" t="s">
        <v>1444</v>
      </c>
      <c r="C255" s="15">
        <v>2.0</v>
      </c>
      <c r="D255" s="15" t="s">
        <v>1571</v>
      </c>
      <c r="E255" s="16" t="s">
        <v>1572</v>
      </c>
      <c r="F255" s="17" t="s">
        <v>1573</v>
      </c>
      <c r="G255" s="15">
        <v>4.0</v>
      </c>
      <c r="H255" s="15" t="s">
        <v>1475</v>
      </c>
      <c r="I255" s="15" t="s">
        <v>62</v>
      </c>
    </row>
    <row r="256" hidden="1">
      <c r="A256" s="16" t="s">
        <v>1574</v>
      </c>
      <c r="B256" s="16" t="s">
        <v>1444</v>
      </c>
      <c r="C256" s="15">
        <v>2.0</v>
      </c>
      <c r="D256" s="15" t="s">
        <v>97</v>
      </c>
      <c r="E256" s="16" t="s">
        <v>1575</v>
      </c>
      <c r="F256" s="17" t="s">
        <v>1576</v>
      </c>
      <c r="G256" s="15">
        <v>6.0</v>
      </c>
      <c r="H256" s="15" t="s">
        <v>1577</v>
      </c>
      <c r="I256" s="15" t="s">
        <v>32</v>
      </c>
    </row>
    <row r="257" hidden="1">
      <c r="A257" s="16" t="s">
        <v>1578</v>
      </c>
      <c r="B257" s="91" t="s">
        <v>1444</v>
      </c>
      <c r="C257" s="15">
        <v>2.0</v>
      </c>
      <c r="D257" s="15" t="s">
        <v>266</v>
      </c>
      <c r="E257" s="16" t="s">
        <v>1579</v>
      </c>
      <c r="F257" s="17" t="s">
        <v>1116</v>
      </c>
      <c r="G257" s="15">
        <v>3.0</v>
      </c>
      <c r="H257" s="15" t="s">
        <v>1559</v>
      </c>
      <c r="I257" s="15" t="s">
        <v>62</v>
      </c>
    </row>
    <row r="258" hidden="1">
      <c r="A258" s="16" t="s">
        <v>1580</v>
      </c>
      <c r="B258" s="91" t="s">
        <v>1444</v>
      </c>
      <c r="C258" s="15">
        <v>0.0</v>
      </c>
      <c r="D258" s="15" t="s">
        <v>128</v>
      </c>
      <c r="E258" s="16" t="s">
        <v>1581</v>
      </c>
      <c r="F258" s="17" t="s">
        <v>1582</v>
      </c>
      <c r="G258" s="9">
        <v>3.0</v>
      </c>
      <c r="H258" s="9" t="s">
        <v>1583</v>
      </c>
      <c r="I258" s="9" t="s">
        <v>32</v>
      </c>
    </row>
    <row r="259">
      <c r="A259" s="7" t="s">
        <v>1584</v>
      </c>
      <c r="B259" s="7" t="s">
        <v>1372</v>
      </c>
      <c r="C259" s="9">
        <v>1.0</v>
      </c>
      <c r="D259" s="9" t="s">
        <v>1585</v>
      </c>
      <c r="E259" s="7"/>
      <c r="F259" s="10" t="s">
        <v>1586</v>
      </c>
      <c r="G259" s="9">
        <v>2.0</v>
      </c>
      <c r="H259" s="9" t="s">
        <v>1415</v>
      </c>
      <c r="I259" s="9" t="s">
        <v>26</v>
      </c>
    </row>
    <row r="260" hidden="1">
      <c r="A260" s="16" t="s">
        <v>1587</v>
      </c>
      <c r="B260" s="16" t="s">
        <v>1444</v>
      </c>
      <c r="C260" s="15">
        <v>2.0</v>
      </c>
      <c r="D260" s="15" t="s">
        <v>1588</v>
      </c>
      <c r="E260" s="16" t="s">
        <v>1589</v>
      </c>
      <c r="F260" s="17" t="s">
        <v>1590</v>
      </c>
      <c r="G260" s="15">
        <v>6.0</v>
      </c>
      <c r="H260" s="15" t="s">
        <v>1577</v>
      </c>
      <c r="I260" s="15" t="s">
        <v>32</v>
      </c>
    </row>
    <row r="261" hidden="1">
      <c r="A261" s="16" t="s">
        <v>1591</v>
      </c>
      <c r="B261" s="91" t="s">
        <v>1444</v>
      </c>
      <c r="C261" s="15">
        <v>2.0</v>
      </c>
      <c r="D261" s="15" t="s">
        <v>292</v>
      </c>
      <c r="E261" s="16" t="s">
        <v>1592</v>
      </c>
      <c r="F261" s="17" t="s">
        <v>1593</v>
      </c>
      <c r="G261" s="15">
        <v>3.0</v>
      </c>
      <c r="H261" s="15" t="s">
        <v>1594</v>
      </c>
      <c r="I261" s="15" t="s">
        <v>26</v>
      </c>
    </row>
    <row r="262">
      <c r="A262" s="16" t="s">
        <v>1595</v>
      </c>
      <c r="B262" s="16" t="s">
        <v>1444</v>
      </c>
      <c r="C262" s="15">
        <v>1.0</v>
      </c>
      <c r="D262" s="15" t="s">
        <v>334</v>
      </c>
      <c r="E262" s="16" t="s">
        <v>1596</v>
      </c>
      <c r="F262" s="17" t="s">
        <v>891</v>
      </c>
      <c r="G262" s="15">
        <v>3.0</v>
      </c>
      <c r="H262" s="15" t="s">
        <v>1470</v>
      </c>
      <c r="I262" s="9" t="s">
        <v>26</v>
      </c>
    </row>
    <row r="263">
      <c r="A263" s="7" t="s">
        <v>1597</v>
      </c>
      <c r="B263" s="7" t="s">
        <v>1444</v>
      </c>
      <c r="C263" s="9">
        <v>1.0</v>
      </c>
      <c r="D263" s="9" t="s">
        <v>330</v>
      </c>
      <c r="E263" s="16" t="s">
        <v>1598</v>
      </c>
      <c r="F263" s="17" t="s">
        <v>1599</v>
      </c>
      <c r="G263" s="9">
        <v>6.0</v>
      </c>
      <c r="H263" s="9" t="s">
        <v>1559</v>
      </c>
      <c r="I263" s="15" t="s">
        <v>62</v>
      </c>
    </row>
    <row r="264">
      <c r="A264" s="22" t="s">
        <v>1600</v>
      </c>
      <c r="B264" s="7" t="s">
        <v>1444</v>
      </c>
      <c r="C264" s="9">
        <v>1.0</v>
      </c>
      <c r="D264" s="9" t="s">
        <v>97</v>
      </c>
      <c r="E264" s="7" t="s">
        <v>1601</v>
      </c>
      <c r="F264" s="10" t="s">
        <v>1602</v>
      </c>
      <c r="G264" s="9">
        <v>4.0</v>
      </c>
      <c r="H264" s="9" t="s">
        <v>1559</v>
      </c>
      <c r="I264" s="9" t="s">
        <v>62</v>
      </c>
    </row>
    <row r="265" hidden="1">
      <c r="A265" s="22" t="s">
        <v>1603</v>
      </c>
      <c r="B265" s="89" t="s">
        <v>1444</v>
      </c>
      <c r="C265" s="9">
        <v>2.0</v>
      </c>
      <c r="D265" s="9" t="s">
        <v>1571</v>
      </c>
      <c r="E265" s="16" t="s">
        <v>1604</v>
      </c>
      <c r="F265" s="10" t="s">
        <v>1605</v>
      </c>
      <c r="G265" s="9">
        <v>3.0</v>
      </c>
      <c r="H265" s="9" t="s">
        <v>1594</v>
      </c>
      <c r="I265" s="9" t="s">
        <v>26</v>
      </c>
    </row>
    <row r="266">
      <c r="A266" s="7" t="s">
        <v>1606</v>
      </c>
      <c r="B266" s="7" t="s">
        <v>1444</v>
      </c>
      <c r="C266" s="9">
        <v>1.0</v>
      </c>
      <c r="D266" s="9" t="s">
        <v>217</v>
      </c>
      <c r="E266" s="7" t="s">
        <v>71</v>
      </c>
      <c r="F266" s="10" t="s">
        <v>1607</v>
      </c>
      <c r="G266" s="9">
        <v>2.0</v>
      </c>
      <c r="H266" s="9" t="s">
        <v>1608</v>
      </c>
      <c r="I266" s="9" t="s">
        <v>26</v>
      </c>
    </row>
    <row r="267" hidden="1">
      <c r="A267" s="16" t="s">
        <v>1609</v>
      </c>
      <c r="B267" s="91" t="s">
        <v>1444</v>
      </c>
      <c r="C267" s="15">
        <v>2.0</v>
      </c>
      <c r="D267" s="15" t="s">
        <v>1610</v>
      </c>
      <c r="E267" s="16" t="s">
        <v>1611</v>
      </c>
      <c r="F267" s="17" t="s">
        <v>1203</v>
      </c>
      <c r="G267" s="15">
        <v>4.0</v>
      </c>
      <c r="H267" s="15" t="s">
        <v>1594</v>
      </c>
      <c r="I267" s="15" t="s">
        <v>26</v>
      </c>
    </row>
    <row r="268" hidden="1">
      <c r="A268" s="22" t="s">
        <v>1612</v>
      </c>
      <c r="B268" s="7" t="s">
        <v>1444</v>
      </c>
      <c r="C268" s="9">
        <v>2.0</v>
      </c>
      <c r="D268" s="9" t="s">
        <v>1613</v>
      </c>
      <c r="E268" s="87" t="s">
        <v>1614</v>
      </c>
      <c r="F268" s="10" t="s">
        <v>1615</v>
      </c>
      <c r="G268" s="9">
        <v>6.0</v>
      </c>
      <c r="H268" s="9" t="s">
        <v>1616</v>
      </c>
      <c r="I268" s="9" t="s">
        <v>32</v>
      </c>
    </row>
    <row r="269" hidden="1">
      <c r="A269" s="16" t="s">
        <v>1617</v>
      </c>
      <c r="B269" s="87" t="s">
        <v>1444</v>
      </c>
      <c r="C269" s="9">
        <v>2.0</v>
      </c>
      <c r="D269" s="15" t="s">
        <v>867</v>
      </c>
      <c r="E269" s="16" t="s">
        <v>1618</v>
      </c>
      <c r="F269" s="17" t="s">
        <v>1619</v>
      </c>
      <c r="G269" s="15">
        <v>3.0</v>
      </c>
      <c r="H269" s="15" t="s">
        <v>1466</v>
      </c>
      <c r="I269" s="15" t="s">
        <v>62</v>
      </c>
    </row>
    <row r="270" ht="15.75" customHeight="1">
      <c r="A270" s="7" t="s">
        <v>1620</v>
      </c>
      <c r="B270" s="7" t="s">
        <v>1444</v>
      </c>
      <c r="C270" s="9">
        <v>1.0</v>
      </c>
      <c r="D270" s="9" t="s">
        <v>334</v>
      </c>
      <c r="E270" s="7" t="s">
        <v>1621</v>
      </c>
      <c r="F270" s="10" t="s">
        <v>1622</v>
      </c>
      <c r="G270" s="9">
        <v>2.0</v>
      </c>
      <c r="H270" s="9" t="s">
        <v>1470</v>
      </c>
      <c r="I270" s="9" t="s">
        <v>62</v>
      </c>
    </row>
    <row r="271" hidden="1">
      <c r="A271" s="16" t="s">
        <v>1623</v>
      </c>
      <c r="B271" s="91" t="s">
        <v>1444</v>
      </c>
      <c r="C271" s="15">
        <v>2.0</v>
      </c>
      <c r="D271" s="15" t="s">
        <v>487</v>
      </c>
      <c r="E271" s="16" t="s">
        <v>1624</v>
      </c>
      <c r="F271" s="17" t="s">
        <v>104</v>
      </c>
      <c r="G271" s="15">
        <v>2.0</v>
      </c>
      <c r="H271" s="15" t="s">
        <v>1470</v>
      </c>
      <c r="I271" s="15" t="s">
        <v>26</v>
      </c>
    </row>
    <row r="272" hidden="1">
      <c r="A272" s="7" t="s">
        <v>1625</v>
      </c>
      <c r="B272" s="87" t="s">
        <v>1444</v>
      </c>
      <c r="C272" s="9">
        <v>2.0</v>
      </c>
      <c r="D272" s="9" t="s">
        <v>1464</v>
      </c>
      <c r="E272" s="7" t="s">
        <v>1626</v>
      </c>
      <c r="F272" s="10" t="s">
        <v>1627</v>
      </c>
      <c r="G272" s="9">
        <v>5.0</v>
      </c>
      <c r="H272" s="9" t="s">
        <v>1475</v>
      </c>
      <c r="I272" s="9" t="s">
        <v>26</v>
      </c>
    </row>
    <row r="273">
      <c r="A273" s="16" t="s">
        <v>1628</v>
      </c>
      <c r="B273" s="16" t="s">
        <v>1444</v>
      </c>
      <c r="C273" s="15">
        <v>1.0</v>
      </c>
      <c r="D273" s="15" t="s">
        <v>1610</v>
      </c>
      <c r="E273" s="16" t="s">
        <v>1629</v>
      </c>
      <c r="F273" s="17" t="s">
        <v>1630</v>
      </c>
      <c r="G273" s="15">
        <v>3.0</v>
      </c>
      <c r="H273" s="15" t="s">
        <v>1470</v>
      </c>
      <c r="I273" s="15" t="s">
        <v>26</v>
      </c>
    </row>
    <row r="274" hidden="1">
      <c r="A274" s="22" t="s">
        <v>1631</v>
      </c>
      <c r="B274" s="89" t="s">
        <v>1444</v>
      </c>
      <c r="C274" s="9">
        <v>2.0</v>
      </c>
      <c r="D274" s="9" t="s">
        <v>1340</v>
      </c>
      <c r="E274" s="7" t="s">
        <v>1632</v>
      </c>
      <c r="F274" s="10" t="s">
        <v>1633</v>
      </c>
      <c r="G274" s="9">
        <v>1.0</v>
      </c>
      <c r="H274" s="9" t="s">
        <v>1446</v>
      </c>
      <c r="I274" s="15" t="s">
        <v>26</v>
      </c>
    </row>
    <row r="275" hidden="1">
      <c r="A275" s="16" t="s">
        <v>1634</v>
      </c>
      <c r="B275" s="16" t="s">
        <v>1635</v>
      </c>
      <c r="C275" s="15">
        <v>0.0</v>
      </c>
      <c r="D275" s="15" t="s">
        <v>1636</v>
      </c>
      <c r="E275" s="16" t="s">
        <v>1637</v>
      </c>
      <c r="F275" s="38" t="s">
        <v>1638</v>
      </c>
      <c r="G275" s="15">
        <v>7.0</v>
      </c>
      <c r="H275" s="15" t="s">
        <v>1639</v>
      </c>
      <c r="I275" s="9" t="s">
        <v>32</v>
      </c>
    </row>
    <row r="276" hidden="1">
      <c r="A276" s="7" t="s">
        <v>1640</v>
      </c>
      <c r="B276" s="7" t="s">
        <v>1635</v>
      </c>
      <c r="C276" s="9">
        <v>2.0</v>
      </c>
      <c r="D276" s="9" t="s">
        <v>1641</v>
      </c>
      <c r="E276" s="7" t="s">
        <v>1642</v>
      </c>
      <c r="F276" s="10" t="s">
        <v>1643</v>
      </c>
      <c r="G276" s="9">
        <v>3.0</v>
      </c>
      <c r="H276" s="9" t="s">
        <v>1644</v>
      </c>
      <c r="I276" s="9" t="s">
        <v>62</v>
      </c>
    </row>
    <row r="277">
      <c r="A277" s="16" t="s">
        <v>1645</v>
      </c>
      <c r="B277" s="16" t="s">
        <v>1444</v>
      </c>
      <c r="C277" s="15">
        <v>1.0</v>
      </c>
      <c r="D277" s="15" t="s">
        <v>266</v>
      </c>
      <c r="E277" s="7" t="s">
        <v>1646</v>
      </c>
      <c r="F277" s="10" t="s">
        <v>1647</v>
      </c>
      <c r="G277" s="15">
        <v>3.0</v>
      </c>
      <c r="H277" s="15" t="s">
        <v>1470</v>
      </c>
      <c r="I277" s="15" t="s">
        <v>26</v>
      </c>
    </row>
    <row r="278">
      <c r="A278" s="16" t="s">
        <v>1648</v>
      </c>
      <c r="B278" s="91" t="s">
        <v>1444</v>
      </c>
      <c r="C278" s="15">
        <v>1.0</v>
      </c>
      <c r="D278" s="15" t="s">
        <v>1571</v>
      </c>
      <c r="E278" s="16" t="s">
        <v>1649</v>
      </c>
      <c r="F278" s="33"/>
      <c r="G278" s="15">
        <v>4.0</v>
      </c>
      <c r="H278" s="15" t="s">
        <v>1594</v>
      </c>
      <c r="I278" s="15" t="s">
        <v>62</v>
      </c>
    </row>
    <row r="279">
      <c r="A279" s="7" t="s">
        <v>1650</v>
      </c>
      <c r="B279" s="7" t="s">
        <v>1444</v>
      </c>
      <c r="C279" s="9">
        <v>1.0</v>
      </c>
      <c r="D279" s="9" t="s">
        <v>330</v>
      </c>
      <c r="E279" s="7" t="s">
        <v>1651</v>
      </c>
      <c r="F279" s="10" t="s">
        <v>1652</v>
      </c>
      <c r="G279" s="9">
        <v>5.0</v>
      </c>
      <c r="H279" s="9" t="s">
        <v>1559</v>
      </c>
      <c r="I279" s="9" t="s">
        <v>26</v>
      </c>
    </row>
    <row r="280" hidden="1">
      <c r="A280" s="16" t="s">
        <v>1653</v>
      </c>
      <c r="B280" s="16" t="s">
        <v>1444</v>
      </c>
      <c r="C280" s="15">
        <v>0.0</v>
      </c>
      <c r="D280" s="15" t="s">
        <v>97</v>
      </c>
      <c r="E280" s="7" t="s">
        <v>1654</v>
      </c>
      <c r="F280" s="10" t="s">
        <v>1655</v>
      </c>
      <c r="G280" s="15">
        <v>2.0</v>
      </c>
      <c r="H280" s="15" t="s">
        <v>1446</v>
      </c>
      <c r="I280" s="15" t="s">
        <v>26</v>
      </c>
    </row>
    <row r="281">
      <c r="A281" s="7" t="s">
        <v>1656</v>
      </c>
      <c r="B281" s="7" t="s">
        <v>1444</v>
      </c>
      <c r="C281" s="9">
        <v>1.0</v>
      </c>
      <c r="D281" s="9" t="s">
        <v>609</v>
      </c>
      <c r="E281" s="7" t="s">
        <v>1657</v>
      </c>
      <c r="F281" s="10" t="s">
        <v>1658</v>
      </c>
      <c r="G281" s="9">
        <v>3.0</v>
      </c>
      <c r="H281" s="9" t="s">
        <v>1466</v>
      </c>
      <c r="I281" s="9" t="s">
        <v>62</v>
      </c>
    </row>
    <row r="282">
      <c r="A282" s="7" t="s">
        <v>1659</v>
      </c>
      <c r="B282" s="7" t="s">
        <v>1444</v>
      </c>
      <c r="C282" s="9">
        <v>1.0</v>
      </c>
      <c r="D282" s="9" t="s">
        <v>1340</v>
      </c>
      <c r="E282" s="16" t="s">
        <v>1660</v>
      </c>
      <c r="F282" s="10" t="s">
        <v>1661</v>
      </c>
      <c r="G282" s="9">
        <v>3.0</v>
      </c>
      <c r="H282" s="9" t="s">
        <v>1583</v>
      </c>
      <c r="I282" s="9" t="s">
        <v>26</v>
      </c>
    </row>
    <row r="283" hidden="1">
      <c r="A283" s="7" t="s">
        <v>1662</v>
      </c>
      <c r="B283" s="98" t="s">
        <v>1663</v>
      </c>
      <c r="C283" s="9">
        <v>2.0</v>
      </c>
      <c r="D283" s="9" t="s">
        <v>107</v>
      </c>
      <c r="E283" s="7" t="s">
        <v>1664</v>
      </c>
      <c r="F283" s="17" t="s">
        <v>1665</v>
      </c>
      <c r="G283" s="9">
        <v>1.0</v>
      </c>
      <c r="H283" s="9" t="s">
        <v>1666</v>
      </c>
      <c r="I283" s="15" t="s">
        <v>62</v>
      </c>
    </row>
    <row r="284">
      <c r="A284" s="20" t="s">
        <v>1667</v>
      </c>
      <c r="B284" s="7" t="s">
        <v>1444</v>
      </c>
      <c r="C284" s="9">
        <v>1.0</v>
      </c>
      <c r="D284" s="9" t="s">
        <v>1613</v>
      </c>
      <c r="E284" s="7" t="s">
        <v>1668</v>
      </c>
      <c r="F284" s="10" t="s">
        <v>1669</v>
      </c>
      <c r="G284" s="9">
        <v>2.0</v>
      </c>
      <c r="H284" s="9" t="s">
        <v>1446</v>
      </c>
      <c r="I284" s="21" t="s">
        <v>26</v>
      </c>
    </row>
    <row r="285" hidden="1">
      <c r="A285" s="22" t="s">
        <v>1670</v>
      </c>
      <c r="B285" s="98" t="s">
        <v>1663</v>
      </c>
      <c r="C285" s="9">
        <v>2.0</v>
      </c>
      <c r="D285" s="9" t="s">
        <v>1671</v>
      </c>
      <c r="E285" s="7" t="s">
        <v>1672</v>
      </c>
      <c r="F285" s="10" t="s">
        <v>1673</v>
      </c>
      <c r="G285" s="9">
        <v>4.0</v>
      </c>
      <c r="H285" s="9" t="s">
        <v>1674</v>
      </c>
      <c r="I285" s="9" t="s">
        <v>32</v>
      </c>
    </row>
    <row r="286" hidden="1">
      <c r="A286" s="16" t="s">
        <v>1675</v>
      </c>
      <c r="B286" s="99" t="s">
        <v>1663</v>
      </c>
      <c r="C286" s="15">
        <v>2.0</v>
      </c>
      <c r="D286" s="15" t="s">
        <v>1676</v>
      </c>
      <c r="E286" s="30" t="s">
        <v>1677</v>
      </c>
      <c r="F286" s="17" t="s">
        <v>1678</v>
      </c>
      <c r="G286" s="15">
        <v>4.0</v>
      </c>
      <c r="H286" s="15" t="s">
        <v>1679</v>
      </c>
      <c r="I286" s="9" t="s">
        <v>32</v>
      </c>
    </row>
    <row r="287" hidden="1">
      <c r="A287" s="7" t="s">
        <v>1680</v>
      </c>
      <c r="B287" s="98" t="s">
        <v>1663</v>
      </c>
      <c r="C287" s="9">
        <v>2.0</v>
      </c>
      <c r="D287" s="9" t="s">
        <v>1681</v>
      </c>
      <c r="E287" s="16" t="s">
        <v>1682</v>
      </c>
      <c r="F287" s="10" t="s">
        <v>1683</v>
      </c>
      <c r="G287" s="9">
        <v>3.0</v>
      </c>
      <c r="H287" s="9" t="s">
        <v>1684</v>
      </c>
      <c r="I287" s="15" t="s">
        <v>62</v>
      </c>
    </row>
    <row r="288" hidden="1">
      <c r="A288" s="7" t="s">
        <v>1685</v>
      </c>
      <c r="B288" s="98" t="s">
        <v>1663</v>
      </c>
      <c r="C288" s="9">
        <v>2.0</v>
      </c>
      <c r="D288" s="9" t="s">
        <v>160</v>
      </c>
      <c r="E288" s="100" t="s">
        <v>1686</v>
      </c>
      <c r="F288" s="10" t="s">
        <v>1687</v>
      </c>
      <c r="G288" s="9">
        <v>0.0</v>
      </c>
      <c r="H288" s="9" t="s">
        <v>1688</v>
      </c>
      <c r="I288" s="15" t="s">
        <v>62</v>
      </c>
    </row>
    <row r="289" hidden="1">
      <c r="A289" s="16" t="s">
        <v>1689</v>
      </c>
      <c r="B289" s="98" t="s">
        <v>1663</v>
      </c>
      <c r="C289" s="9">
        <v>2.0</v>
      </c>
      <c r="D289" s="9" t="s">
        <v>107</v>
      </c>
      <c r="E289" s="7" t="s">
        <v>1690</v>
      </c>
      <c r="F289" s="10" t="s">
        <v>1691</v>
      </c>
      <c r="G289" s="9">
        <v>3.0</v>
      </c>
      <c r="H289" s="9" t="s">
        <v>1684</v>
      </c>
      <c r="I289" s="9" t="s">
        <v>26</v>
      </c>
    </row>
    <row r="290" hidden="1">
      <c r="A290" s="16" t="s">
        <v>1692</v>
      </c>
      <c r="B290" s="99" t="s">
        <v>1663</v>
      </c>
      <c r="C290" s="15">
        <v>2.0</v>
      </c>
      <c r="D290" s="15" t="s">
        <v>927</v>
      </c>
      <c r="E290" s="16" t="s">
        <v>1693</v>
      </c>
      <c r="F290" s="17" t="s">
        <v>1694</v>
      </c>
      <c r="G290" s="15">
        <v>0.0</v>
      </c>
      <c r="H290" s="15" t="s">
        <v>1688</v>
      </c>
      <c r="I290" s="15" t="s">
        <v>62</v>
      </c>
    </row>
    <row r="291" hidden="1">
      <c r="A291" s="16" t="s">
        <v>1695</v>
      </c>
      <c r="B291" s="99" t="s">
        <v>1663</v>
      </c>
      <c r="C291" s="15">
        <v>2.0</v>
      </c>
      <c r="D291" s="15" t="s">
        <v>107</v>
      </c>
      <c r="E291" s="16" t="s">
        <v>1696</v>
      </c>
      <c r="F291" s="17" t="s">
        <v>611</v>
      </c>
      <c r="G291" s="15">
        <v>4.0</v>
      </c>
      <c r="H291" s="15" t="s">
        <v>1697</v>
      </c>
      <c r="I291" s="9" t="s">
        <v>26</v>
      </c>
    </row>
    <row r="292" hidden="1">
      <c r="A292" s="7" t="s">
        <v>1698</v>
      </c>
      <c r="B292" s="98" t="s">
        <v>1663</v>
      </c>
      <c r="C292" s="9">
        <v>2.0</v>
      </c>
      <c r="D292" s="9" t="s">
        <v>1681</v>
      </c>
      <c r="E292" s="7" t="s">
        <v>1699</v>
      </c>
      <c r="F292" s="10" t="s">
        <v>611</v>
      </c>
      <c r="G292" s="9">
        <v>1.0</v>
      </c>
      <c r="H292" s="9" t="s">
        <v>1700</v>
      </c>
      <c r="I292" s="9" t="s">
        <v>32</v>
      </c>
    </row>
    <row r="293" hidden="1">
      <c r="A293" s="7" t="s">
        <v>1701</v>
      </c>
      <c r="B293" s="98" t="s">
        <v>1663</v>
      </c>
      <c r="C293" s="9">
        <v>2.0</v>
      </c>
      <c r="D293" s="9" t="s">
        <v>180</v>
      </c>
      <c r="E293" s="7" t="s">
        <v>1702</v>
      </c>
      <c r="F293" s="10" t="s">
        <v>1691</v>
      </c>
      <c r="G293" s="9">
        <v>5.0</v>
      </c>
      <c r="H293" s="9" t="s">
        <v>1674</v>
      </c>
      <c r="I293" s="9" t="s">
        <v>62</v>
      </c>
    </row>
    <row r="294">
      <c r="A294" s="7" t="s">
        <v>1703</v>
      </c>
      <c r="B294" s="7" t="s">
        <v>1444</v>
      </c>
      <c r="C294" s="9">
        <v>1.0</v>
      </c>
      <c r="D294" s="9" t="s">
        <v>1340</v>
      </c>
      <c r="E294" s="16" t="s">
        <v>1704</v>
      </c>
      <c r="F294" s="17" t="s">
        <v>1705</v>
      </c>
      <c r="G294" s="9">
        <v>2.0</v>
      </c>
      <c r="H294" s="9" t="s">
        <v>1446</v>
      </c>
      <c r="I294" s="9" t="s">
        <v>26</v>
      </c>
    </row>
    <row r="295" hidden="1">
      <c r="A295" s="7" t="s">
        <v>1706</v>
      </c>
      <c r="B295" s="98" t="s">
        <v>1663</v>
      </c>
      <c r="C295" s="9">
        <v>2.0</v>
      </c>
      <c r="D295" s="9" t="s">
        <v>1681</v>
      </c>
      <c r="E295" s="7" t="s">
        <v>1707</v>
      </c>
      <c r="F295" s="10" t="s">
        <v>611</v>
      </c>
      <c r="G295" s="9">
        <v>1.0</v>
      </c>
      <c r="H295" s="9" t="s">
        <v>1666</v>
      </c>
      <c r="I295" s="9" t="s">
        <v>26</v>
      </c>
    </row>
    <row r="296">
      <c r="A296" s="80" t="s">
        <v>1708</v>
      </c>
      <c r="B296" s="7" t="s">
        <v>1444</v>
      </c>
      <c r="C296" s="9">
        <v>1.0</v>
      </c>
      <c r="D296" s="9" t="s">
        <v>1709</v>
      </c>
      <c r="E296" s="7" t="s">
        <v>1710</v>
      </c>
      <c r="F296" s="17" t="s">
        <v>1711</v>
      </c>
      <c r="G296" s="9">
        <v>5.0</v>
      </c>
      <c r="H296" s="9" t="s">
        <v>1712</v>
      </c>
      <c r="I296" s="9" t="s">
        <v>62</v>
      </c>
    </row>
    <row r="297" hidden="1">
      <c r="A297" s="7" t="s">
        <v>1713</v>
      </c>
      <c r="B297" s="7" t="s">
        <v>1444</v>
      </c>
      <c r="C297" s="9">
        <v>0.0</v>
      </c>
      <c r="D297" s="9" t="s">
        <v>609</v>
      </c>
      <c r="E297" s="16" t="s">
        <v>1714</v>
      </c>
      <c r="F297" s="17" t="s">
        <v>1715</v>
      </c>
      <c r="G297" s="9">
        <v>2.0</v>
      </c>
      <c r="H297" s="9" t="s">
        <v>1446</v>
      </c>
      <c r="I297" s="9" t="s">
        <v>26</v>
      </c>
    </row>
    <row r="298">
      <c r="A298" s="24" t="s">
        <v>1716</v>
      </c>
      <c r="B298" s="7" t="s">
        <v>1444</v>
      </c>
      <c r="C298" s="15">
        <v>1.0</v>
      </c>
      <c r="D298" s="9" t="s">
        <v>1557</v>
      </c>
      <c r="E298" s="7" t="s">
        <v>1717</v>
      </c>
      <c r="F298" s="10" t="s">
        <v>1718</v>
      </c>
      <c r="G298" s="9">
        <v>7.0</v>
      </c>
      <c r="H298" s="9" t="s">
        <v>1577</v>
      </c>
      <c r="I298" s="9" t="s">
        <v>62</v>
      </c>
    </row>
    <row r="299">
      <c r="A299" s="24" t="s">
        <v>1719</v>
      </c>
      <c r="B299" s="7" t="s">
        <v>1444</v>
      </c>
      <c r="C299" s="9">
        <v>1.0</v>
      </c>
      <c r="D299" s="9" t="s">
        <v>1588</v>
      </c>
      <c r="E299" s="7" t="s">
        <v>1720</v>
      </c>
      <c r="F299" s="10" t="s">
        <v>1721</v>
      </c>
      <c r="G299" s="9">
        <v>4.0</v>
      </c>
      <c r="H299" s="9" t="s">
        <v>1559</v>
      </c>
      <c r="I299" s="9" t="s">
        <v>26</v>
      </c>
    </row>
    <row r="300" hidden="1">
      <c r="A300" s="22" t="s">
        <v>1722</v>
      </c>
      <c r="B300" s="98" t="s">
        <v>1663</v>
      </c>
      <c r="C300" s="9">
        <v>2.0</v>
      </c>
      <c r="D300" s="9" t="s">
        <v>1118</v>
      </c>
      <c r="E300" s="7" t="s">
        <v>1723</v>
      </c>
      <c r="F300" s="10" t="s">
        <v>1724</v>
      </c>
      <c r="G300" s="9">
        <v>3.0</v>
      </c>
      <c r="H300" s="9" t="s">
        <v>1684</v>
      </c>
      <c r="I300" s="9" t="s">
        <v>26</v>
      </c>
    </row>
    <row r="301" hidden="1">
      <c r="A301" s="22" t="s">
        <v>1725</v>
      </c>
      <c r="B301" s="98" t="s">
        <v>1663</v>
      </c>
      <c r="C301" s="9">
        <v>2.0</v>
      </c>
      <c r="D301" s="9" t="s">
        <v>37</v>
      </c>
      <c r="E301" s="7" t="s">
        <v>1726</v>
      </c>
      <c r="F301" s="10" t="s">
        <v>1727</v>
      </c>
      <c r="G301" s="9">
        <v>6.0</v>
      </c>
      <c r="H301" s="9" t="s">
        <v>1728</v>
      </c>
      <c r="I301" s="9" t="s">
        <v>62</v>
      </c>
    </row>
    <row r="302" hidden="1">
      <c r="A302" s="7" t="s">
        <v>1729</v>
      </c>
      <c r="B302" s="98" t="s">
        <v>1663</v>
      </c>
      <c r="C302" s="9">
        <v>2.0</v>
      </c>
      <c r="D302" s="9" t="s">
        <v>1681</v>
      </c>
      <c r="E302" s="16" t="s">
        <v>1730</v>
      </c>
      <c r="F302" s="10" t="s">
        <v>1731</v>
      </c>
      <c r="G302" s="9">
        <v>2.0</v>
      </c>
      <c r="H302" s="9" t="s">
        <v>1688</v>
      </c>
      <c r="I302" s="9" t="s">
        <v>62</v>
      </c>
    </row>
    <row r="303" hidden="1">
      <c r="A303" s="16" t="s">
        <v>1732</v>
      </c>
      <c r="B303" s="98" t="s">
        <v>1663</v>
      </c>
      <c r="C303" s="9">
        <v>2.0</v>
      </c>
      <c r="D303" s="15" t="s">
        <v>977</v>
      </c>
      <c r="E303" s="16" t="s">
        <v>1733</v>
      </c>
      <c r="F303" s="55" t="s">
        <v>786</v>
      </c>
      <c r="G303" s="15">
        <v>5.0</v>
      </c>
      <c r="H303" s="15" t="s">
        <v>1734</v>
      </c>
      <c r="I303" s="15" t="s">
        <v>26</v>
      </c>
    </row>
    <row r="304">
      <c r="A304" s="7" t="s">
        <v>1735</v>
      </c>
      <c r="B304" s="7" t="s">
        <v>1444</v>
      </c>
      <c r="C304" s="9">
        <v>1.0</v>
      </c>
      <c r="D304" s="9" t="s">
        <v>266</v>
      </c>
      <c r="E304" s="7" t="s">
        <v>1736</v>
      </c>
      <c r="F304" s="10" t="s">
        <v>1737</v>
      </c>
      <c r="G304" s="9">
        <v>5.0</v>
      </c>
      <c r="H304" s="9" t="s">
        <v>1559</v>
      </c>
      <c r="I304" s="9" t="s">
        <v>26</v>
      </c>
    </row>
    <row r="305">
      <c r="A305" s="16" t="s">
        <v>1738</v>
      </c>
      <c r="B305" s="16" t="s">
        <v>1444</v>
      </c>
      <c r="C305" s="15">
        <v>1.0</v>
      </c>
      <c r="D305" s="15" t="s">
        <v>334</v>
      </c>
      <c r="E305" s="16" t="s">
        <v>1739</v>
      </c>
      <c r="F305" s="33"/>
      <c r="G305" s="15">
        <v>4.0</v>
      </c>
      <c r="H305" s="15" t="s">
        <v>1559</v>
      </c>
      <c r="I305" s="15" t="s">
        <v>62</v>
      </c>
    </row>
    <row r="306" hidden="1">
      <c r="A306" s="7" t="s">
        <v>1740</v>
      </c>
      <c r="B306" s="98" t="s">
        <v>1663</v>
      </c>
      <c r="C306" s="9">
        <v>2.0</v>
      </c>
      <c r="D306" s="9" t="s">
        <v>1741</v>
      </c>
      <c r="E306" s="18" t="s">
        <v>1742</v>
      </c>
      <c r="F306" s="17" t="s">
        <v>1743</v>
      </c>
      <c r="G306" s="9">
        <v>3.0</v>
      </c>
      <c r="H306" s="9" t="s">
        <v>1688</v>
      </c>
      <c r="I306" s="9" t="s">
        <v>62</v>
      </c>
    </row>
    <row r="307">
      <c r="A307" s="7" t="s">
        <v>1744</v>
      </c>
      <c r="B307" s="7" t="s">
        <v>1444</v>
      </c>
      <c r="C307" s="9">
        <v>1.0</v>
      </c>
      <c r="D307" s="9" t="s">
        <v>1745</v>
      </c>
      <c r="E307" s="7" t="s">
        <v>1746</v>
      </c>
      <c r="F307" s="10" t="s">
        <v>1747</v>
      </c>
      <c r="G307" s="9">
        <v>1.0</v>
      </c>
      <c r="H307" s="9" t="s">
        <v>1446</v>
      </c>
      <c r="I307" s="9" t="s">
        <v>26</v>
      </c>
    </row>
    <row r="308">
      <c r="A308" s="22" t="s">
        <v>1748</v>
      </c>
      <c r="B308" s="7" t="s">
        <v>1444</v>
      </c>
      <c r="C308" s="9">
        <v>1.0</v>
      </c>
      <c r="D308" s="9" t="s">
        <v>266</v>
      </c>
      <c r="E308" s="7" t="s">
        <v>1749</v>
      </c>
      <c r="F308" s="10" t="s">
        <v>1750</v>
      </c>
      <c r="G308" s="9">
        <v>1.0</v>
      </c>
      <c r="H308" s="9" t="s">
        <v>1470</v>
      </c>
      <c r="I308" s="9" t="s">
        <v>26</v>
      </c>
    </row>
    <row r="309" hidden="1">
      <c r="A309" s="7" t="s">
        <v>1751</v>
      </c>
      <c r="B309" s="98" t="s">
        <v>1663</v>
      </c>
      <c r="C309" s="9">
        <v>2.0</v>
      </c>
      <c r="D309" s="9" t="s">
        <v>180</v>
      </c>
      <c r="E309" s="7" t="s">
        <v>1752</v>
      </c>
      <c r="F309" s="10" t="s">
        <v>1691</v>
      </c>
      <c r="G309" s="9">
        <v>1.0</v>
      </c>
      <c r="H309" s="9" t="s">
        <v>1684</v>
      </c>
      <c r="I309" s="9" t="s">
        <v>26</v>
      </c>
    </row>
    <row r="310" hidden="1">
      <c r="A310" s="7" t="s">
        <v>1753</v>
      </c>
      <c r="B310" s="98" t="s">
        <v>1663</v>
      </c>
      <c r="C310" s="9">
        <v>2.0</v>
      </c>
      <c r="D310" s="9" t="s">
        <v>1641</v>
      </c>
      <c r="E310" s="7" t="s">
        <v>1754</v>
      </c>
      <c r="F310" s="10" t="s">
        <v>1755</v>
      </c>
      <c r="G310" s="9">
        <v>1.0</v>
      </c>
      <c r="H310" s="50" t="s">
        <v>1734</v>
      </c>
      <c r="I310" s="9" t="s">
        <v>62</v>
      </c>
    </row>
    <row r="311">
      <c r="A311" s="80" t="s">
        <v>1756</v>
      </c>
      <c r="B311" s="7" t="s">
        <v>1444</v>
      </c>
      <c r="C311" s="9">
        <v>1.0</v>
      </c>
      <c r="D311" s="9" t="s">
        <v>1610</v>
      </c>
      <c r="E311" s="7" t="s">
        <v>1757</v>
      </c>
      <c r="F311" s="10" t="s">
        <v>1758</v>
      </c>
      <c r="G311" s="9">
        <v>2.0</v>
      </c>
      <c r="H311" s="9" t="s">
        <v>1466</v>
      </c>
      <c r="I311" s="21" t="s">
        <v>62</v>
      </c>
    </row>
    <row r="312">
      <c r="A312" s="7" t="s">
        <v>1759</v>
      </c>
      <c r="B312" s="7" t="s">
        <v>1444</v>
      </c>
      <c r="C312" s="9">
        <v>1.0</v>
      </c>
      <c r="D312" s="9" t="s">
        <v>1760</v>
      </c>
      <c r="E312" s="7" t="s">
        <v>1761</v>
      </c>
      <c r="F312" s="10" t="s">
        <v>1762</v>
      </c>
      <c r="G312" s="9">
        <v>4.0</v>
      </c>
      <c r="H312" s="9" t="s">
        <v>1763</v>
      </c>
      <c r="I312" s="9" t="s">
        <v>32</v>
      </c>
    </row>
    <row r="313">
      <c r="A313" s="20" t="s">
        <v>1764</v>
      </c>
      <c r="B313" s="87" t="s">
        <v>1444</v>
      </c>
      <c r="C313" s="9">
        <v>1.0</v>
      </c>
      <c r="D313" s="9" t="s">
        <v>977</v>
      </c>
      <c r="E313" s="7" t="s">
        <v>1765</v>
      </c>
      <c r="F313" s="10" t="s">
        <v>1766</v>
      </c>
      <c r="G313" s="9">
        <v>6.0</v>
      </c>
      <c r="H313" s="9" t="s">
        <v>1466</v>
      </c>
      <c r="I313" s="9" t="s">
        <v>32</v>
      </c>
    </row>
    <row r="314">
      <c r="A314" s="7" t="s">
        <v>1767</v>
      </c>
      <c r="B314" s="7" t="s">
        <v>1444</v>
      </c>
      <c r="C314" s="9">
        <v>1.0</v>
      </c>
      <c r="D314" s="9" t="s">
        <v>174</v>
      </c>
      <c r="E314" s="7" t="s">
        <v>1768</v>
      </c>
      <c r="F314" s="10" t="s">
        <v>1769</v>
      </c>
      <c r="G314" s="9">
        <v>4.0</v>
      </c>
      <c r="H314" s="9" t="s">
        <v>1712</v>
      </c>
      <c r="I314" s="9" t="s">
        <v>32</v>
      </c>
    </row>
    <row r="315" hidden="1">
      <c r="A315" s="7" t="s">
        <v>1770</v>
      </c>
      <c r="B315" s="98" t="s">
        <v>1663</v>
      </c>
      <c r="C315" s="9">
        <v>2.0</v>
      </c>
      <c r="D315" s="9" t="s">
        <v>1681</v>
      </c>
      <c r="E315" s="7" t="s">
        <v>1771</v>
      </c>
      <c r="F315" s="10" t="s">
        <v>1772</v>
      </c>
      <c r="G315" s="9">
        <v>3.0</v>
      </c>
      <c r="H315" s="9" t="s">
        <v>1684</v>
      </c>
      <c r="I315" s="9" t="s">
        <v>62</v>
      </c>
    </row>
    <row r="316">
      <c r="A316" s="16" t="s">
        <v>1773</v>
      </c>
      <c r="B316" s="16" t="s">
        <v>1444</v>
      </c>
      <c r="C316" s="15">
        <v>1.0</v>
      </c>
      <c r="D316" s="15" t="s">
        <v>1671</v>
      </c>
      <c r="E316" s="16" t="s">
        <v>1774</v>
      </c>
      <c r="F316" s="17" t="s">
        <v>1775</v>
      </c>
      <c r="G316" s="15">
        <v>5.0</v>
      </c>
      <c r="H316" s="15" t="s">
        <v>1559</v>
      </c>
      <c r="I316" s="15" t="s">
        <v>32</v>
      </c>
    </row>
    <row r="317" hidden="1">
      <c r="A317" s="31" t="s">
        <v>1776</v>
      </c>
      <c r="B317" s="99" t="s">
        <v>1663</v>
      </c>
      <c r="C317" s="15">
        <v>2.0</v>
      </c>
      <c r="D317" s="15" t="s">
        <v>1521</v>
      </c>
      <c r="E317" s="16" t="s">
        <v>249</v>
      </c>
      <c r="F317" s="17" t="s">
        <v>1777</v>
      </c>
      <c r="G317" s="15">
        <v>2.0</v>
      </c>
      <c r="H317" s="15" t="s">
        <v>1688</v>
      </c>
      <c r="I317" s="15" t="s">
        <v>26</v>
      </c>
    </row>
    <row r="318" hidden="1">
      <c r="A318" s="22" t="s">
        <v>1778</v>
      </c>
      <c r="B318" s="98" t="s">
        <v>1663</v>
      </c>
      <c r="C318" s="15">
        <v>2.0</v>
      </c>
      <c r="D318" s="9" t="s">
        <v>107</v>
      </c>
      <c r="E318" s="87" t="s">
        <v>1779</v>
      </c>
      <c r="F318" s="10" t="s">
        <v>1780</v>
      </c>
      <c r="G318" s="9">
        <v>2.0</v>
      </c>
      <c r="H318" s="9" t="s">
        <v>1688</v>
      </c>
      <c r="I318" s="9" t="s">
        <v>26</v>
      </c>
    </row>
    <row r="319" hidden="1">
      <c r="A319" s="16" t="s">
        <v>1781</v>
      </c>
      <c r="B319" s="99" t="s">
        <v>1663</v>
      </c>
      <c r="C319" s="15">
        <v>2.0</v>
      </c>
      <c r="D319" s="15" t="s">
        <v>1782</v>
      </c>
      <c r="E319" s="16" t="s">
        <v>1783</v>
      </c>
      <c r="F319" s="17" t="s">
        <v>1784</v>
      </c>
      <c r="G319" s="15">
        <v>3.0</v>
      </c>
      <c r="H319" s="15" t="s">
        <v>1785</v>
      </c>
      <c r="I319" s="15" t="s">
        <v>26</v>
      </c>
    </row>
    <row r="320" hidden="1">
      <c r="A320" s="16" t="s">
        <v>1786</v>
      </c>
      <c r="B320" s="98" t="s">
        <v>1663</v>
      </c>
      <c r="C320" s="9">
        <v>2.0</v>
      </c>
      <c r="D320" s="9" t="s">
        <v>1671</v>
      </c>
      <c r="E320" s="7" t="s">
        <v>1787</v>
      </c>
      <c r="F320" s="10" t="s">
        <v>1788</v>
      </c>
      <c r="G320" s="9">
        <v>2.0</v>
      </c>
      <c r="H320" s="9" t="s">
        <v>1734</v>
      </c>
      <c r="I320" s="9" t="s">
        <v>62</v>
      </c>
    </row>
    <row r="321" hidden="1">
      <c r="A321" s="16" t="s">
        <v>1789</v>
      </c>
      <c r="B321" s="99" t="s">
        <v>1663</v>
      </c>
      <c r="C321" s="15">
        <v>2.0</v>
      </c>
      <c r="D321" s="15" t="s">
        <v>76</v>
      </c>
      <c r="E321" s="16" t="s">
        <v>1790</v>
      </c>
      <c r="F321" s="17" t="s">
        <v>1791</v>
      </c>
      <c r="G321" s="15">
        <v>0.0</v>
      </c>
      <c r="H321" s="15" t="s">
        <v>1734</v>
      </c>
      <c r="I321" s="15" t="s">
        <v>62</v>
      </c>
    </row>
    <row r="322">
      <c r="A322" s="31" t="s">
        <v>1792</v>
      </c>
      <c r="B322" s="16" t="s">
        <v>1444</v>
      </c>
      <c r="C322" s="15">
        <v>1.0</v>
      </c>
      <c r="D322" s="15" t="s">
        <v>334</v>
      </c>
      <c r="E322" s="16" t="s">
        <v>1793</v>
      </c>
      <c r="F322" s="33"/>
      <c r="G322" s="15">
        <v>6.0</v>
      </c>
      <c r="H322" s="15" t="s">
        <v>1794</v>
      </c>
      <c r="I322" s="9" t="s">
        <v>32</v>
      </c>
    </row>
    <row r="323">
      <c r="A323" s="16" t="s">
        <v>1795</v>
      </c>
      <c r="B323" s="16" t="s">
        <v>1444</v>
      </c>
      <c r="C323" s="15">
        <v>1.0</v>
      </c>
      <c r="D323" s="15" t="s">
        <v>266</v>
      </c>
      <c r="F323" s="33"/>
      <c r="G323" s="15">
        <v>1.0</v>
      </c>
      <c r="H323" s="15" t="s">
        <v>1608</v>
      </c>
      <c r="I323" s="15" t="s">
        <v>26</v>
      </c>
      <c r="J323" s="11" t="s">
        <v>1796</v>
      </c>
      <c r="K323" s="13" t="s">
        <v>1797</v>
      </c>
      <c r="L323" s="13" t="s">
        <v>1798</v>
      </c>
    </row>
    <row r="324">
      <c r="A324" s="7" t="s">
        <v>1799</v>
      </c>
      <c r="B324" s="7" t="s">
        <v>1444</v>
      </c>
      <c r="C324" s="9">
        <v>1.0</v>
      </c>
      <c r="D324" s="9" t="s">
        <v>1745</v>
      </c>
      <c r="F324" s="10" t="s">
        <v>1800</v>
      </c>
      <c r="G324" s="9">
        <v>4.0</v>
      </c>
      <c r="H324" s="9" t="s">
        <v>1583</v>
      </c>
      <c r="I324" s="9" t="s">
        <v>26</v>
      </c>
    </row>
    <row r="325" hidden="1">
      <c r="A325" s="16" t="s">
        <v>1801</v>
      </c>
      <c r="B325" s="99" t="s">
        <v>1663</v>
      </c>
      <c r="C325" s="15">
        <v>2.0</v>
      </c>
      <c r="D325" s="15" t="s">
        <v>1802</v>
      </c>
      <c r="E325" s="16" t="s">
        <v>1803</v>
      </c>
      <c r="F325" s="17" t="s">
        <v>1804</v>
      </c>
      <c r="G325" s="15">
        <v>4.0</v>
      </c>
      <c r="H325" s="15" t="s">
        <v>1734</v>
      </c>
      <c r="I325" s="15" t="s">
        <v>62</v>
      </c>
    </row>
    <row r="326">
      <c r="A326" s="16" t="s">
        <v>1805</v>
      </c>
      <c r="B326" s="16" t="s">
        <v>1444</v>
      </c>
      <c r="C326" s="15">
        <v>1.0</v>
      </c>
      <c r="D326" s="15" t="s">
        <v>867</v>
      </c>
      <c r="F326" s="33"/>
      <c r="G326" s="15">
        <v>5.0</v>
      </c>
      <c r="H326" s="15" t="s">
        <v>1806</v>
      </c>
      <c r="I326" s="15" t="s">
        <v>26</v>
      </c>
    </row>
    <row r="327" hidden="1">
      <c r="A327" s="16" t="s">
        <v>1807</v>
      </c>
      <c r="B327" s="99" t="s">
        <v>1663</v>
      </c>
      <c r="C327" s="15">
        <v>2.0</v>
      </c>
      <c r="D327" s="15" t="s">
        <v>1118</v>
      </c>
      <c r="E327" s="16" t="s">
        <v>1808</v>
      </c>
      <c r="F327" s="17" t="s">
        <v>1809</v>
      </c>
      <c r="G327" s="15">
        <v>2.0</v>
      </c>
      <c r="H327" s="15" t="s">
        <v>1684</v>
      </c>
      <c r="I327" s="15" t="s">
        <v>26</v>
      </c>
    </row>
    <row r="328">
      <c r="A328" s="31" t="s">
        <v>1810</v>
      </c>
      <c r="B328" s="16" t="s">
        <v>1444</v>
      </c>
      <c r="C328" s="15">
        <v>1.0</v>
      </c>
      <c r="D328" s="15" t="s">
        <v>1340</v>
      </c>
      <c r="E328" s="101" t="s">
        <v>1811</v>
      </c>
      <c r="F328" s="17" t="s">
        <v>1812</v>
      </c>
      <c r="G328" s="15">
        <v>1.0</v>
      </c>
      <c r="H328" s="15" t="s">
        <v>1608</v>
      </c>
      <c r="I328" s="15" t="s">
        <v>32</v>
      </c>
    </row>
    <row r="329">
      <c r="A329" s="31" t="s">
        <v>1813</v>
      </c>
      <c r="B329" s="16" t="s">
        <v>1444</v>
      </c>
      <c r="C329" s="15">
        <v>1.0</v>
      </c>
      <c r="D329" s="15" t="s">
        <v>1613</v>
      </c>
      <c r="E329" s="16" t="s">
        <v>1814</v>
      </c>
      <c r="F329" s="33"/>
      <c r="G329" s="15">
        <v>6.0</v>
      </c>
      <c r="H329" s="16" t="s">
        <v>1475</v>
      </c>
      <c r="I329" s="9" t="s">
        <v>62</v>
      </c>
    </row>
    <row r="330">
      <c r="A330" s="31" t="s">
        <v>1815</v>
      </c>
      <c r="B330" s="16" t="s">
        <v>1444</v>
      </c>
      <c r="C330" s="15">
        <v>1.0</v>
      </c>
      <c r="D330" s="15" t="s">
        <v>229</v>
      </c>
      <c r="E330" s="16" t="s">
        <v>1816</v>
      </c>
      <c r="F330" s="33"/>
      <c r="G330" s="15">
        <v>4.0</v>
      </c>
      <c r="H330" s="15" t="s">
        <v>1712</v>
      </c>
      <c r="I330" s="9" t="s">
        <v>32</v>
      </c>
    </row>
    <row r="331" hidden="1">
      <c r="A331" s="16" t="s">
        <v>1817</v>
      </c>
      <c r="B331" s="99" t="s">
        <v>1663</v>
      </c>
      <c r="C331" s="15">
        <v>2.0</v>
      </c>
      <c r="D331" s="15" t="s">
        <v>599</v>
      </c>
      <c r="E331" s="16" t="s">
        <v>1818</v>
      </c>
      <c r="F331" s="17" t="s">
        <v>1819</v>
      </c>
      <c r="G331" s="15">
        <v>0.0</v>
      </c>
      <c r="H331" s="15" t="s">
        <v>1674</v>
      </c>
      <c r="I331" s="15" t="s">
        <v>62</v>
      </c>
    </row>
    <row r="332" hidden="1">
      <c r="A332" s="7" t="s">
        <v>1820</v>
      </c>
      <c r="B332" s="98" t="s">
        <v>1663</v>
      </c>
      <c r="C332" s="9">
        <v>2.0</v>
      </c>
      <c r="D332" s="9" t="s">
        <v>298</v>
      </c>
      <c r="E332" s="7" t="s">
        <v>1821</v>
      </c>
      <c r="F332" s="10" t="s">
        <v>1822</v>
      </c>
      <c r="G332" s="9">
        <v>2.0</v>
      </c>
      <c r="H332" s="9" t="s">
        <v>1734</v>
      </c>
      <c r="I332" s="9" t="s">
        <v>62</v>
      </c>
    </row>
    <row r="333" hidden="1">
      <c r="A333" s="16" t="s">
        <v>1823</v>
      </c>
      <c r="B333" s="99" t="s">
        <v>1663</v>
      </c>
      <c r="C333" s="15">
        <v>2.0</v>
      </c>
      <c r="D333" s="15" t="s">
        <v>1824</v>
      </c>
      <c r="E333" s="16" t="s">
        <v>1825</v>
      </c>
      <c r="F333" s="17" t="s">
        <v>1826</v>
      </c>
      <c r="G333" s="15">
        <v>3.0</v>
      </c>
      <c r="H333" s="15" t="s">
        <v>1684</v>
      </c>
      <c r="I333" s="15" t="s">
        <v>26</v>
      </c>
    </row>
    <row r="334" hidden="1">
      <c r="A334" s="7" t="s">
        <v>1827</v>
      </c>
      <c r="B334" s="98" t="s">
        <v>1663</v>
      </c>
      <c r="C334" s="9">
        <v>2.0</v>
      </c>
      <c r="D334" s="9" t="s">
        <v>1828</v>
      </c>
      <c r="E334" s="7" t="s">
        <v>1829</v>
      </c>
      <c r="F334" s="10" t="s">
        <v>1830</v>
      </c>
      <c r="G334" s="9">
        <v>4.0</v>
      </c>
      <c r="H334" s="9" t="s">
        <v>1674</v>
      </c>
      <c r="I334" s="9" t="s">
        <v>62</v>
      </c>
    </row>
    <row r="335">
      <c r="A335" s="16" t="s">
        <v>1831</v>
      </c>
      <c r="B335" s="92" t="s">
        <v>1444</v>
      </c>
      <c r="C335" s="15">
        <v>1.0</v>
      </c>
      <c r="D335" s="15" t="s">
        <v>1832</v>
      </c>
      <c r="E335" s="16" t="s">
        <v>1833</v>
      </c>
      <c r="F335" s="33"/>
      <c r="G335" s="15">
        <v>0.0</v>
      </c>
      <c r="H335" s="15" t="s">
        <v>1475</v>
      </c>
      <c r="I335" s="15" t="s">
        <v>32</v>
      </c>
    </row>
    <row r="336" hidden="1">
      <c r="A336" s="16" t="s">
        <v>1834</v>
      </c>
      <c r="B336" s="98" t="s">
        <v>1663</v>
      </c>
      <c r="C336" s="9">
        <v>2.0</v>
      </c>
      <c r="D336" s="15" t="s">
        <v>1835</v>
      </c>
      <c r="E336" s="16" t="s">
        <v>1836</v>
      </c>
      <c r="F336" s="17" t="s">
        <v>1837</v>
      </c>
      <c r="G336" s="15">
        <v>2.0</v>
      </c>
      <c r="H336" s="15" t="s">
        <v>1688</v>
      </c>
      <c r="I336" s="15" t="s">
        <v>26</v>
      </c>
    </row>
    <row r="337" hidden="1">
      <c r="A337" s="16" t="s">
        <v>1838</v>
      </c>
      <c r="B337" s="99" t="s">
        <v>1663</v>
      </c>
      <c r="C337" s="15">
        <v>2.0</v>
      </c>
      <c r="D337" s="15" t="s">
        <v>160</v>
      </c>
      <c r="E337" s="16" t="s">
        <v>1839</v>
      </c>
      <c r="F337" s="17" t="s">
        <v>1840</v>
      </c>
      <c r="G337" s="15">
        <v>0.0</v>
      </c>
      <c r="H337" s="15" t="s">
        <v>1734</v>
      </c>
      <c r="I337" s="15" t="s">
        <v>62</v>
      </c>
    </row>
    <row r="338" hidden="1">
      <c r="A338" s="51" t="s">
        <v>1841</v>
      </c>
      <c r="B338" s="51"/>
      <c r="C338" s="53">
        <v>2.0</v>
      </c>
      <c r="D338" s="53" t="s">
        <v>1842</v>
      </c>
      <c r="E338" s="54" t="s">
        <v>1843</v>
      </c>
      <c r="F338" s="55" t="s">
        <v>1844</v>
      </c>
      <c r="G338" s="56">
        <v>3.0</v>
      </c>
      <c r="H338" s="53" t="s">
        <v>1845</v>
      </c>
      <c r="I338" s="53" t="s">
        <v>26</v>
      </c>
    </row>
    <row r="339">
      <c r="A339" s="16" t="s">
        <v>1846</v>
      </c>
      <c r="B339" s="16" t="s">
        <v>1444</v>
      </c>
      <c r="C339" s="15">
        <v>1.0</v>
      </c>
      <c r="D339" s="15" t="s">
        <v>40</v>
      </c>
      <c r="F339" s="33"/>
      <c r="G339" s="15">
        <v>6.0</v>
      </c>
      <c r="H339" s="15" t="s">
        <v>1847</v>
      </c>
      <c r="I339" s="15" t="s">
        <v>26</v>
      </c>
    </row>
    <row r="340" hidden="1">
      <c r="A340" s="16" t="s">
        <v>1848</v>
      </c>
      <c r="C340" s="15">
        <v>2.0</v>
      </c>
      <c r="D340" s="15" t="s">
        <v>1521</v>
      </c>
      <c r="E340" s="16" t="s">
        <v>249</v>
      </c>
      <c r="F340" s="17" t="s">
        <v>1849</v>
      </c>
      <c r="G340" s="15">
        <v>2.0</v>
      </c>
      <c r="H340" s="15" t="s">
        <v>1850</v>
      </c>
      <c r="I340" s="15" t="s">
        <v>26</v>
      </c>
    </row>
    <row r="341" hidden="1">
      <c r="A341" s="51" t="s">
        <v>1851</v>
      </c>
      <c r="B341" s="51"/>
      <c r="C341" s="53">
        <v>2.0</v>
      </c>
      <c r="D341" s="53" t="s">
        <v>1802</v>
      </c>
      <c r="E341" s="54" t="s">
        <v>1852</v>
      </c>
      <c r="F341" s="55" t="s">
        <v>1853</v>
      </c>
      <c r="G341" s="53">
        <v>9.0</v>
      </c>
      <c r="H341" s="53" t="s">
        <v>1854</v>
      </c>
      <c r="I341" s="56" t="s">
        <v>62</v>
      </c>
    </row>
    <row r="342" hidden="1">
      <c r="A342" s="51" t="s">
        <v>1855</v>
      </c>
      <c r="B342" s="51"/>
      <c r="C342" s="53">
        <v>2.0</v>
      </c>
      <c r="D342" s="53" t="s">
        <v>1856</v>
      </c>
      <c r="E342" s="102" t="s">
        <v>1857</v>
      </c>
      <c r="F342" s="55" t="s">
        <v>1858</v>
      </c>
      <c r="G342" s="53">
        <v>6.0</v>
      </c>
      <c r="H342" s="53" t="s">
        <v>1859</v>
      </c>
      <c r="I342" s="56" t="s">
        <v>26</v>
      </c>
    </row>
    <row r="343" hidden="1">
      <c r="A343" s="16" t="s">
        <v>1860</v>
      </c>
      <c r="B343" s="16"/>
      <c r="C343" s="15">
        <v>2.0</v>
      </c>
      <c r="D343" s="15"/>
      <c r="E343" s="16" t="s">
        <v>1861</v>
      </c>
      <c r="F343" s="17" t="s">
        <v>1862</v>
      </c>
      <c r="G343" s="15">
        <v>2.0</v>
      </c>
      <c r="H343" s="15" t="s">
        <v>1850</v>
      </c>
      <c r="I343" s="15" t="s">
        <v>62</v>
      </c>
    </row>
    <row r="344">
      <c r="A344" s="7" t="s">
        <v>1863</v>
      </c>
      <c r="B344" s="7" t="s">
        <v>1444</v>
      </c>
      <c r="C344" s="9">
        <v>1.0</v>
      </c>
      <c r="D344" s="9" t="s">
        <v>334</v>
      </c>
      <c r="F344" s="63" t="s">
        <v>1864</v>
      </c>
      <c r="G344" s="9">
        <v>8.0</v>
      </c>
      <c r="H344" s="9" t="s">
        <v>1577</v>
      </c>
      <c r="I344" s="9" t="s">
        <v>26</v>
      </c>
    </row>
    <row r="345" hidden="1">
      <c r="A345" s="16" t="s">
        <v>1865</v>
      </c>
      <c r="B345" s="16"/>
      <c r="C345" s="15">
        <v>2.0</v>
      </c>
      <c r="D345" s="15" t="s">
        <v>1866</v>
      </c>
      <c r="E345" s="16" t="s">
        <v>1867</v>
      </c>
      <c r="F345" s="17" t="s">
        <v>786</v>
      </c>
      <c r="G345" s="15">
        <v>0.0</v>
      </c>
      <c r="H345" s="15" t="s">
        <v>1850</v>
      </c>
      <c r="I345" s="15" t="s">
        <v>62</v>
      </c>
    </row>
    <row r="346">
      <c r="A346" s="16" t="s">
        <v>1868</v>
      </c>
      <c r="B346" s="16" t="s">
        <v>1444</v>
      </c>
      <c r="C346" s="15">
        <v>1.0</v>
      </c>
      <c r="D346" s="15" t="s">
        <v>946</v>
      </c>
      <c r="F346" s="33"/>
      <c r="G346" s="15">
        <v>2.0</v>
      </c>
      <c r="H346" s="15" t="s">
        <v>1446</v>
      </c>
      <c r="I346" s="15" t="s">
        <v>26</v>
      </c>
    </row>
    <row r="347">
      <c r="A347" s="16" t="s">
        <v>1869</v>
      </c>
      <c r="B347" s="16" t="s">
        <v>1635</v>
      </c>
      <c r="C347" s="15">
        <v>1.0</v>
      </c>
      <c r="D347" s="15" t="s">
        <v>1641</v>
      </c>
      <c r="E347" s="16" t="s">
        <v>1870</v>
      </c>
      <c r="F347" s="38" t="s">
        <v>1871</v>
      </c>
      <c r="G347" s="15">
        <v>0.0</v>
      </c>
      <c r="H347" s="15" t="s">
        <v>1872</v>
      </c>
      <c r="I347" s="15" t="s">
        <v>62</v>
      </c>
    </row>
    <row r="348">
      <c r="A348" s="7" t="s">
        <v>1873</v>
      </c>
      <c r="B348" s="7" t="s">
        <v>1635</v>
      </c>
      <c r="C348" s="9">
        <v>1.0</v>
      </c>
      <c r="D348" s="9" t="s">
        <v>927</v>
      </c>
      <c r="E348" s="7" t="s">
        <v>1874</v>
      </c>
      <c r="F348" s="10" t="s">
        <v>1875</v>
      </c>
      <c r="G348" s="9">
        <v>1.0</v>
      </c>
      <c r="H348" s="9" t="s">
        <v>1876</v>
      </c>
      <c r="I348" s="9" t="s">
        <v>32</v>
      </c>
    </row>
    <row r="349">
      <c r="A349" s="7" t="s">
        <v>1877</v>
      </c>
      <c r="B349" s="7" t="s">
        <v>1635</v>
      </c>
      <c r="C349" s="9">
        <v>1.0</v>
      </c>
      <c r="D349" s="9" t="s">
        <v>1878</v>
      </c>
      <c r="E349" s="7"/>
      <c r="F349" s="10" t="s">
        <v>1879</v>
      </c>
      <c r="G349" s="9">
        <v>2.0</v>
      </c>
      <c r="H349" s="9" t="s">
        <v>1880</v>
      </c>
      <c r="I349" s="9" t="s">
        <v>26</v>
      </c>
    </row>
    <row r="350">
      <c r="A350" s="16" t="s">
        <v>1881</v>
      </c>
      <c r="B350" s="16" t="s">
        <v>1663</v>
      </c>
      <c r="C350" s="15">
        <v>1.0</v>
      </c>
      <c r="D350" s="15" t="s">
        <v>1882</v>
      </c>
      <c r="E350" s="16" t="s">
        <v>1883</v>
      </c>
      <c r="F350" s="17" t="s">
        <v>1884</v>
      </c>
      <c r="G350" s="15">
        <v>2.0</v>
      </c>
      <c r="H350" s="15" t="s">
        <v>1885</v>
      </c>
      <c r="I350" s="15" t="s">
        <v>62</v>
      </c>
      <c r="J350" s="11" t="s">
        <v>1886</v>
      </c>
      <c r="K350" s="13" t="s">
        <v>1887</v>
      </c>
    </row>
    <row r="351">
      <c r="A351" s="7" t="s">
        <v>1888</v>
      </c>
      <c r="B351" s="7" t="s">
        <v>1663</v>
      </c>
      <c r="C351" s="9">
        <v>1.0</v>
      </c>
      <c r="D351" s="9" t="s">
        <v>1828</v>
      </c>
      <c r="E351" s="7" t="s">
        <v>1889</v>
      </c>
      <c r="F351" s="10" t="s">
        <v>1890</v>
      </c>
      <c r="G351" s="9">
        <v>4.0</v>
      </c>
      <c r="H351" s="50" t="s">
        <v>1734</v>
      </c>
      <c r="I351" s="9" t="s">
        <v>62</v>
      </c>
    </row>
    <row r="352">
      <c r="A352" s="22" t="s">
        <v>1891</v>
      </c>
      <c r="B352" s="7" t="s">
        <v>1663</v>
      </c>
      <c r="C352" s="9">
        <v>1.0</v>
      </c>
      <c r="D352" s="9" t="s">
        <v>1835</v>
      </c>
      <c r="E352" s="7" t="s">
        <v>1892</v>
      </c>
      <c r="F352" s="17" t="s">
        <v>1893</v>
      </c>
      <c r="G352" s="9">
        <v>2.0</v>
      </c>
      <c r="H352" s="9" t="s">
        <v>1684</v>
      </c>
      <c r="I352" s="9" t="s">
        <v>62</v>
      </c>
    </row>
    <row r="353">
      <c r="A353" s="16" t="s">
        <v>1894</v>
      </c>
      <c r="B353" s="7" t="s">
        <v>1663</v>
      </c>
      <c r="C353" s="9">
        <v>1.0</v>
      </c>
      <c r="D353" s="15" t="s">
        <v>1118</v>
      </c>
      <c r="E353" s="16" t="s">
        <v>1895</v>
      </c>
      <c r="F353" s="17" t="s">
        <v>1203</v>
      </c>
      <c r="G353" s="15">
        <v>2.0</v>
      </c>
      <c r="H353" s="15" t="s">
        <v>1688</v>
      </c>
      <c r="I353" s="15" t="s">
        <v>26</v>
      </c>
    </row>
    <row r="354">
      <c r="A354" s="7" t="s">
        <v>1896</v>
      </c>
      <c r="B354" s="7" t="s">
        <v>1663</v>
      </c>
      <c r="C354" s="9">
        <v>1.0</v>
      </c>
      <c r="D354" s="15" t="s">
        <v>1897</v>
      </c>
      <c r="E354" s="16" t="s">
        <v>1898</v>
      </c>
      <c r="F354" s="17" t="s">
        <v>1899</v>
      </c>
      <c r="G354" s="15">
        <v>2.0</v>
      </c>
      <c r="H354" s="15" t="s">
        <v>1785</v>
      </c>
      <c r="I354" s="9" t="s">
        <v>62</v>
      </c>
    </row>
    <row r="355">
      <c r="A355" s="7" t="s">
        <v>1900</v>
      </c>
      <c r="B355" s="7" t="s">
        <v>1663</v>
      </c>
      <c r="C355" s="9">
        <v>1.0</v>
      </c>
      <c r="D355" s="9" t="s">
        <v>294</v>
      </c>
      <c r="E355" s="7" t="s">
        <v>1901</v>
      </c>
      <c r="F355" s="10" t="s">
        <v>1902</v>
      </c>
      <c r="G355" s="9">
        <v>3.0</v>
      </c>
      <c r="H355" s="9" t="s">
        <v>1785</v>
      </c>
      <c r="I355" s="9" t="s">
        <v>62</v>
      </c>
    </row>
    <row r="356">
      <c r="A356" s="7" t="s">
        <v>1903</v>
      </c>
      <c r="B356" s="7" t="s">
        <v>1663</v>
      </c>
      <c r="C356" s="9">
        <v>1.0</v>
      </c>
      <c r="D356" s="9" t="s">
        <v>1118</v>
      </c>
      <c r="E356" s="16" t="s">
        <v>1904</v>
      </c>
      <c r="F356" s="10" t="s">
        <v>1905</v>
      </c>
      <c r="G356" s="9">
        <v>3.0</v>
      </c>
      <c r="H356" s="9" t="s">
        <v>1684</v>
      </c>
      <c r="I356" s="9" t="s">
        <v>26</v>
      </c>
    </row>
    <row r="357">
      <c r="A357" s="16" t="s">
        <v>1906</v>
      </c>
      <c r="B357" s="7" t="s">
        <v>1663</v>
      </c>
      <c r="C357" s="9">
        <v>1.0</v>
      </c>
      <c r="D357" s="15" t="s">
        <v>1118</v>
      </c>
      <c r="E357" s="16" t="s">
        <v>1907</v>
      </c>
      <c r="F357" s="17" t="s">
        <v>1908</v>
      </c>
      <c r="G357" s="15">
        <v>3.0</v>
      </c>
      <c r="H357" s="15" t="s">
        <v>1684</v>
      </c>
      <c r="I357" s="15" t="s">
        <v>26</v>
      </c>
    </row>
    <row r="358">
      <c r="A358" s="24" t="s">
        <v>1909</v>
      </c>
      <c r="B358" s="7" t="s">
        <v>1663</v>
      </c>
      <c r="C358" s="9">
        <v>1.0</v>
      </c>
      <c r="D358" s="21" t="s">
        <v>1681</v>
      </c>
      <c r="E358" s="7" t="s">
        <v>1910</v>
      </c>
      <c r="F358" s="17" t="s">
        <v>1911</v>
      </c>
      <c r="G358" s="9">
        <v>2.0</v>
      </c>
      <c r="H358" s="9" t="s">
        <v>1688</v>
      </c>
      <c r="I358" s="15" t="s">
        <v>26</v>
      </c>
    </row>
    <row r="359">
      <c r="A359" s="7" t="s">
        <v>1912</v>
      </c>
      <c r="B359" s="7" t="s">
        <v>1663</v>
      </c>
      <c r="C359" s="9">
        <v>1.0</v>
      </c>
      <c r="D359" s="9" t="s">
        <v>1636</v>
      </c>
      <c r="E359" s="7" t="s">
        <v>1913</v>
      </c>
      <c r="F359" s="103" t="s">
        <v>1914</v>
      </c>
      <c r="G359" s="9">
        <v>4.0</v>
      </c>
      <c r="H359" s="9" t="s">
        <v>1785</v>
      </c>
      <c r="I359" s="15" t="s">
        <v>26</v>
      </c>
    </row>
    <row r="360">
      <c r="A360" s="20" t="s">
        <v>1915</v>
      </c>
      <c r="B360" s="7" t="s">
        <v>1663</v>
      </c>
      <c r="C360" s="9">
        <v>1.0</v>
      </c>
      <c r="D360" s="9" t="s">
        <v>160</v>
      </c>
      <c r="E360" s="7" t="s">
        <v>1916</v>
      </c>
      <c r="F360" s="10" t="s">
        <v>1917</v>
      </c>
      <c r="G360" s="9">
        <v>0.0</v>
      </c>
      <c r="H360" s="9" t="s">
        <v>1684</v>
      </c>
      <c r="I360" s="9" t="s">
        <v>26</v>
      </c>
    </row>
    <row r="361">
      <c r="A361" s="51" t="s">
        <v>1918</v>
      </c>
      <c r="B361" s="54" t="s">
        <v>1663</v>
      </c>
      <c r="C361" s="53">
        <v>1.0</v>
      </c>
      <c r="D361" s="53" t="s">
        <v>1407</v>
      </c>
      <c r="E361" s="54" t="s">
        <v>1919</v>
      </c>
      <c r="F361" s="55" t="s">
        <v>1920</v>
      </c>
      <c r="G361" s="53">
        <v>4.0</v>
      </c>
      <c r="H361" s="53" t="s">
        <v>1674</v>
      </c>
      <c r="I361" s="53" t="s">
        <v>62</v>
      </c>
    </row>
    <row r="362" hidden="1">
      <c r="A362" s="16" t="s">
        <v>1921</v>
      </c>
      <c r="B362" s="16" t="s">
        <v>21</v>
      </c>
      <c r="C362" s="15">
        <v>3.0</v>
      </c>
      <c r="D362" s="16" t="s">
        <v>1922</v>
      </c>
      <c r="E362" s="16" t="s">
        <v>1923</v>
      </c>
      <c r="G362" s="15">
        <v>4.0</v>
      </c>
      <c r="H362" s="15" t="s">
        <v>137</v>
      </c>
      <c r="I362" s="16" t="s">
        <v>62</v>
      </c>
    </row>
    <row r="363" hidden="1">
      <c r="A363" s="16" t="s">
        <v>1924</v>
      </c>
      <c r="B363" s="16" t="s">
        <v>1663</v>
      </c>
      <c r="C363" s="15">
        <v>3.0</v>
      </c>
      <c r="D363" s="16" t="s">
        <v>1925</v>
      </c>
      <c r="E363" s="16" t="s">
        <v>1926</v>
      </c>
      <c r="G363" s="15">
        <v>3.0</v>
      </c>
      <c r="H363" s="15" t="s">
        <v>1927</v>
      </c>
      <c r="I363" s="16" t="s">
        <v>32</v>
      </c>
    </row>
    <row r="364" hidden="1">
      <c r="A364" s="16" t="s">
        <v>1928</v>
      </c>
      <c r="B364" s="16" t="s">
        <v>986</v>
      </c>
      <c r="C364" s="15">
        <v>3.0</v>
      </c>
      <c r="D364" s="16" t="s">
        <v>37</v>
      </c>
      <c r="E364" s="16" t="s">
        <v>1929</v>
      </c>
      <c r="G364" s="15">
        <v>1.0</v>
      </c>
      <c r="H364" s="15" t="s">
        <v>995</v>
      </c>
      <c r="I364" s="16" t="s">
        <v>26</v>
      </c>
    </row>
    <row r="365" hidden="1">
      <c r="A365" s="16" t="s">
        <v>1930</v>
      </c>
      <c r="B365" s="16" t="s">
        <v>365</v>
      </c>
      <c r="C365" s="15">
        <v>3.0</v>
      </c>
      <c r="D365" s="16" t="s">
        <v>579</v>
      </c>
      <c r="E365" s="16" t="s">
        <v>1931</v>
      </c>
      <c r="G365" s="15">
        <v>3.0</v>
      </c>
      <c r="H365" s="15" t="s">
        <v>534</v>
      </c>
      <c r="I365" s="16" t="s">
        <v>26</v>
      </c>
    </row>
    <row r="366" hidden="1">
      <c r="A366" s="16" t="s">
        <v>1932</v>
      </c>
      <c r="B366" s="16" t="s">
        <v>912</v>
      </c>
      <c r="C366" s="15">
        <v>3.0</v>
      </c>
      <c r="D366" s="16" t="s">
        <v>1933</v>
      </c>
      <c r="E366" s="16" t="s">
        <v>1934</v>
      </c>
      <c r="G366" s="15">
        <v>6.0</v>
      </c>
      <c r="H366" s="15" t="s">
        <v>1935</v>
      </c>
      <c r="I366" s="16" t="s">
        <v>62</v>
      </c>
    </row>
    <row r="367" hidden="1">
      <c r="A367" s="16" t="s">
        <v>1936</v>
      </c>
      <c r="B367" s="16" t="s">
        <v>338</v>
      </c>
      <c r="C367" s="15">
        <v>3.0</v>
      </c>
      <c r="D367" s="16" t="s">
        <v>1937</v>
      </c>
      <c r="E367" s="16" t="s">
        <v>1938</v>
      </c>
      <c r="G367" s="15">
        <v>5.0</v>
      </c>
      <c r="H367" s="15" t="s">
        <v>1939</v>
      </c>
      <c r="I367" s="16" t="s">
        <v>32</v>
      </c>
    </row>
    <row r="368" hidden="1">
      <c r="A368" s="16" t="s">
        <v>1940</v>
      </c>
      <c r="B368" s="16" t="s">
        <v>1444</v>
      </c>
      <c r="C368" s="15">
        <v>3.0</v>
      </c>
      <c r="D368" s="16" t="s">
        <v>1941</v>
      </c>
      <c r="E368" s="16" t="s">
        <v>1942</v>
      </c>
      <c r="G368" s="15">
        <v>5.0</v>
      </c>
      <c r="H368" s="15" t="s">
        <v>1475</v>
      </c>
      <c r="I368" s="16" t="s">
        <v>62</v>
      </c>
    </row>
    <row r="369" hidden="1">
      <c r="A369" s="16" t="s">
        <v>1943</v>
      </c>
      <c r="B369" s="16" t="s">
        <v>21</v>
      </c>
      <c r="C369" s="15">
        <v>3.0</v>
      </c>
      <c r="D369" s="16" t="s">
        <v>97</v>
      </c>
      <c r="E369" s="16" t="s">
        <v>1944</v>
      </c>
      <c r="G369" s="15">
        <v>2.0</v>
      </c>
      <c r="H369" s="15" t="s">
        <v>92</v>
      </c>
      <c r="I369" s="16" t="s">
        <v>26</v>
      </c>
    </row>
    <row r="370" hidden="1">
      <c r="A370" s="16" t="s">
        <v>1945</v>
      </c>
      <c r="B370" s="16" t="s">
        <v>365</v>
      </c>
      <c r="C370" s="15">
        <v>3.0</v>
      </c>
      <c r="D370" s="16" t="s">
        <v>1946</v>
      </c>
      <c r="E370" s="16" t="s">
        <v>1947</v>
      </c>
      <c r="G370" s="15">
        <v>3.0</v>
      </c>
      <c r="H370" s="15" t="s">
        <v>368</v>
      </c>
      <c r="I370" s="16" t="s">
        <v>26</v>
      </c>
    </row>
    <row r="371" hidden="1">
      <c r="A371" s="16" t="s">
        <v>1948</v>
      </c>
      <c r="B371" s="16" t="s">
        <v>843</v>
      </c>
      <c r="C371" s="15">
        <v>3.0</v>
      </c>
      <c r="D371" s="16" t="s">
        <v>1949</v>
      </c>
      <c r="E371" s="16" t="s">
        <v>1950</v>
      </c>
      <c r="G371" s="15">
        <v>3.0</v>
      </c>
      <c r="H371" s="15" t="s">
        <v>1951</v>
      </c>
      <c r="I371" s="16" t="s">
        <v>62</v>
      </c>
    </row>
    <row r="372" hidden="1">
      <c r="A372" s="16" t="s">
        <v>1952</v>
      </c>
      <c r="B372" s="16" t="s">
        <v>1663</v>
      </c>
      <c r="C372" s="15">
        <v>3.0</v>
      </c>
      <c r="D372" s="16" t="s">
        <v>1953</v>
      </c>
      <c r="E372" s="16" t="s">
        <v>1954</v>
      </c>
      <c r="G372" s="35"/>
      <c r="H372" s="35"/>
    </row>
    <row r="373" hidden="1">
      <c r="A373" s="16" t="s">
        <v>1955</v>
      </c>
      <c r="B373" s="16" t="s">
        <v>1444</v>
      </c>
      <c r="C373" s="15">
        <v>3.0</v>
      </c>
      <c r="D373" s="16" t="s">
        <v>1340</v>
      </c>
      <c r="E373" s="16" t="s">
        <v>1956</v>
      </c>
      <c r="G373" s="15">
        <v>3.0</v>
      </c>
      <c r="H373" s="15" t="s">
        <v>1470</v>
      </c>
      <c r="I373" s="16" t="s">
        <v>26</v>
      </c>
    </row>
    <row r="374" hidden="1">
      <c r="A374" s="16" t="s">
        <v>1957</v>
      </c>
      <c r="B374" s="16" t="s">
        <v>1663</v>
      </c>
      <c r="C374" s="15">
        <v>3.0</v>
      </c>
      <c r="D374" s="16" t="s">
        <v>1958</v>
      </c>
      <c r="E374" s="16" t="s">
        <v>1959</v>
      </c>
      <c r="G374" s="15">
        <v>4.0</v>
      </c>
      <c r="H374" s="15" t="s">
        <v>1785</v>
      </c>
      <c r="I374" s="16" t="s">
        <v>62</v>
      </c>
    </row>
    <row r="375" hidden="1">
      <c r="A375" s="16" t="s">
        <v>1960</v>
      </c>
      <c r="B375" s="16" t="s">
        <v>1961</v>
      </c>
      <c r="C375" s="15">
        <v>3.0</v>
      </c>
      <c r="D375" s="16" t="s">
        <v>28</v>
      </c>
      <c r="E375" s="16" t="s">
        <v>1962</v>
      </c>
      <c r="G375" s="15">
        <v>3.0</v>
      </c>
      <c r="H375" s="15" t="s">
        <v>1963</v>
      </c>
      <c r="I375" s="16" t="s">
        <v>26</v>
      </c>
    </row>
    <row r="376" hidden="1">
      <c r="A376" s="16" t="s">
        <v>1964</v>
      </c>
      <c r="B376" s="16" t="s">
        <v>365</v>
      </c>
      <c r="C376" s="15">
        <v>3.0</v>
      </c>
      <c r="D376" s="16" t="s">
        <v>1965</v>
      </c>
      <c r="E376" s="16" t="s">
        <v>1966</v>
      </c>
      <c r="G376" s="15">
        <v>5.0</v>
      </c>
      <c r="H376" s="15" t="s">
        <v>474</v>
      </c>
      <c r="I376" s="16" t="s">
        <v>26</v>
      </c>
    </row>
    <row r="377" hidden="1">
      <c r="A377" s="16" t="s">
        <v>1967</v>
      </c>
      <c r="B377" s="14" t="s">
        <v>21</v>
      </c>
      <c r="C377" s="15">
        <v>3.0</v>
      </c>
      <c r="D377" s="15" t="s">
        <v>70</v>
      </c>
      <c r="E377" s="16" t="s">
        <v>1968</v>
      </c>
      <c r="F377" s="7" t="str">
        <f>IFERROR(__xludf.DUMMYFUNCTION("IF($I377=""Common"",IF(REGEXMATCH($E377,""Wizard""),""Wizard "","""")&amp;IF(REGEXMATCH($E377,""Construct""),""Construct "","""")&amp;IF(REGEXMATCH($E377,""Insect""),""Insect "","""")&amp;IF(REGEXMATCH($E377,""Dragon""),""Dragon "","""")&amp;IF(REGEXMATCH($E377,""Human"""&amp;"),""Human "","""")&amp;IF(REGEXMATCH($E377,""Hunter""),""Hunter "","""")&amp;IF(REGEXMATCH($E377,""Animal""),""Animal "","""")&amp;IF(REGEXMATCH($E377,""Undead""),""Undead "","""")&amp;IF(REGEXMATCH($E377,""Plant""),""Plant "","""")&amp;IF(REGEXMATCH($E377,""Dinosaur""),""Di"&amp;"nosaur "","""")&amp;IF(REGEXMATCH($E377,""Warrior""),""Warrior "","""")&amp;IF(REGEXMATCH($E377,""Spirit""),""Spirit "","""")&amp;IF(REGEXMATCH($E377,""Angel""),""Angel "","""")&amp;IF(REGEXMATCH($E377,""Demon""),""Demon "","""")&amp;IF(REGEXMATCH($E377,""Divine""),""Divine "&amp;""","""")&amp;IF(REGEXMATCH($E377,""Elemental""),""Elemental "","""")&amp;IF(REGEXMATCH($E377,""Nature""),""Nature "","""")&amp;IF(REGEXMATCH($E377,""Mortal""),""Mortal "","""")&amp;IF(REGEXMATCH($E377,""Void""),""Void "","""")&amp;IF(REGEXMATCH($E377,""Unearth|Ambush|Ritual|"&amp;"unearth|ambush|ritual""),""Unearth "","""")&amp;IF(REGEXMATCH($E377,""Unleash|Crystallize|all realms|Crystalborn|crystallize""),""Ramp "","""")&amp;IF(REGEXMATCH($E377,""Demon""),""Demon "","""")&amp;IF(REGEXMATCH($E377,""bury|buries|Bury|Buries|Cleanse|puts a Unit|t"&amp;"rail|Trail""),""Control "","""")&amp;IF(REGEXMATCH($E377,""Bounce|Return|Copy|bounce|return|copy""),""Copy "","""")&amp;IF(REGEXMATCH($E377,""conquer|Conquer|leading in lanes|lead by""),""Aggro "","""")&amp;IF(REGEXMATCH($E377,""Ascend|ascend""),""Ascend "","""")&amp;IF("&amp;"REGEXMATCH($E377,""Bury .+ Crystal|.*crystal.*bury""),""Empty-Crystal"","""")&amp;IF(REGEXMATCH($E377,""Move|move""),""Move"",""""),"""")"),"")</f>
        <v/>
      </c>
      <c r="G377" s="15">
        <v>0.0</v>
      </c>
      <c r="H377" s="15" t="s">
        <v>166</v>
      </c>
      <c r="I377" s="15" t="s">
        <v>62</v>
      </c>
    </row>
    <row r="378" hidden="1">
      <c r="A378" s="16" t="s">
        <v>1969</v>
      </c>
      <c r="B378" s="16" t="s">
        <v>365</v>
      </c>
      <c r="C378" s="15">
        <v>3.0</v>
      </c>
      <c r="D378" s="16" t="s">
        <v>1970</v>
      </c>
      <c r="E378" s="16" t="s">
        <v>1971</v>
      </c>
      <c r="G378" s="15">
        <v>2.0</v>
      </c>
      <c r="H378" s="15" t="s">
        <v>534</v>
      </c>
      <c r="I378" s="16" t="s">
        <v>62</v>
      </c>
    </row>
    <row r="379" hidden="1">
      <c r="A379" s="22" t="s">
        <v>1972</v>
      </c>
      <c r="B379" s="89" t="s">
        <v>1444</v>
      </c>
      <c r="C379" s="9">
        <v>3.0</v>
      </c>
      <c r="D379" s="9" t="s">
        <v>70</v>
      </c>
      <c r="E379" s="7" t="s">
        <v>1973</v>
      </c>
      <c r="F379" s="7" t="str">
        <f>IFERROR(__xludf.DUMMYFUNCTION("IF($I379=""Common"",IF(REGEXMATCH($E379,""Wizard""),""Wizard "","""")&amp;IF(REGEXMATCH($E379,""Construct""),""Construct "","""")&amp;IF(REGEXMATCH($E379,""Insect""),""Insect "","""")&amp;IF(REGEXMATCH($E379,""Dragon""),""Dragon "","""")&amp;IF(REGEXMATCH($E379,""Human"""&amp;"),""Human "","""")&amp;IF(REGEXMATCH($E379,""Hunter""),""Hunter "","""")&amp;IF(REGEXMATCH($E379,""Animal""),""Animal "","""")&amp;IF(REGEXMATCH($E379,""Undead""),""Undead "","""")&amp;IF(REGEXMATCH($E379,""Plant""),""Plant "","""")&amp;IF(REGEXMATCH($E379,""Dinosaur""),""Di"&amp;"nosaur "","""")&amp;IF(REGEXMATCH($E379,""Warrior""),""Warrior "","""")&amp;IF(REGEXMATCH($E379,""Spirit""),""Spirit "","""")&amp;IF(REGEXMATCH($E379,""Angel""),""Angel "","""")&amp;IF(REGEXMATCH($E379,""Demon""),""Demon "","""")&amp;IF(REGEXMATCH($E379,""Divine""),""Divine "&amp;""","""")&amp;IF(REGEXMATCH($E379,""Elemental""),""Elemental "","""")&amp;IF(REGEXMATCH($E379,""Nature""),""Nature "","""")&amp;IF(REGEXMATCH($E379,""Mortal""),""Mortal "","""")&amp;IF(REGEXMATCH($E379,""Void""),""Void "","""")&amp;IF(REGEXMATCH($E379,""Unearth|Ambush|Ritual|"&amp;"unearth|ambush|ritual""),""Unearth "","""")&amp;IF(REGEXMATCH($E379,""Unleash|Crystallize|all realms|Crystalborn|crystallize""),""Ramp "","""")&amp;IF(REGEXMATCH($E379,""Demon""),""Demon "","""")&amp;IF(REGEXMATCH($E379,""bury|buries|Bury|Buries|Cleanse|puts a Unit|t"&amp;"rail|Trail""),""Control "","""")&amp;IF(REGEXMATCH($E379,""Bounce|Return|Copy|bounce|return|copy""),""Copy "","""")&amp;IF(REGEXMATCH($E379,""conquer|Conquer|leading in lanes|lead by""),""Aggro "","""")&amp;IF(REGEXMATCH($E379,""Ascend|ascend""),""Ascend "","""")&amp;IF("&amp;"REGEXMATCH($E379,""Bury .+ Crystal|.*crystal.*bury""),""Empty-Crystal"","""")&amp;IF(REGEXMATCH($E379,""Move|move""),""Move"",""""),"""")"),"")</f>
        <v/>
      </c>
      <c r="G379" s="9">
        <v>3.0</v>
      </c>
      <c r="H379" s="9" t="s">
        <v>1559</v>
      </c>
      <c r="I379" s="9" t="s">
        <v>32</v>
      </c>
    </row>
    <row r="380" hidden="1">
      <c r="A380" s="7" t="s">
        <v>1896</v>
      </c>
      <c r="B380" s="98" t="s">
        <v>1663</v>
      </c>
      <c r="C380" s="9">
        <v>3.0</v>
      </c>
      <c r="D380" s="15" t="s">
        <v>1974</v>
      </c>
      <c r="E380" s="16" t="s">
        <v>1898</v>
      </c>
      <c r="F380" s="7" t="str">
        <f>IFERROR(__xludf.DUMMYFUNCTION("IF($I380=""Common"",IF(REGEXMATCH($E380,""Wizard""),""Wizard "","""")&amp;IF(REGEXMATCH($E380,""Construct""),""Construct "","""")&amp;IF(REGEXMATCH($E380,""Insect""),""Insect "","""")&amp;IF(REGEXMATCH($E380,""Dragon""),""Dragon "","""")&amp;IF(REGEXMATCH($E380,""Human"""&amp;"),""Human "","""")&amp;IF(REGEXMATCH($E380,""Hunter""),""Hunter "","""")&amp;IF(REGEXMATCH($E380,""Animal""),""Animal "","""")&amp;IF(REGEXMATCH($E380,""Undead""),""Undead "","""")&amp;IF(REGEXMATCH($E380,""Plant""),""Plant "","""")&amp;IF(REGEXMATCH($E380,""Dinosaur""),""Di"&amp;"nosaur "","""")&amp;IF(REGEXMATCH($E380,""Warrior""),""Warrior "","""")&amp;IF(REGEXMATCH($E380,""Spirit""),""Spirit "","""")&amp;IF(REGEXMATCH($E380,""Angel""),""Angel "","""")&amp;IF(REGEXMATCH($E380,""Demon""),""Demon "","""")&amp;IF(REGEXMATCH($E380,""Divine""),""Divine "&amp;""","""")&amp;IF(REGEXMATCH($E380,""Elemental""),""Elemental "","""")&amp;IF(REGEXMATCH($E380,""Nature""),""Nature "","""")&amp;IF(REGEXMATCH($E380,""Mortal""),""Mortal "","""")&amp;IF(REGEXMATCH($E380,""Void""),""Void "","""")&amp;IF(REGEXMATCH($E380,""Unearth|Ambush|Ritual|"&amp;"unearth|ambush|ritual""),""Unearth "","""")&amp;IF(REGEXMATCH($E380,""Unleash|Crystallize|all realms|Crystalborn|crystallize""),""Ramp "","""")&amp;IF(REGEXMATCH($E380,""Demon""),""Demon "","""")&amp;IF(REGEXMATCH($E380,""bury|buries|Bury|Buries|Cleanse|puts a Unit|t"&amp;"rail|Trail""),""Control "","""")&amp;IF(REGEXMATCH($E380,""Bounce|Return|Copy|bounce|return|copy""),""Copy "","""")&amp;IF(REGEXMATCH($E380,""conquer|Conquer|leading in lanes|lead by""),""Aggro "","""")&amp;IF(REGEXMATCH($E380,""Ascend|ascend""),""Ascend "","""")&amp;IF("&amp;"REGEXMATCH($E380,""Bury .+ Crystal|.*crystal.*bury""),""Empty-Crystal"","""")&amp;IF(REGEXMATCH($E380,""Move|move""),""Move"",""""),"""")"),"")</f>
        <v/>
      </c>
      <c r="G380" s="15">
        <v>2.0</v>
      </c>
      <c r="H380" s="15" t="s">
        <v>1785</v>
      </c>
      <c r="I380" s="9" t="s">
        <v>32</v>
      </c>
    </row>
    <row r="381" hidden="1">
      <c r="A381" s="7" t="s">
        <v>1975</v>
      </c>
      <c r="B381" s="8" t="s">
        <v>21</v>
      </c>
      <c r="C381" s="9">
        <v>3.0</v>
      </c>
      <c r="D381" s="9" t="s">
        <v>355</v>
      </c>
      <c r="E381" s="7" t="s">
        <v>1976</v>
      </c>
      <c r="F381" s="7" t="str">
        <f>IFERROR(__xludf.DUMMYFUNCTION("IF($I381=""Common"",IF(REGEXMATCH($E381,""Wizard""),""Wizard "","""")&amp;IF(REGEXMATCH($E381,""Construct""),""Construct "","""")&amp;IF(REGEXMATCH($E381,""Insect""),""Insect "","""")&amp;IF(REGEXMATCH($E381,""Dragon""),""Dragon "","""")&amp;IF(REGEXMATCH($E381,""Human"""&amp;"),""Human "","""")&amp;IF(REGEXMATCH($E381,""Hunter""),""Hunter "","""")&amp;IF(REGEXMATCH($E381,""Animal""),""Animal "","""")&amp;IF(REGEXMATCH($E381,""Undead""),""Undead "","""")&amp;IF(REGEXMATCH($E381,""Plant""),""Plant "","""")&amp;IF(REGEXMATCH($E381,""Dinosaur""),""Di"&amp;"nosaur "","""")&amp;IF(REGEXMATCH($E381,""Warrior""),""Warrior "","""")&amp;IF(REGEXMATCH($E381,""Spirit""),""Spirit "","""")&amp;IF(REGEXMATCH($E381,""Angel""),""Angel "","""")&amp;IF(REGEXMATCH($E381,""Demon""),""Demon "","""")&amp;IF(REGEXMATCH($E381,""Divine""),""Divine "&amp;""","""")&amp;IF(REGEXMATCH($E381,""Elemental""),""Elemental "","""")&amp;IF(REGEXMATCH($E381,""Nature""),""Nature "","""")&amp;IF(REGEXMATCH($E381,""Mortal""),""Mortal "","""")&amp;IF(REGEXMATCH($E381,""Void""),""Void "","""")&amp;IF(REGEXMATCH($E381,""Unearth|Ambush|Ritual|"&amp;"unearth|ambush|ritual""),""Unearth "","""")&amp;IF(REGEXMATCH($E381,""Unleash|Crystallize|all realms|Crystalborn|crystallize""),""Ramp "","""")&amp;IF(REGEXMATCH($E381,""Demon""),""Demon "","""")&amp;IF(REGEXMATCH($E381,""bury|buries|Bury|Buries|Cleanse|puts a Unit|t"&amp;"rail|Trail""),""Control "","""")&amp;IF(REGEXMATCH($E381,""Bounce|Return|Copy|bounce|return|copy""),""Copy "","""")&amp;IF(REGEXMATCH($E381,""conquer|Conquer|leading in lanes|lead by""),""Aggro "","""")&amp;IF(REGEXMATCH($E381,""Ascend|ascend""),""Ascend "","""")&amp;IF("&amp;"REGEXMATCH($E381,""Bury .+ Crystal|.*crystal.*bury""),""Empty-Crystal"","""")&amp;IF(REGEXMATCH($E381,""Move|move""),""Move"",""""),"""")"),"Unearth ")</f>
        <v>Unearth </v>
      </c>
      <c r="G381" s="9">
        <v>3.0</v>
      </c>
      <c r="H381" s="9" t="s">
        <v>137</v>
      </c>
      <c r="I381" s="9" t="s">
        <v>26</v>
      </c>
    </row>
    <row r="382" hidden="1">
      <c r="A382" s="28" t="s">
        <v>1977</v>
      </c>
      <c r="B382" s="104" t="s">
        <v>21</v>
      </c>
      <c r="C382" s="65">
        <v>3.0</v>
      </c>
      <c r="D382" s="67" t="s">
        <v>1978</v>
      </c>
      <c r="E382" s="29" t="s">
        <v>1979</v>
      </c>
      <c r="F382" s="7" t="str">
        <f>IFERROR(__xludf.DUMMYFUNCTION("IF($I382=""Common"",IF(REGEXMATCH($E382,""Wizard""),""Wizard "","""")&amp;IF(REGEXMATCH($E382,""Construct""),""Construct "","""")&amp;IF(REGEXMATCH($E382,""Insect""),""Insect "","""")&amp;IF(REGEXMATCH($E382,""Dragon""),""Dragon "","""")&amp;IF(REGEXMATCH($E382,""Human"""&amp;"),""Human "","""")&amp;IF(REGEXMATCH($E382,""Hunter""),""Hunter "","""")&amp;IF(REGEXMATCH($E382,""Animal""),""Animal "","""")&amp;IF(REGEXMATCH($E382,""Undead""),""Undead "","""")&amp;IF(REGEXMATCH($E382,""Plant""),""Plant "","""")&amp;IF(REGEXMATCH($E382,""Dinosaur""),""Di"&amp;"nosaur "","""")&amp;IF(REGEXMATCH($E382,""Warrior""),""Warrior "","""")&amp;IF(REGEXMATCH($E382,""Spirit""),""Spirit "","""")&amp;IF(REGEXMATCH($E382,""Angel""),""Angel "","""")&amp;IF(REGEXMATCH($E382,""Demon""),""Demon "","""")&amp;IF(REGEXMATCH($E382,""Divine""),""Divine "&amp;""","""")&amp;IF(REGEXMATCH($E382,""Elemental""),""Elemental "","""")&amp;IF(REGEXMATCH($E382,""Nature""),""Nature "","""")&amp;IF(REGEXMATCH($E382,""Mortal""),""Mortal "","""")&amp;IF(REGEXMATCH($E382,""Void""),""Void "","""")&amp;IF(REGEXMATCH($E382,""Unearth|Ambush|Ritual|"&amp;"unearth|ambush|ritual""),""Unearth "","""")&amp;IF(REGEXMATCH($E382,""Unleash|Crystallize|all realms|Crystalborn|crystallize""),""Ramp "","""")&amp;IF(REGEXMATCH($E382,""Demon""),""Demon "","""")&amp;IF(REGEXMATCH($E382,""bury|buries|Bury|Buries|Cleanse|puts a Unit|t"&amp;"rail|Trail""),""Control "","""")&amp;IF(REGEXMATCH($E382,""Bounce|Return|Copy|bounce|return|copy""),""Copy "","""")&amp;IF(REGEXMATCH($E382,""conquer|Conquer|leading in lanes|lead by""),""Aggro "","""")&amp;IF(REGEXMATCH($E382,""Ascend|ascend""),""Ascend "","""")&amp;IF("&amp;"REGEXMATCH($E382,""Bury .+ Crystal|.*crystal.*bury""),""Empty-Crystal"","""")&amp;IF(REGEXMATCH($E382,""Move|move""),""Move"",""""),"""")"),"")</f>
        <v/>
      </c>
      <c r="G382" s="67">
        <v>5.0</v>
      </c>
      <c r="H382" s="65" t="s">
        <v>56</v>
      </c>
      <c r="I382" s="67" t="s">
        <v>26</v>
      </c>
    </row>
    <row r="383" hidden="1">
      <c r="A383" s="16" t="s">
        <v>1980</v>
      </c>
      <c r="B383" s="16" t="s">
        <v>338</v>
      </c>
      <c r="C383" s="15">
        <v>3.0</v>
      </c>
      <c r="D383" s="15" t="s">
        <v>1389</v>
      </c>
      <c r="E383" s="16" t="s">
        <v>1981</v>
      </c>
      <c r="F383" s="7" t="str">
        <f>IFERROR(__xludf.DUMMYFUNCTION("IF(REGEXMATCH($E383,""Wizard""),""Wizard "","""")&amp;IF(REGEXMATCH($E383,""Construct""),""Construct "","""")&amp;IF(REGEXMATCH($E383,""Insect""),""Insect "","""")&amp;IF(REGEXMATCH($E383,""Dragon""),""Dragon "","""")&amp;IF(REGEXMATCH($E383,""Human""),""Human "","""")&amp;I"&amp;"F(REGEXMATCH($E383,""Hunter""),""Hunter "","""")&amp;IF(REGEXMATCH($E383,""Animal""),""Animal "","""")&amp;IF(REGEXMATCH($E383,""Undead""),""Undead "","""")&amp;IF(REGEXMATCH($E383,""Plant""),""Plant "","""")&amp;IF(REGEXMATCH($E383,""Dinosaur""),""Dinosaur "","""")&amp;IF(R"&amp;"EGEXMATCH($E383,""Warrior""),""Warrior "","""")&amp;IF(REGEXMATCH($E383,""Spirit""),""Spirit "","""")&amp;IF(REGEXMATCH($E383,""Angel""),""Angel "","""")&amp;IF(REGEXMATCH($E383,""Demon""),""Demon "","""")&amp;IF(REGEXMATCH($E383,""Divine""),""Divine "","""")&amp;IF(REGEXMAT"&amp;"CH($E383,""Elemental""),""Elemental "","""")&amp;IF(REGEXMATCH($E383,""Nature""),""Nature "","""")&amp;IF(REGEXMATCH($E383,""Mortal""),""Mortal "","""")&amp;IF(REGEXMATCH($E383,""Void""),""Void "","""")&amp;IF(REGEXMATCH($E383,""Unearth|Ambush|Ritual|unearth|ambush|ritua"&amp;"l""),""Unearth "","""")&amp;IF(REGEXMATCH($E383,""Unleash|Crystallize|all realms|Crystalborn|crystallize""),""Ramp "","""")&amp;IF(REGEXMATCH($E383,""Demon""),""Demon "","""")&amp;IF(REGEXMATCH($E383,""bury|buries|Bury|Buries|Cleanse|puts a Unit|trail|Trail""),""Cont"&amp;"rol "","""")&amp;IF(REGEXMATCH($E383,""Bounce|Return|Copy|bounce|return|copy""),""Copy "","""")&amp;IF(REGEXMATCH($E383,""conquer|Conquer|leading in lanes|lead by""),""Aggro "","""")&amp;IF(REGEXMATCH($E383,""Ascend|ascend""),""Ascend "","""")&amp;IF(REGEXMATCH($E383,""B"&amp;"ury .+ Crystal|.*crystal.*bury""),""Empty-Crystal"","""")&amp;IF(REGEXMATCH($E383,""Move|move""),""Move"","""")"),"")</f>
        <v/>
      </c>
      <c r="G383" s="15" t="s">
        <v>62</v>
      </c>
      <c r="I383" s="20" t="str">
        <f>IFERROR(__xludf.DUMMYFUNCTION("IF(REGEXMATCH($B383,#REF!),$D383,"""")"),"#REF!")</f>
        <v>#REF!</v>
      </c>
    </row>
    <row r="384" hidden="1">
      <c r="A384" s="7" t="s">
        <v>1982</v>
      </c>
      <c r="B384" s="48" t="s">
        <v>365</v>
      </c>
      <c r="C384" s="9">
        <v>3.0</v>
      </c>
      <c r="D384" s="9" t="s">
        <v>380</v>
      </c>
      <c r="E384" s="16" t="s">
        <v>1983</v>
      </c>
      <c r="F384" s="7" t="str">
        <f>IFERROR(__xludf.DUMMYFUNCTION("IF(REGEXMATCH($E384,""Wizard""),""Wizard "","""")&amp;IF(REGEXMATCH($E384,""Construct""),""Construct "","""")&amp;IF(REGEXMATCH($E384,""Insect""),""Insect "","""")&amp;IF(REGEXMATCH($E384,""Dragon""),""Dragon "","""")&amp;IF(REGEXMATCH($E384,""Human""),""Human "","""")&amp;I"&amp;"F(REGEXMATCH($E384,""Hunter""),""Hunter "","""")&amp;IF(REGEXMATCH($E384,""Animal""),""Animal "","""")&amp;IF(REGEXMATCH($E384,""Undead""),""Undead "","""")&amp;IF(REGEXMATCH($E384,""Plant""),""Plant "","""")&amp;IF(REGEXMATCH($E384,""Dinosaur""),""Dinosaur "","""")&amp;IF(R"&amp;"EGEXMATCH($E384,""Warrior""),""Warrior "","""")&amp;IF(REGEXMATCH($E384,""Spirit""),""Spirit "","""")&amp;IF(REGEXMATCH($E384,""Angel""),""Angel "","""")&amp;IF(REGEXMATCH($E384,""Demon""),""Demon "","""")&amp;IF(REGEXMATCH($E384,""Divine""),""Divine "","""")&amp;IF(REGEXMAT"&amp;"CH($E384,""Elemental""),""Elemental "","""")&amp;IF(REGEXMATCH($E384,""Nature""),""Nature "","""")&amp;IF(REGEXMATCH($E384,""Mortal""),""Mortal "","""")&amp;IF(REGEXMATCH($E384,""Void""),""Void "","""")&amp;IF(REGEXMATCH($E384,""Unearth|Ambush|Ritual|unearth|ambush|ritua"&amp;"l""),""Unearth "","""")&amp;IF(REGEXMATCH($E384,""Unleash|Crystallize|all realms|Crystalborn|crystallize""),""Ramp "","""")&amp;IF(REGEXMATCH($E384,""Demon""),""Demon "","""")&amp;IF(REGEXMATCH($E384,""bury|buries|Bury|Buries|Cleanse|puts a Unit|trail|Trail""),""Cont"&amp;"rol "","""")&amp;IF(REGEXMATCH($E384,""Bounce|Return|Copy|bounce|return|copy""),""Copy "","""")&amp;IF(REGEXMATCH($E384,""conquer|Conquer|leading in lanes|lead by""),""Aggro "","""")&amp;IF(REGEXMATCH($E384,""Ascend|ascend""),""Ascend "","""")&amp;IF(REGEXMATCH($E384,""B"&amp;"ury .+ Crystal|.*crystal.*bury""),""Empty-Crystal"","""")&amp;IF(REGEXMATCH($E384,""Move|move""),""Move"","""")"),"Ramp Copy ")</f>
        <v>Ramp Copy </v>
      </c>
      <c r="G384" s="9" t="s">
        <v>62</v>
      </c>
      <c r="I384" s="20" t="str">
        <f>IFERROR(__xludf.DUMMYFUNCTION("IF(REGEXMATCH($B384,#REF!),$D384,"""")"),"#REF!")</f>
        <v>#REF!</v>
      </c>
    </row>
    <row r="385" hidden="1">
      <c r="A385" s="7" t="s">
        <v>1984</v>
      </c>
      <c r="B385" s="7" t="s">
        <v>282</v>
      </c>
      <c r="C385" s="9">
        <v>3.0</v>
      </c>
      <c r="D385" s="9" t="s">
        <v>134</v>
      </c>
      <c r="E385" s="7" t="s">
        <v>1985</v>
      </c>
      <c r="F385" s="7" t="str">
        <f>IFERROR(__xludf.DUMMYFUNCTION("IF(REGEXMATCH($E385,""Wizard""),""Wizard "","""")&amp;IF(REGEXMATCH($E385,""Construct""),""Construct "","""")&amp;IF(REGEXMATCH($E385,""Insect""),""Insect "","""")&amp;IF(REGEXMATCH($E385,""Dragon""),""Dragon "","""")&amp;IF(REGEXMATCH($E385,""Human""),""Human "","""")&amp;I"&amp;"F(REGEXMATCH($E385,""Hunter""),""Hunter "","""")&amp;IF(REGEXMATCH($E385,""Animal""),""Animal "","""")&amp;IF(REGEXMATCH($E385,""Undead""),""Undead "","""")&amp;IF(REGEXMATCH($E385,""Plant""),""Plant "","""")&amp;IF(REGEXMATCH($E385,""Dinosaur""),""Dinosaur "","""")&amp;IF(R"&amp;"EGEXMATCH($E385,""Warrior""),""Warrior "","""")&amp;IF(REGEXMATCH($E385,""Spirit""),""Spirit "","""")&amp;IF(REGEXMATCH($E385,""Angel""),""Angel "","""")&amp;IF(REGEXMATCH($E385,""Demon""),""Demon "","""")&amp;IF(REGEXMATCH($E385,""Divine""),""Divine "","""")&amp;IF(REGEXMAT"&amp;"CH($E385,""Elemental""),""Elemental "","""")&amp;IF(REGEXMATCH($E385,""Nature""),""Nature "","""")&amp;IF(REGEXMATCH($E385,""Mortal""),""Mortal "","""")&amp;IF(REGEXMATCH($E385,""Void""),""Void "","""")&amp;IF(REGEXMATCH($E385,""Unearth|Ambush|Ritual|unearth|ambush|ritua"&amp;"l""),""Unearth "","""")&amp;IF(REGEXMATCH($E385,""Unleash|Crystallize|all realms|Crystalborn|crystallize""),""Ramp "","""")&amp;IF(REGEXMATCH($E385,""Demon""),""Demon "","""")&amp;IF(REGEXMATCH($E385,""bury|buries|Bury|Buries|Cleanse|puts a Unit|trail|Trail""),""Cont"&amp;"rol "","""")&amp;IF(REGEXMATCH($E385,""Bounce|Return|Copy|bounce|return|copy""),""Copy "","""")&amp;IF(REGEXMATCH($E385,""conquer|Conquer|leading in lanes|lead by""),""Aggro "","""")&amp;IF(REGEXMATCH($E385,""Ascend|ascend""),""Ascend "","""")&amp;IF(REGEXMATCH($E385,""B"&amp;"ury .+ Crystal|.*crystal.*bury""),""Empty-Crystal"","""")&amp;IF(REGEXMATCH($E385,""Move|move""),""Move"","""")"),"Mortal ")</f>
        <v>Mortal </v>
      </c>
      <c r="G385" s="9" t="s">
        <v>62</v>
      </c>
      <c r="I385" s="20" t="str">
        <f>IFERROR(__xludf.DUMMYFUNCTION("IF(REGEXMATCH($B385,#REF!),$D385,"""")"),"#REF!")</f>
        <v>#REF!</v>
      </c>
    </row>
    <row r="386" hidden="1">
      <c r="C386" s="15">
        <v>3.0</v>
      </c>
      <c r="E386" s="16" t="s">
        <v>1986</v>
      </c>
      <c r="G386" s="35"/>
      <c r="H386" s="35"/>
    </row>
    <row r="387" hidden="1">
      <c r="C387" s="15">
        <v>3.0</v>
      </c>
      <c r="D387" s="16" t="s">
        <v>1745</v>
      </c>
      <c r="G387" s="35"/>
      <c r="H387" s="35"/>
    </row>
    <row r="388" hidden="1">
      <c r="C388" s="15">
        <v>3.0</v>
      </c>
      <c r="E388" s="16" t="s">
        <v>1987</v>
      </c>
      <c r="G388" s="35"/>
      <c r="H388" s="35"/>
    </row>
    <row r="389" hidden="1">
      <c r="A389" s="16" t="s">
        <v>1988</v>
      </c>
      <c r="B389" s="16" t="s">
        <v>1444</v>
      </c>
      <c r="C389" s="15">
        <v>3.0</v>
      </c>
      <c r="D389" s="16" t="s">
        <v>37</v>
      </c>
      <c r="E389" s="16" t="s">
        <v>1989</v>
      </c>
      <c r="G389" s="15">
        <v>1.0</v>
      </c>
      <c r="H389" s="15" t="s">
        <v>1583</v>
      </c>
      <c r="I389" s="16" t="s">
        <v>26</v>
      </c>
    </row>
    <row r="390" hidden="1">
      <c r="C390" s="15">
        <v>3.0</v>
      </c>
      <c r="E390" s="16" t="s">
        <v>1990</v>
      </c>
      <c r="G390" s="35"/>
      <c r="H390" s="35"/>
    </row>
    <row r="391" hidden="1">
      <c r="A391" s="16" t="s">
        <v>1991</v>
      </c>
      <c r="B391" s="16" t="s">
        <v>986</v>
      </c>
      <c r="C391" s="15">
        <v>3.0</v>
      </c>
      <c r="D391" s="16" t="s">
        <v>645</v>
      </c>
      <c r="E391" s="16" t="s">
        <v>1992</v>
      </c>
      <c r="G391" s="35"/>
      <c r="H391" s="35"/>
    </row>
    <row r="392" hidden="1">
      <c r="A392" s="7" t="s">
        <v>1993</v>
      </c>
      <c r="B392" s="7" t="s">
        <v>986</v>
      </c>
      <c r="C392" s="9">
        <v>3.0</v>
      </c>
      <c r="D392" s="15" t="s">
        <v>294</v>
      </c>
      <c r="F392" s="7" t="str">
        <f>IFERROR(__xludf.DUMMYFUNCTION("IF(REGEXMATCH($E392,""Wizard""),""Wizard "","""")&amp;IF(REGEXMATCH($E392,""Construct""),""Construct "","""")&amp;IF(REGEXMATCH($E392,""Insect""),""Insect "","""")&amp;IF(REGEXMATCH($E392,""Dragon""),""Dragon "","""")&amp;IF(REGEXMATCH($E392,""Human""),""Human "","""")&amp;I"&amp;"F(REGEXMATCH($E392,""Hunter""),""Hunter "","""")&amp;IF(REGEXMATCH($E392,""Animal""),""Animal "","""")&amp;IF(REGEXMATCH($E392,""Undead""),""Undead "","""")&amp;IF(REGEXMATCH($E392,""Plant""),""Plant "","""")&amp;IF(REGEXMATCH($E392,""Dinosaur""),""Dinosaur "","""")&amp;IF(R"&amp;"EGEXMATCH($E392,""Warrior""),""Warrior "","""")&amp;IF(REGEXMATCH($E392,""Spirit""),""Spirit "","""")&amp;IF(REGEXMATCH($E392,""Angel""),""Angel "","""")&amp;IF(REGEXMATCH($E392,""Demon""),""Demon "","""")&amp;IF(REGEXMATCH($E392,""Divine""),""Divine "","""")&amp;IF(REGEXMAT"&amp;"CH($E392,""Elemental""),""Elemental "","""")&amp;IF(REGEXMATCH($E392,""Nature""),""Nature "","""")&amp;IF(REGEXMATCH($E392,""Mortal""),""Mortal "","""")&amp;IF(REGEXMATCH($E392,""Void""),""Void "","""")&amp;IF(REGEXMATCH($E392,""Unearth|Ambush|Ritual|unearth|ambush|ritua"&amp;"l""),""Unearth "","""")&amp;IF(REGEXMATCH($E392,""Unleash|Crystallize|all realms|Crystalborn|crystallize""),""Ramp "","""")&amp;IF(REGEXMATCH($E392,""Demon""),""Demon "","""")&amp;IF(REGEXMATCH($E392,""bury|buries|Bury|Buries|Cleanse|puts a Unit|trail|Trail""),""Cont"&amp;"rol "","""")&amp;IF(REGEXMATCH($E392,""Bounce|Return|Copy|bounce|return|copy""),""Copy "","""")&amp;IF(REGEXMATCH($E392,""conquer|Conquer|leading in lanes|lead by""),""Aggro "","""")&amp;IF(REGEXMATCH($E392,""Ascend|ascend""),""Ascend "","""")&amp;IF(REGEXMATCH($E392,""B"&amp;"ury .+ Crystal|.*crystal.*bury""),""Empty-Crystal"","""")&amp;IF(REGEXMATCH($E392,""Move|move""),""Move"","""")"),"")</f>
        <v/>
      </c>
      <c r="G392" s="9" t="s">
        <v>26</v>
      </c>
      <c r="I392" s="20" t="str">
        <f>IFERROR(__xludf.DUMMYFUNCTION("IF(REGEXMATCH($B392,L$1),$D392,"""")"),"")</f>
        <v/>
      </c>
    </row>
    <row r="393" hidden="1">
      <c r="A393" s="16" t="s">
        <v>1994</v>
      </c>
      <c r="C393" s="16">
        <v>3.0</v>
      </c>
      <c r="E393" s="16" t="s">
        <v>1995</v>
      </c>
      <c r="G393" s="35"/>
      <c r="H393" s="35"/>
    </row>
    <row r="394" hidden="1">
      <c r="C394" s="15">
        <v>3.0</v>
      </c>
      <c r="E394" s="16" t="s">
        <v>1996</v>
      </c>
      <c r="G394" s="35"/>
      <c r="H394" s="35"/>
    </row>
    <row r="395" hidden="1">
      <c r="C395" s="15">
        <v>3.0</v>
      </c>
      <c r="E395" s="16" t="s">
        <v>1997</v>
      </c>
      <c r="G395" s="35"/>
      <c r="H395" s="35"/>
    </row>
    <row r="396" hidden="1">
      <c r="C396" s="15">
        <v>3.0</v>
      </c>
      <c r="E396" s="16" t="s">
        <v>1998</v>
      </c>
      <c r="G396" s="35"/>
      <c r="H396" s="35"/>
    </row>
    <row r="397" hidden="1">
      <c r="A397" s="16" t="s">
        <v>1999</v>
      </c>
      <c r="C397" s="15">
        <v>3.0</v>
      </c>
      <c r="D397" s="16" t="s">
        <v>2000</v>
      </c>
      <c r="E397" s="16" t="s">
        <v>2001</v>
      </c>
      <c r="G397" s="35"/>
      <c r="H397" s="35"/>
    </row>
    <row r="398" hidden="1">
      <c r="C398" s="15">
        <v>3.0</v>
      </c>
      <c r="E398" s="105" t="s">
        <v>2002</v>
      </c>
      <c r="G398" s="35"/>
      <c r="H398" s="35"/>
    </row>
    <row r="399" hidden="1">
      <c r="A399" s="16" t="s">
        <v>2003</v>
      </c>
      <c r="C399" s="15">
        <v>3.0</v>
      </c>
      <c r="D399" s="16" t="s">
        <v>2004</v>
      </c>
      <c r="E399" s="16" t="s">
        <v>2005</v>
      </c>
      <c r="G399" s="35"/>
      <c r="H399" s="35"/>
    </row>
    <row r="400" hidden="1">
      <c r="A400" s="16" t="s">
        <v>2006</v>
      </c>
      <c r="C400" s="15">
        <v>3.0</v>
      </c>
      <c r="D400" s="16" t="s">
        <v>2004</v>
      </c>
      <c r="E400" s="16" t="s">
        <v>2007</v>
      </c>
      <c r="G400" s="35"/>
      <c r="H400" s="35"/>
    </row>
    <row r="401" hidden="1">
      <c r="A401" s="16" t="s">
        <v>2008</v>
      </c>
      <c r="C401" s="15">
        <v>3.0</v>
      </c>
      <c r="D401" s="16" t="s">
        <v>2004</v>
      </c>
      <c r="E401" s="16" t="s">
        <v>2009</v>
      </c>
      <c r="G401" s="35"/>
      <c r="H401" s="35"/>
    </row>
    <row r="402" hidden="1">
      <c r="A402" s="16" t="s">
        <v>2010</v>
      </c>
      <c r="C402" s="15">
        <v>3.0</v>
      </c>
      <c r="D402" s="16" t="s">
        <v>2004</v>
      </c>
      <c r="E402" s="16" t="s">
        <v>2011</v>
      </c>
      <c r="G402" s="35"/>
      <c r="H402" s="35"/>
    </row>
    <row r="403" hidden="1">
      <c r="A403" s="16" t="s">
        <v>2012</v>
      </c>
      <c r="C403" s="15">
        <v>3.0</v>
      </c>
      <c r="D403" s="16" t="s">
        <v>2004</v>
      </c>
      <c r="E403" s="16" t="s">
        <v>2013</v>
      </c>
      <c r="G403" s="35"/>
      <c r="H403" s="35"/>
    </row>
    <row r="404" hidden="1">
      <c r="A404" s="16" t="s">
        <v>2014</v>
      </c>
      <c r="B404" s="16" t="s">
        <v>338</v>
      </c>
      <c r="C404" s="15">
        <v>3.0</v>
      </c>
      <c r="E404" s="16" t="s">
        <v>2015</v>
      </c>
      <c r="G404" s="35"/>
      <c r="H404" s="15" t="s">
        <v>422</v>
      </c>
      <c r="I404" s="16" t="s">
        <v>62</v>
      </c>
    </row>
    <row r="405" hidden="1">
      <c r="C405" s="16">
        <v>3.0</v>
      </c>
      <c r="E405" s="16" t="s">
        <v>2016</v>
      </c>
      <c r="G405" s="35"/>
      <c r="H405" s="35"/>
    </row>
    <row r="406" hidden="1">
      <c r="A406" s="16" t="s">
        <v>2017</v>
      </c>
      <c r="B406" s="16" t="s">
        <v>365</v>
      </c>
      <c r="C406" s="15">
        <v>3.0</v>
      </c>
      <c r="E406" s="16" t="s">
        <v>2018</v>
      </c>
      <c r="G406" s="35"/>
      <c r="H406" s="35"/>
    </row>
    <row r="407">
      <c r="A407" s="7" t="s">
        <v>2019</v>
      </c>
      <c r="B407" s="7" t="s">
        <v>1663</v>
      </c>
      <c r="C407" s="9">
        <v>1.0</v>
      </c>
      <c r="D407" s="9" t="s">
        <v>1641</v>
      </c>
      <c r="E407" s="7" t="s">
        <v>2020</v>
      </c>
      <c r="F407" s="10" t="s">
        <v>2021</v>
      </c>
      <c r="G407" s="9">
        <v>1.0</v>
      </c>
      <c r="H407" s="9" t="s">
        <v>1688</v>
      </c>
      <c r="I407" s="9" t="s">
        <v>26</v>
      </c>
    </row>
    <row r="408">
      <c r="A408" s="24" t="s">
        <v>2022</v>
      </c>
      <c r="B408" s="7" t="s">
        <v>1663</v>
      </c>
      <c r="C408" s="9">
        <v>1.0</v>
      </c>
      <c r="D408" s="9" t="s">
        <v>927</v>
      </c>
      <c r="E408" s="7" t="s">
        <v>584</v>
      </c>
      <c r="F408" s="17" t="s">
        <v>2023</v>
      </c>
      <c r="G408" s="21">
        <v>3.0</v>
      </c>
      <c r="H408" s="9" t="s">
        <v>1684</v>
      </c>
      <c r="I408" s="21" t="s">
        <v>26</v>
      </c>
    </row>
    <row r="409">
      <c r="A409" s="24" t="s">
        <v>2024</v>
      </c>
      <c r="B409" s="7" t="s">
        <v>1663</v>
      </c>
      <c r="C409" s="9">
        <v>1.0</v>
      </c>
      <c r="D409" s="9" t="s">
        <v>927</v>
      </c>
      <c r="E409" s="7" t="s">
        <v>2025</v>
      </c>
      <c r="F409" s="17" t="s">
        <v>2026</v>
      </c>
      <c r="G409" s="21">
        <v>4.0</v>
      </c>
      <c r="H409" s="9" t="s">
        <v>1734</v>
      </c>
      <c r="I409" s="21" t="s">
        <v>26</v>
      </c>
    </row>
    <row r="410">
      <c r="A410" s="7" t="s">
        <v>2027</v>
      </c>
      <c r="B410" s="7" t="s">
        <v>1663</v>
      </c>
      <c r="C410" s="9">
        <v>1.0</v>
      </c>
      <c r="D410" s="9" t="s">
        <v>1671</v>
      </c>
      <c r="E410" s="7" t="s">
        <v>2028</v>
      </c>
      <c r="F410" s="10" t="s">
        <v>2029</v>
      </c>
      <c r="G410" s="9">
        <v>4.0</v>
      </c>
      <c r="H410" s="9" t="s">
        <v>1734</v>
      </c>
      <c r="I410" s="9" t="s">
        <v>26</v>
      </c>
    </row>
    <row r="411">
      <c r="A411" s="22" t="s">
        <v>2030</v>
      </c>
      <c r="B411" s="7" t="s">
        <v>1663</v>
      </c>
      <c r="C411" s="9">
        <v>1.0</v>
      </c>
      <c r="D411" s="9" t="s">
        <v>180</v>
      </c>
      <c r="E411" s="7" t="s">
        <v>2031</v>
      </c>
      <c r="F411" s="10" t="s">
        <v>2032</v>
      </c>
      <c r="G411" s="9">
        <v>5.0</v>
      </c>
      <c r="H411" s="9" t="s">
        <v>1674</v>
      </c>
      <c r="I411" s="9" t="s">
        <v>62</v>
      </c>
      <c r="K411" s="13" t="s">
        <v>2033</v>
      </c>
    </row>
    <row r="412">
      <c r="A412" s="24" t="s">
        <v>2034</v>
      </c>
      <c r="B412" s="7" t="s">
        <v>1663</v>
      </c>
      <c r="C412" s="9">
        <v>1.0</v>
      </c>
      <c r="D412" s="9" t="s">
        <v>107</v>
      </c>
      <c r="E412" s="7" t="s">
        <v>2035</v>
      </c>
      <c r="F412" s="10" t="s">
        <v>2036</v>
      </c>
      <c r="G412" s="9">
        <v>1.0</v>
      </c>
      <c r="H412" s="9" t="s">
        <v>1684</v>
      </c>
      <c r="I412" s="21" t="s">
        <v>62</v>
      </c>
    </row>
    <row r="413">
      <c r="A413" s="22" t="s">
        <v>2037</v>
      </c>
      <c r="B413" s="7" t="s">
        <v>1663</v>
      </c>
      <c r="C413" s="9">
        <v>1.0</v>
      </c>
      <c r="D413" s="9" t="s">
        <v>2038</v>
      </c>
      <c r="E413" s="7" t="s">
        <v>2039</v>
      </c>
      <c r="F413" s="10" t="s">
        <v>2040</v>
      </c>
      <c r="G413" s="9">
        <v>2.0</v>
      </c>
      <c r="H413" s="9" t="s">
        <v>1688</v>
      </c>
      <c r="I413" s="9" t="s">
        <v>26</v>
      </c>
    </row>
    <row r="414">
      <c r="A414" s="24" t="s">
        <v>2041</v>
      </c>
      <c r="B414" s="7" t="s">
        <v>1663</v>
      </c>
      <c r="C414" s="9">
        <v>1.0</v>
      </c>
      <c r="D414" s="9" t="s">
        <v>599</v>
      </c>
      <c r="E414" s="7" t="s">
        <v>2042</v>
      </c>
      <c r="F414" s="17" t="s">
        <v>2043</v>
      </c>
      <c r="G414" s="9">
        <v>10.0</v>
      </c>
      <c r="H414" s="9" t="s">
        <v>1734</v>
      </c>
      <c r="I414" s="21" t="s">
        <v>32</v>
      </c>
    </row>
    <row r="415">
      <c r="A415" s="7" t="s">
        <v>2044</v>
      </c>
      <c r="B415" s="7" t="s">
        <v>1663</v>
      </c>
      <c r="C415" s="9">
        <v>1.0</v>
      </c>
      <c r="D415" s="9" t="s">
        <v>2045</v>
      </c>
      <c r="E415" s="7" t="s">
        <v>2046</v>
      </c>
      <c r="F415" s="10" t="s">
        <v>2047</v>
      </c>
      <c r="G415" s="9">
        <v>6.0</v>
      </c>
      <c r="H415" s="9" t="s">
        <v>1728</v>
      </c>
      <c r="I415" s="9" t="s">
        <v>32</v>
      </c>
    </row>
    <row r="416">
      <c r="A416" s="69" t="s">
        <v>2048</v>
      </c>
      <c r="B416" s="106" t="s">
        <v>1663</v>
      </c>
      <c r="C416" s="71">
        <v>1.0</v>
      </c>
      <c r="D416" s="71" t="s">
        <v>1828</v>
      </c>
      <c r="E416" s="69" t="s">
        <v>2049</v>
      </c>
      <c r="F416" s="69"/>
      <c r="G416" s="71">
        <v>6.0</v>
      </c>
      <c r="H416" s="71" t="s">
        <v>1679</v>
      </c>
      <c r="I416" s="71" t="s">
        <v>32</v>
      </c>
      <c r="J416" s="28"/>
      <c r="K416" s="28"/>
      <c r="L416" s="28"/>
      <c r="M416" s="28"/>
      <c r="N416" s="28"/>
      <c r="O416" s="28"/>
      <c r="P416" s="28"/>
      <c r="Q416" s="28"/>
      <c r="R416" s="28"/>
      <c r="S416" s="28"/>
      <c r="T416" s="28"/>
    </row>
    <row r="417">
      <c r="A417" s="7" t="s">
        <v>2050</v>
      </c>
      <c r="B417" s="7" t="s">
        <v>1663</v>
      </c>
      <c r="C417" s="9">
        <v>1.0</v>
      </c>
      <c r="D417" s="9" t="s">
        <v>1389</v>
      </c>
      <c r="F417" s="10" t="s">
        <v>2051</v>
      </c>
      <c r="G417" s="9">
        <v>1.0</v>
      </c>
      <c r="H417" s="9" t="s">
        <v>1666</v>
      </c>
      <c r="I417" s="9" t="s">
        <v>26</v>
      </c>
    </row>
    <row r="418">
      <c r="A418" s="16" t="s">
        <v>2052</v>
      </c>
      <c r="B418" s="16" t="s">
        <v>1663</v>
      </c>
      <c r="C418" s="15">
        <v>1.0</v>
      </c>
      <c r="D418" s="15" t="s">
        <v>1464</v>
      </c>
      <c r="F418" s="33"/>
      <c r="G418" s="15">
        <v>2.0</v>
      </c>
      <c r="H418" s="15" t="s">
        <v>1688</v>
      </c>
      <c r="I418" s="15" t="s">
        <v>26</v>
      </c>
    </row>
    <row r="419">
      <c r="A419" s="24" t="s">
        <v>2053</v>
      </c>
      <c r="B419" s="7" t="s">
        <v>1663</v>
      </c>
      <c r="C419" s="9">
        <v>1.0</v>
      </c>
      <c r="D419" s="9" t="s">
        <v>1824</v>
      </c>
      <c r="F419" s="10" t="s">
        <v>2054</v>
      </c>
      <c r="G419" s="9">
        <v>5.0</v>
      </c>
      <c r="H419" s="9" t="s">
        <v>1734</v>
      </c>
      <c r="I419" s="21" t="s">
        <v>26</v>
      </c>
    </row>
    <row r="420">
      <c r="A420" s="7" t="s">
        <v>2055</v>
      </c>
      <c r="B420" s="7" t="s">
        <v>1663</v>
      </c>
      <c r="C420" s="9">
        <v>1.0</v>
      </c>
      <c r="D420" s="9" t="s">
        <v>1676</v>
      </c>
      <c r="F420" s="10" t="s">
        <v>2056</v>
      </c>
      <c r="G420" s="9">
        <v>6.0</v>
      </c>
      <c r="H420" s="50" t="s">
        <v>1674</v>
      </c>
      <c r="I420" s="9" t="s">
        <v>26</v>
      </c>
    </row>
    <row r="421">
      <c r="A421" s="16" t="s">
        <v>2057</v>
      </c>
      <c r="B421" s="16" t="s">
        <v>1663</v>
      </c>
      <c r="C421" s="15">
        <v>1.0</v>
      </c>
      <c r="D421" s="15" t="s">
        <v>245</v>
      </c>
      <c r="F421" s="17" t="s">
        <v>2058</v>
      </c>
      <c r="G421" s="15">
        <v>4.0</v>
      </c>
      <c r="H421" s="15" t="s">
        <v>1785</v>
      </c>
      <c r="I421" s="15" t="s">
        <v>26</v>
      </c>
    </row>
    <row r="422">
      <c r="A422" s="16" t="s">
        <v>2059</v>
      </c>
      <c r="B422" s="16" t="s">
        <v>1663</v>
      </c>
      <c r="C422" s="15">
        <v>1.0</v>
      </c>
      <c r="D422" s="15" t="s">
        <v>271</v>
      </c>
      <c r="F422" s="33"/>
      <c r="G422" s="15">
        <v>3.0</v>
      </c>
      <c r="H422" s="9" t="s">
        <v>1684</v>
      </c>
      <c r="I422" s="15" t="s">
        <v>26</v>
      </c>
    </row>
    <row r="423">
      <c r="A423" s="16" t="s">
        <v>2060</v>
      </c>
      <c r="B423" s="16" t="s">
        <v>1663</v>
      </c>
      <c r="C423" s="15">
        <v>1.0</v>
      </c>
      <c r="D423" s="15" t="s">
        <v>2061</v>
      </c>
      <c r="E423" s="16" t="s">
        <v>54</v>
      </c>
      <c r="F423" s="33"/>
      <c r="G423" s="15">
        <v>6.0</v>
      </c>
      <c r="H423" s="9" t="s">
        <v>2062</v>
      </c>
      <c r="I423" s="15" t="s">
        <v>26</v>
      </c>
    </row>
    <row r="424">
      <c r="A424" s="31" t="s">
        <v>2063</v>
      </c>
      <c r="B424" s="16" t="s">
        <v>1663</v>
      </c>
      <c r="C424" s="15">
        <v>1.0</v>
      </c>
      <c r="D424" s="15" t="s">
        <v>761</v>
      </c>
      <c r="E424" s="31" t="s">
        <v>2064</v>
      </c>
      <c r="F424" s="33"/>
      <c r="H424" s="16" t="s">
        <v>1674</v>
      </c>
      <c r="I424" s="9" t="s">
        <v>62</v>
      </c>
    </row>
    <row r="425">
      <c r="A425" s="16" t="s">
        <v>2065</v>
      </c>
      <c r="B425" s="16" t="s">
        <v>1663</v>
      </c>
      <c r="C425" s="15">
        <v>1.0</v>
      </c>
      <c r="D425" s="15" t="s">
        <v>1641</v>
      </c>
      <c r="E425" s="16" t="s">
        <v>2066</v>
      </c>
      <c r="F425" s="33"/>
      <c r="G425" s="16">
        <v>3.0</v>
      </c>
      <c r="H425" s="15" t="s">
        <v>1885</v>
      </c>
      <c r="I425" s="9" t="s">
        <v>62</v>
      </c>
    </row>
    <row r="426">
      <c r="A426" s="80" t="s">
        <v>2067</v>
      </c>
      <c r="B426" s="7" t="s">
        <v>1663</v>
      </c>
      <c r="C426" s="9">
        <v>1.0</v>
      </c>
      <c r="D426" s="9" t="s">
        <v>1835</v>
      </c>
      <c r="E426" s="16" t="s">
        <v>2068</v>
      </c>
      <c r="F426" s="10" t="s">
        <v>2069</v>
      </c>
      <c r="G426" s="9">
        <v>3.0</v>
      </c>
      <c r="H426" s="9" t="s">
        <v>1700</v>
      </c>
      <c r="I426" s="9" t="s">
        <v>32</v>
      </c>
    </row>
    <row r="427">
      <c r="A427" s="31" t="s">
        <v>2070</v>
      </c>
      <c r="B427" s="16" t="s">
        <v>1663</v>
      </c>
      <c r="C427" s="15">
        <v>1.0</v>
      </c>
      <c r="D427" s="15" t="s">
        <v>1308</v>
      </c>
      <c r="E427" s="16" t="s">
        <v>2071</v>
      </c>
      <c r="F427" s="33"/>
      <c r="G427" s="15">
        <v>4.0</v>
      </c>
      <c r="H427" s="9" t="s">
        <v>1785</v>
      </c>
      <c r="I427" s="9" t="s">
        <v>32</v>
      </c>
    </row>
    <row r="428">
      <c r="A428" s="31" t="s">
        <v>2072</v>
      </c>
      <c r="B428" s="16" t="s">
        <v>1663</v>
      </c>
      <c r="C428" s="15">
        <v>1.0</v>
      </c>
      <c r="D428" s="15" t="s">
        <v>313</v>
      </c>
      <c r="E428" s="16" t="s">
        <v>2073</v>
      </c>
      <c r="F428" s="17" t="s">
        <v>2074</v>
      </c>
      <c r="G428" s="15">
        <v>3.0</v>
      </c>
      <c r="H428" s="15" t="s">
        <v>1688</v>
      </c>
      <c r="I428" s="15" t="s">
        <v>32</v>
      </c>
    </row>
    <row r="429">
      <c r="A429" s="16" t="s">
        <v>2075</v>
      </c>
      <c r="B429" s="16" t="s">
        <v>1663</v>
      </c>
      <c r="C429" s="15">
        <v>1.0</v>
      </c>
      <c r="D429" s="15" t="s">
        <v>1636</v>
      </c>
      <c r="E429" s="16" t="s">
        <v>2076</v>
      </c>
      <c r="F429" s="33"/>
      <c r="G429" s="15">
        <v>2.0</v>
      </c>
      <c r="H429" s="15" t="s">
        <v>2077</v>
      </c>
      <c r="I429" s="15" t="s">
        <v>32</v>
      </c>
    </row>
    <row r="430">
      <c r="A430" s="16" t="s">
        <v>2078</v>
      </c>
      <c r="B430" s="92" t="s">
        <v>1663</v>
      </c>
      <c r="C430" s="15">
        <v>1.0</v>
      </c>
      <c r="D430" s="15" t="s">
        <v>599</v>
      </c>
      <c r="E430" s="16" t="s">
        <v>2079</v>
      </c>
      <c r="F430" s="17" t="s">
        <v>2080</v>
      </c>
      <c r="G430" s="15">
        <v>3.0</v>
      </c>
      <c r="H430" s="9" t="s">
        <v>1684</v>
      </c>
      <c r="I430" s="15" t="s">
        <v>32</v>
      </c>
    </row>
    <row r="431">
      <c r="A431" s="107" t="s">
        <v>2081</v>
      </c>
      <c r="B431" s="7"/>
      <c r="C431" s="9">
        <v>1.0</v>
      </c>
      <c r="D431" s="21" t="s">
        <v>70</v>
      </c>
      <c r="F431" s="10" t="s">
        <v>2082</v>
      </c>
      <c r="G431" s="9">
        <v>3.0</v>
      </c>
      <c r="H431" s="9" t="s">
        <v>1859</v>
      </c>
      <c r="I431" s="21" t="s">
        <v>26</v>
      </c>
    </row>
    <row r="432">
      <c r="A432" s="7" t="s">
        <v>2083</v>
      </c>
      <c r="B432" s="7"/>
      <c r="C432" s="9">
        <v>1.0</v>
      </c>
      <c r="D432" s="9" t="s">
        <v>53</v>
      </c>
      <c r="F432" s="10" t="s">
        <v>2084</v>
      </c>
      <c r="G432" s="9">
        <v>6.0</v>
      </c>
      <c r="H432" s="9" t="s">
        <v>2085</v>
      </c>
      <c r="I432" s="9" t="s">
        <v>26</v>
      </c>
    </row>
    <row r="433">
      <c r="A433" s="54" t="s">
        <v>2086</v>
      </c>
      <c r="B433" s="7" t="s">
        <v>21</v>
      </c>
      <c r="C433" s="9">
        <v>1.0</v>
      </c>
      <c r="D433" s="9" t="s">
        <v>221</v>
      </c>
      <c r="E433" s="16" t="s">
        <v>2087</v>
      </c>
      <c r="F433" s="10"/>
      <c r="G433" s="9">
        <v>4.0</v>
      </c>
      <c r="H433" s="9" t="s">
        <v>246</v>
      </c>
      <c r="I433" s="9" t="s">
        <v>26</v>
      </c>
    </row>
    <row r="434">
      <c r="A434" s="16" t="s">
        <v>2088</v>
      </c>
      <c r="B434" s="7"/>
      <c r="C434" s="9">
        <v>1.0</v>
      </c>
      <c r="D434" s="15" t="s">
        <v>97</v>
      </c>
      <c r="E434" s="7" t="s">
        <v>2089</v>
      </c>
      <c r="F434" s="10" t="s">
        <v>2090</v>
      </c>
      <c r="G434" s="9">
        <v>3.0</v>
      </c>
      <c r="H434" s="9" t="s">
        <v>1859</v>
      </c>
      <c r="I434" s="9" t="s">
        <v>32</v>
      </c>
    </row>
    <row r="435">
      <c r="A435" s="7" t="s">
        <v>2091</v>
      </c>
      <c r="B435" s="7"/>
      <c r="C435" s="15">
        <v>1.0</v>
      </c>
      <c r="D435" s="9"/>
      <c r="E435" s="7" t="s">
        <v>2092</v>
      </c>
      <c r="F435" s="10" t="s">
        <v>2093</v>
      </c>
      <c r="G435" s="9">
        <v>2.0</v>
      </c>
      <c r="H435" s="9" t="s">
        <v>2094</v>
      </c>
      <c r="I435" s="9" t="s">
        <v>32</v>
      </c>
    </row>
    <row r="436">
      <c r="A436" s="7" t="s">
        <v>2095</v>
      </c>
      <c r="B436" s="16"/>
      <c r="C436" s="15">
        <v>1.0</v>
      </c>
      <c r="D436" s="9"/>
      <c r="E436" s="7" t="s">
        <v>2096</v>
      </c>
      <c r="F436" s="10" t="s">
        <v>2097</v>
      </c>
      <c r="G436" s="9">
        <v>2.0</v>
      </c>
      <c r="H436" s="9" t="s">
        <v>2094</v>
      </c>
      <c r="I436" s="9" t="s">
        <v>32</v>
      </c>
    </row>
    <row r="437" hidden="1">
      <c r="A437" s="16" t="s">
        <v>2098</v>
      </c>
      <c r="B437" s="16" t="s">
        <v>1444</v>
      </c>
      <c r="C437" s="15">
        <v>0.0</v>
      </c>
      <c r="D437" s="15" t="s">
        <v>334</v>
      </c>
      <c r="E437" s="16" t="s">
        <v>2099</v>
      </c>
      <c r="F437" s="33"/>
      <c r="G437" s="15">
        <v>6.0</v>
      </c>
      <c r="H437" s="15" t="s">
        <v>1475</v>
      </c>
      <c r="I437" s="15" t="s">
        <v>32</v>
      </c>
    </row>
    <row r="438" hidden="1">
      <c r="A438" s="16" t="s">
        <v>2100</v>
      </c>
      <c r="B438" s="16" t="s">
        <v>1444</v>
      </c>
      <c r="C438" s="15">
        <v>0.0</v>
      </c>
      <c r="D438" s="15" t="s">
        <v>334</v>
      </c>
      <c r="E438" s="16" t="s">
        <v>2101</v>
      </c>
      <c r="F438" s="33"/>
      <c r="G438" s="15">
        <v>4.0</v>
      </c>
      <c r="H438" s="15" t="s">
        <v>1559</v>
      </c>
      <c r="I438" s="15" t="s">
        <v>62</v>
      </c>
    </row>
    <row r="439">
      <c r="C439" s="35"/>
      <c r="D439" s="35"/>
      <c r="F439" s="33"/>
      <c r="G439" s="35"/>
      <c r="H439" s="35"/>
      <c r="I439" s="35"/>
    </row>
    <row r="440">
      <c r="C440" s="35"/>
      <c r="D440" s="35"/>
      <c r="F440" s="33"/>
      <c r="G440" s="35"/>
      <c r="H440" s="35"/>
      <c r="I440" s="35"/>
    </row>
    <row r="441">
      <c r="C441" s="35"/>
      <c r="D441" s="35"/>
      <c r="F441" s="33"/>
      <c r="G441" s="35"/>
      <c r="H441" s="35"/>
      <c r="I441" s="35"/>
    </row>
    <row r="442">
      <c r="C442" s="35"/>
      <c r="D442" s="35"/>
      <c r="F442" s="33"/>
      <c r="G442" s="35"/>
      <c r="H442" s="35"/>
      <c r="I442" s="35"/>
    </row>
    <row r="443">
      <c r="C443" s="35"/>
      <c r="D443" s="35"/>
      <c r="F443" s="33"/>
      <c r="G443" s="35"/>
      <c r="H443" s="35"/>
      <c r="I443" s="35"/>
    </row>
    <row r="444">
      <c r="C444" s="35"/>
      <c r="D444" s="35"/>
      <c r="F444" s="33"/>
      <c r="G444" s="35"/>
      <c r="H444" s="35"/>
      <c r="I444" s="35"/>
    </row>
    <row r="445">
      <c r="C445" s="35"/>
      <c r="D445" s="35"/>
      <c r="F445" s="33"/>
      <c r="G445" s="35"/>
      <c r="H445" s="35"/>
      <c r="I445" s="35"/>
    </row>
    <row r="446">
      <c r="C446" s="35"/>
      <c r="D446" s="35"/>
      <c r="F446" s="33"/>
      <c r="G446" s="35"/>
      <c r="H446" s="35"/>
      <c r="I446" s="35"/>
    </row>
    <row r="447">
      <c r="C447" s="35"/>
      <c r="D447" s="35"/>
      <c r="F447" s="33"/>
      <c r="G447" s="35"/>
      <c r="H447" s="35"/>
      <c r="I447" s="35"/>
    </row>
    <row r="448">
      <c r="C448" s="35"/>
      <c r="D448" s="35"/>
      <c r="F448" s="33"/>
      <c r="G448" s="35"/>
      <c r="H448" s="35"/>
      <c r="I448" s="35"/>
    </row>
    <row r="449">
      <c r="C449" s="35"/>
      <c r="D449" s="35"/>
      <c r="F449" s="33"/>
      <c r="G449" s="35"/>
      <c r="H449" s="35"/>
      <c r="I449" s="35"/>
    </row>
    <row r="450">
      <c r="C450" s="35"/>
      <c r="D450" s="35"/>
      <c r="F450" s="33"/>
      <c r="G450" s="35"/>
      <c r="H450" s="35"/>
      <c r="I450" s="35"/>
    </row>
    <row r="451">
      <c r="C451" s="35"/>
      <c r="D451" s="35"/>
      <c r="F451" s="33"/>
      <c r="G451" s="35"/>
      <c r="H451" s="35"/>
      <c r="I451" s="35"/>
    </row>
    <row r="452">
      <c r="C452" s="35"/>
      <c r="D452" s="35"/>
      <c r="F452" s="33"/>
      <c r="G452" s="35"/>
      <c r="H452" s="35"/>
      <c r="I452" s="35"/>
    </row>
    <row r="453">
      <c r="C453" s="35"/>
      <c r="D453" s="35"/>
      <c r="F453" s="33"/>
      <c r="G453" s="35"/>
      <c r="H453" s="35"/>
      <c r="I453" s="35"/>
    </row>
    <row r="454">
      <c r="C454" s="35"/>
      <c r="D454" s="35"/>
      <c r="F454" s="33"/>
      <c r="G454" s="35"/>
      <c r="H454" s="35"/>
      <c r="I454" s="35"/>
    </row>
    <row r="455">
      <c r="C455" s="35"/>
      <c r="D455" s="35"/>
      <c r="F455" s="33"/>
      <c r="G455" s="35"/>
      <c r="H455" s="35"/>
      <c r="I455" s="35"/>
    </row>
    <row r="456">
      <c r="C456" s="35"/>
      <c r="D456" s="35"/>
      <c r="F456" s="33"/>
      <c r="G456" s="35"/>
      <c r="H456" s="35"/>
      <c r="I456" s="35"/>
    </row>
    <row r="457">
      <c r="C457" s="35"/>
      <c r="D457" s="35"/>
      <c r="F457" s="33"/>
      <c r="G457" s="35"/>
      <c r="H457" s="35"/>
      <c r="I457" s="35"/>
    </row>
    <row r="458">
      <c r="C458" s="35"/>
      <c r="D458" s="35"/>
      <c r="F458" s="33"/>
      <c r="G458" s="35"/>
      <c r="H458" s="35"/>
      <c r="I458" s="35"/>
    </row>
    <row r="459">
      <c r="C459" s="35"/>
      <c r="D459" s="35"/>
      <c r="F459" s="33"/>
      <c r="G459" s="35"/>
      <c r="H459" s="35"/>
      <c r="I459" s="35"/>
    </row>
    <row r="460">
      <c r="C460" s="35"/>
      <c r="D460" s="35"/>
      <c r="F460" s="33"/>
      <c r="G460" s="35"/>
      <c r="H460" s="35"/>
      <c r="I460" s="35"/>
    </row>
    <row r="461">
      <c r="C461" s="35"/>
      <c r="D461" s="35"/>
      <c r="F461" s="33"/>
      <c r="G461" s="35"/>
      <c r="H461" s="35"/>
      <c r="I461" s="35"/>
    </row>
    <row r="462">
      <c r="C462" s="35"/>
      <c r="D462" s="35"/>
      <c r="F462" s="33"/>
      <c r="G462" s="35"/>
      <c r="H462" s="35"/>
      <c r="I462" s="35"/>
    </row>
    <row r="463">
      <c r="C463" s="35"/>
      <c r="D463" s="35"/>
      <c r="F463" s="33"/>
      <c r="G463" s="35"/>
      <c r="H463" s="35"/>
      <c r="I463" s="35"/>
    </row>
    <row r="464">
      <c r="C464" s="35"/>
      <c r="D464" s="35"/>
      <c r="F464" s="33"/>
      <c r="G464" s="35"/>
      <c r="H464" s="35"/>
      <c r="I464" s="35"/>
    </row>
    <row r="465">
      <c r="C465" s="35"/>
      <c r="D465" s="35"/>
      <c r="F465" s="33"/>
      <c r="G465" s="35"/>
      <c r="H465" s="35"/>
      <c r="I465" s="35"/>
    </row>
    <row r="466">
      <c r="C466" s="35"/>
      <c r="D466" s="35"/>
      <c r="F466" s="33"/>
      <c r="G466" s="35"/>
      <c r="H466" s="35"/>
      <c r="I466" s="35"/>
    </row>
    <row r="467">
      <c r="C467" s="35"/>
      <c r="D467" s="35"/>
      <c r="F467" s="33"/>
      <c r="G467" s="35"/>
      <c r="H467" s="35"/>
      <c r="I467" s="35"/>
    </row>
    <row r="468">
      <c r="C468" s="35"/>
      <c r="D468" s="35"/>
      <c r="F468" s="33"/>
      <c r="G468" s="35"/>
      <c r="H468" s="35"/>
      <c r="I468" s="35"/>
    </row>
    <row r="469">
      <c r="C469" s="35"/>
      <c r="D469" s="35"/>
      <c r="F469" s="33"/>
      <c r="G469" s="35"/>
      <c r="H469" s="35"/>
      <c r="I469" s="35"/>
    </row>
    <row r="470">
      <c r="C470" s="35"/>
      <c r="D470" s="35"/>
      <c r="F470" s="33"/>
      <c r="G470" s="35"/>
      <c r="H470" s="35"/>
      <c r="I470" s="35"/>
    </row>
    <row r="471">
      <c r="C471" s="35"/>
      <c r="D471" s="35"/>
      <c r="F471" s="33"/>
      <c r="G471" s="35"/>
      <c r="H471" s="35"/>
      <c r="I471" s="35"/>
    </row>
    <row r="472">
      <c r="C472" s="35"/>
      <c r="D472" s="35"/>
      <c r="F472" s="33"/>
      <c r="G472" s="35"/>
      <c r="H472" s="35"/>
      <c r="I472" s="35"/>
    </row>
    <row r="473">
      <c r="C473" s="35"/>
      <c r="D473" s="35"/>
      <c r="F473" s="33"/>
      <c r="G473" s="35"/>
      <c r="H473" s="35"/>
      <c r="I473" s="35"/>
    </row>
    <row r="474">
      <c r="C474" s="35"/>
      <c r="D474" s="35"/>
      <c r="F474" s="33"/>
      <c r="G474" s="35"/>
      <c r="H474" s="35"/>
      <c r="I474" s="35"/>
    </row>
    <row r="475">
      <c r="C475" s="35"/>
      <c r="D475" s="35"/>
      <c r="F475" s="33"/>
      <c r="G475" s="35"/>
      <c r="H475" s="35"/>
      <c r="I475" s="35"/>
    </row>
    <row r="476">
      <c r="C476" s="35"/>
      <c r="D476" s="35"/>
      <c r="F476" s="33"/>
      <c r="G476" s="35"/>
      <c r="H476" s="35"/>
      <c r="I476" s="35"/>
    </row>
    <row r="477">
      <c r="C477" s="35"/>
      <c r="D477" s="35"/>
      <c r="F477" s="33"/>
      <c r="G477" s="35"/>
      <c r="H477" s="35"/>
      <c r="I477" s="35"/>
    </row>
    <row r="478">
      <c r="C478" s="35"/>
      <c r="D478" s="35"/>
      <c r="F478" s="33"/>
      <c r="G478" s="35"/>
      <c r="H478" s="35"/>
      <c r="I478" s="35"/>
    </row>
    <row r="479">
      <c r="C479" s="35"/>
      <c r="D479" s="35"/>
      <c r="F479" s="33"/>
      <c r="G479" s="35"/>
      <c r="H479" s="35"/>
      <c r="I479" s="35"/>
    </row>
    <row r="480">
      <c r="C480" s="35"/>
      <c r="D480" s="35"/>
      <c r="F480" s="33"/>
      <c r="G480" s="35"/>
      <c r="H480" s="35"/>
      <c r="I480" s="35"/>
    </row>
    <row r="481">
      <c r="C481" s="35"/>
      <c r="D481" s="35"/>
      <c r="F481" s="33"/>
      <c r="G481" s="35"/>
      <c r="H481" s="35"/>
      <c r="I481" s="35"/>
    </row>
    <row r="482">
      <c r="C482" s="35"/>
      <c r="D482" s="35"/>
      <c r="F482" s="33"/>
      <c r="G482" s="35"/>
      <c r="H482" s="35"/>
      <c r="I482" s="35"/>
    </row>
    <row r="483">
      <c r="C483" s="35"/>
      <c r="D483" s="35"/>
      <c r="F483" s="33"/>
      <c r="G483" s="35"/>
      <c r="H483" s="35"/>
      <c r="I483" s="35"/>
    </row>
    <row r="484">
      <c r="C484" s="35"/>
      <c r="D484" s="35"/>
      <c r="F484" s="33"/>
      <c r="G484" s="35"/>
      <c r="H484" s="35"/>
      <c r="I484" s="35"/>
    </row>
    <row r="485">
      <c r="C485" s="35"/>
      <c r="D485" s="35"/>
      <c r="F485" s="33"/>
      <c r="G485" s="35"/>
      <c r="H485" s="35"/>
      <c r="I485" s="35"/>
    </row>
    <row r="486">
      <c r="C486" s="35"/>
      <c r="D486" s="35"/>
      <c r="F486" s="33"/>
      <c r="G486" s="35"/>
      <c r="H486" s="35"/>
      <c r="I486" s="35"/>
    </row>
    <row r="487">
      <c r="C487" s="35"/>
      <c r="D487" s="35"/>
      <c r="F487" s="33"/>
      <c r="G487" s="35"/>
      <c r="H487" s="35"/>
      <c r="I487" s="35"/>
    </row>
    <row r="488">
      <c r="C488" s="35"/>
      <c r="D488" s="35"/>
      <c r="F488" s="33"/>
      <c r="G488" s="35"/>
      <c r="H488" s="35"/>
      <c r="I488" s="35"/>
    </row>
    <row r="489">
      <c r="C489" s="35"/>
      <c r="D489" s="35"/>
      <c r="F489" s="33"/>
      <c r="G489" s="35"/>
      <c r="H489" s="35"/>
      <c r="I489" s="35"/>
    </row>
    <row r="490">
      <c r="C490" s="35"/>
      <c r="D490" s="35"/>
      <c r="F490" s="33"/>
      <c r="G490" s="35"/>
      <c r="H490" s="35"/>
      <c r="I490" s="35"/>
    </row>
    <row r="491">
      <c r="C491" s="35"/>
      <c r="D491" s="35"/>
      <c r="F491" s="33"/>
      <c r="G491" s="35"/>
      <c r="H491" s="35"/>
      <c r="I491" s="35"/>
    </row>
    <row r="492">
      <c r="C492" s="35"/>
      <c r="D492" s="35"/>
      <c r="F492" s="33"/>
      <c r="G492" s="35"/>
      <c r="H492" s="35"/>
      <c r="I492" s="35"/>
    </row>
    <row r="493">
      <c r="C493" s="35"/>
      <c r="D493" s="35"/>
      <c r="F493" s="33"/>
      <c r="G493" s="35"/>
      <c r="H493" s="35"/>
      <c r="I493" s="35"/>
    </row>
    <row r="494">
      <c r="C494" s="35"/>
      <c r="D494" s="35"/>
      <c r="F494" s="33"/>
      <c r="G494" s="35"/>
      <c r="H494" s="35"/>
      <c r="I494" s="35"/>
    </row>
    <row r="495">
      <c r="C495" s="35"/>
      <c r="D495" s="35"/>
      <c r="F495" s="33"/>
      <c r="G495" s="35"/>
      <c r="H495" s="35"/>
      <c r="I495" s="35"/>
    </row>
    <row r="496">
      <c r="C496" s="35"/>
      <c r="D496" s="35"/>
      <c r="F496" s="33"/>
      <c r="G496" s="35"/>
      <c r="H496" s="35"/>
      <c r="I496" s="35"/>
    </row>
    <row r="497">
      <c r="C497" s="35"/>
      <c r="D497" s="35"/>
      <c r="F497" s="33"/>
      <c r="G497" s="35"/>
      <c r="H497" s="35"/>
      <c r="I497" s="35"/>
    </row>
    <row r="498">
      <c r="C498" s="35"/>
      <c r="D498" s="35"/>
      <c r="F498" s="33"/>
      <c r="G498" s="35"/>
      <c r="H498" s="35"/>
      <c r="I498" s="35"/>
    </row>
    <row r="499">
      <c r="C499" s="35"/>
      <c r="D499" s="35"/>
      <c r="F499" s="33"/>
      <c r="G499" s="35"/>
      <c r="H499" s="35"/>
      <c r="I499" s="35"/>
    </row>
    <row r="500">
      <c r="C500" s="35"/>
      <c r="D500" s="35"/>
      <c r="F500" s="33"/>
      <c r="G500" s="35"/>
      <c r="H500" s="35"/>
      <c r="I500" s="35"/>
    </row>
    <row r="501">
      <c r="C501" s="35"/>
      <c r="D501" s="35"/>
      <c r="F501" s="33"/>
      <c r="G501" s="35"/>
      <c r="H501" s="35"/>
      <c r="I501" s="35"/>
    </row>
    <row r="502">
      <c r="C502" s="35"/>
      <c r="D502" s="35"/>
      <c r="F502" s="33"/>
      <c r="G502" s="35"/>
      <c r="H502" s="35"/>
      <c r="I502" s="35"/>
    </row>
    <row r="503">
      <c r="C503" s="35"/>
      <c r="D503" s="35"/>
      <c r="F503" s="33"/>
      <c r="G503" s="35"/>
      <c r="H503" s="35"/>
      <c r="I503" s="35"/>
    </row>
    <row r="504">
      <c r="C504" s="35"/>
      <c r="D504" s="35"/>
      <c r="F504" s="33"/>
      <c r="G504" s="35"/>
      <c r="H504" s="35"/>
      <c r="I504" s="35"/>
    </row>
    <row r="505">
      <c r="C505" s="35"/>
      <c r="D505" s="35"/>
      <c r="F505" s="33"/>
      <c r="G505" s="35"/>
      <c r="H505" s="35"/>
      <c r="I505" s="35"/>
    </row>
    <row r="506">
      <c r="C506" s="35"/>
      <c r="D506" s="35"/>
      <c r="F506" s="33"/>
      <c r="G506" s="35"/>
      <c r="H506" s="35"/>
      <c r="I506" s="35"/>
    </row>
    <row r="507">
      <c r="C507" s="35"/>
      <c r="D507" s="35"/>
      <c r="F507" s="33"/>
      <c r="G507" s="35"/>
      <c r="H507" s="35"/>
      <c r="I507" s="35"/>
    </row>
    <row r="508">
      <c r="C508" s="35"/>
      <c r="D508" s="35"/>
      <c r="F508" s="33"/>
      <c r="G508" s="35"/>
      <c r="H508" s="35"/>
      <c r="I508" s="35"/>
    </row>
    <row r="509">
      <c r="C509" s="35"/>
      <c r="D509" s="35"/>
      <c r="F509" s="33"/>
      <c r="G509" s="35"/>
      <c r="H509" s="35"/>
      <c r="I509" s="35"/>
    </row>
    <row r="510">
      <c r="C510" s="35"/>
      <c r="D510" s="35"/>
      <c r="F510" s="33"/>
      <c r="G510" s="35"/>
      <c r="H510" s="35"/>
      <c r="I510" s="35"/>
    </row>
    <row r="511">
      <c r="C511" s="35"/>
      <c r="D511" s="35"/>
      <c r="F511" s="33"/>
      <c r="G511" s="35"/>
      <c r="H511" s="35"/>
      <c r="I511" s="35"/>
    </row>
    <row r="512">
      <c r="C512" s="35"/>
      <c r="D512" s="35"/>
      <c r="F512" s="33"/>
      <c r="G512" s="35"/>
      <c r="H512" s="35"/>
      <c r="I512" s="35"/>
    </row>
    <row r="513">
      <c r="C513" s="35"/>
      <c r="D513" s="35"/>
      <c r="F513" s="33"/>
      <c r="G513" s="35"/>
      <c r="H513" s="35"/>
      <c r="I513" s="35"/>
    </row>
    <row r="514">
      <c r="C514" s="35"/>
      <c r="D514" s="35"/>
      <c r="F514" s="33"/>
      <c r="G514" s="35"/>
      <c r="H514" s="35"/>
      <c r="I514" s="35"/>
    </row>
    <row r="515">
      <c r="C515" s="35"/>
      <c r="D515" s="35"/>
      <c r="F515" s="33"/>
      <c r="G515" s="35"/>
      <c r="H515" s="35"/>
      <c r="I515" s="35"/>
    </row>
    <row r="516">
      <c r="C516" s="35"/>
      <c r="D516" s="35"/>
      <c r="F516" s="33"/>
      <c r="G516" s="35"/>
      <c r="H516" s="35"/>
      <c r="I516" s="35"/>
    </row>
    <row r="517">
      <c r="C517" s="35"/>
      <c r="D517" s="35"/>
      <c r="F517" s="33"/>
      <c r="G517" s="35"/>
      <c r="H517" s="35"/>
      <c r="I517" s="35"/>
    </row>
    <row r="518">
      <c r="C518" s="35"/>
      <c r="D518" s="35"/>
      <c r="F518" s="33"/>
      <c r="G518" s="35"/>
      <c r="H518" s="35"/>
      <c r="I518" s="35"/>
    </row>
    <row r="519">
      <c r="C519" s="35"/>
      <c r="D519" s="35"/>
      <c r="F519" s="33"/>
      <c r="G519" s="35"/>
      <c r="H519" s="35"/>
      <c r="I519" s="35"/>
    </row>
    <row r="520">
      <c r="C520" s="35"/>
      <c r="D520" s="35"/>
      <c r="F520" s="33"/>
      <c r="G520" s="35"/>
      <c r="H520" s="35"/>
      <c r="I520" s="35"/>
    </row>
    <row r="521">
      <c r="C521" s="35"/>
      <c r="D521" s="35"/>
      <c r="F521" s="33"/>
      <c r="G521" s="35"/>
      <c r="H521" s="35"/>
      <c r="I521" s="35"/>
    </row>
    <row r="522">
      <c r="C522" s="35"/>
      <c r="D522" s="35"/>
      <c r="F522" s="33"/>
      <c r="G522" s="35"/>
      <c r="H522" s="35"/>
      <c r="I522" s="35"/>
    </row>
    <row r="523">
      <c r="C523" s="35"/>
      <c r="D523" s="35"/>
      <c r="F523" s="33"/>
      <c r="G523" s="35"/>
      <c r="H523" s="35"/>
      <c r="I523" s="35"/>
    </row>
    <row r="524">
      <c r="C524" s="35"/>
      <c r="D524" s="35"/>
      <c r="F524" s="33"/>
      <c r="G524" s="35"/>
      <c r="H524" s="35"/>
      <c r="I524" s="35"/>
    </row>
    <row r="525">
      <c r="C525" s="35"/>
      <c r="D525" s="35"/>
      <c r="F525" s="33"/>
      <c r="G525" s="35"/>
      <c r="H525" s="35"/>
      <c r="I525" s="35"/>
    </row>
    <row r="526">
      <c r="C526" s="35"/>
      <c r="D526" s="35"/>
      <c r="F526" s="33"/>
      <c r="G526" s="35"/>
      <c r="H526" s="35"/>
      <c r="I526" s="35"/>
    </row>
    <row r="527">
      <c r="C527" s="35"/>
      <c r="D527" s="35"/>
      <c r="F527" s="33"/>
      <c r="G527" s="35"/>
      <c r="H527" s="35"/>
      <c r="I527" s="35"/>
    </row>
    <row r="528">
      <c r="C528" s="35"/>
      <c r="D528" s="35"/>
      <c r="F528" s="33"/>
      <c r="G528" s="35"/>
      <c r="H528" s="35"/>
      <c r="I528" s="35"/>
    </row>
    <row r="529">
      <c r="C529" s="35"/>
      <c r="D529" s="35"/>
      <c r="F529" s="33"/>
      <c r="G529" s="35"/>
      <c r="H529" s="35"/>
      <c r="I529" s="35"/>
    </row>
    <row r="530">
      <c r="C530" s="35"/>
      <c r="D530" s="35"/>
      <c r="F530" s="33"/>
      <c r="G530" s="35"/>
      <c r="H530" s="35"/>
      <c r="I530" s="35"/>
    </row>
    <row r="531">
      <c r="C531" s="35"/>
      <c r="D531" s="35"/>
      <c r="F531" s="33"/>
      <c r="G531" s="35"/>
      <c r="H531" s="35"/>
      <c r="I531" s="35"/>
    </row>
    <row r="532">
      <c r="C532" s="35"/>
      <c r="D532" s="35"/>
      <c r="F532" s="33"/>
      <c r="G532" s="35"/>
      <c r="H532" s="35"/>
      <c r="I532" s="35"/>
    </row>
    <row r="533">
      <c r="C533" s="35"/>
      <c r="D533" s="35"/>
      <c r="F533" s="33"/>
      <c r="G533" s="35"/>
      <c r="H533" s="35"/>
      <c r="I533" s="35"/>
    </row>
    <row r="534">
      <c r="C534" s="35"/>
      <c r="D534" s="35"/>
      <c r="F534" s="33"/>
      <c r="G534" s="35"/>
      <c r="H534" s="35"/>
      <c r="I534" s="35"/>
    </row>
    <row r="535">
      <c r="C535" s="35"/>
      <c r="D535" s="35"/>
      <c r="F535" s="33"/>
      <c r="G535" s="35"/>
      <c r="H535" s="35"/>
      <c r="I535" s="35"/>
    </row>
    <row r="536">
      <c r="C536" s="35"/>
      <c r="D536" s="35"/>
      <c r="F536" s="33"/>
      <c r="G536" s="35"/>
      <c r="H536" s="35"/>
      <c r="I536" s="35"/>
    </row>
    <row r="537">
      <c r="C537" s="35"/>
      <c r="D537" s="35"/>
      <c r="F537" s="33"/>
      <c r="G537" s="35"/>
      <c r="H537" s="35"/>
      <c r="I537" s="35"/>
    </row>
    <row r="538">
      <c r="C538" s="35"/>
      <c r="D538" s="35"/>
      <c r="F538" s="33"/>
      <c r="G538" s="35"/>
      <c r="H538" s="35"/>
      <c r="I538" s="35"/>
    </row>
    <row r="539">
      <c r="C539" s="35"/>
      <c r="D539" s="35"/>
      <c r="F539" s="33"/>
      <c r="G539" s="35"/>
      <c r="H539" s="35"/>
      <c r="I539" s="35"/>
    </row>
    <row r="540">
      <c r="C540" s="35"/>
      <c r="D540" s="35"/>
      <c r="F540" s="33"/>
      <c r="G540" s="35"/>
      <c r="H540" s="35"/>
      <c r="I540" s="35"/>
    </row>
    <row r="541">
      <c r="C541" s="35"/>
      <c r="D541" s="35"/>
      <c r="F541" s="33"/>
      <c r="G541" s="35"/>
      <c r="H541" s="35"/>
      <c r="I541" s="35"/>
    </row>
    <row r="542">
      <c r="C542" s="35"/>
      <c r="D542" s="35"/>
      <c r="F542" s="33"/>
      <c r="G542" s="35"/>
      <c r="H542" s="35"/>
      <c r="I542" s="35"/>
    </row>
    <row r="543">
      <c r="C543" s="35"/>
      <c r="D543" s="35"/>
      <c r="F543" s="33"/>
      <c r="G543" s="35"/>
      <c r="H543" s="35"/>
      <c r="I543" s="35"/>
    </row>
    <row r="544">
      <c r="C544" s="35"/>
      <c r="D544" s="35"/>
      <c r="F544" s="33"/>
      <c r="G544" s="35"/>
      <c r="H544" s="35"/>
      <c r="I544" s="35"/>
    </row>
    <row r="545">
      <c r="C545" s="35"/>
      <c r="D545" s="35"/>
      <c r="F545" s="33"/>
      <c r="G545" s="35"/>
      <c r="H545" s="35"/>
      <c r="I545" s="35"/>
    </row>
    <row r="546">
      <c r="C546" s="35"/>
      <c r="D546" s="35"/>
      <c r="F546" s="33"/>
      <c r="G546" s="35"/>
      <c r="H546" s="35"/>
      <c r="I546" s="35"/>
    </row>
    <row r="547">
      <c r="C547" s="35"/>
      <c r="D547" s="35"/>
      <c r="F547" s="33"/>
      <c r="G547" s="35"/>
      <c r="H547" s="35"/>
      <c r="I547" s="35"/>
    </row>
    <row r="548">
      <c r="C548" s="35"/>
      <c r="D548" s="35"/>
      <c r="F548" s="33"/>
      <c r="G548" s="35"/>
      <c r="H548" s="35"/>
      <c r="I548" s="35"/>
    </row>
    <row r="549">
      <c r="C549" s="35"/>
      <c r="D549" s="35"/>
      <c r="F549" s="33"/>
      <c r="G549" s="35"/>
      <c r="H549" s="35"/>
      <c r="I549" s="35"/>
    </row>
    <row r="550">
      <c r="C550" s="35"/>
      <c r="D550" s="35"/>
      <c r="F550" s="33"/>
      <c r="G550" s="35"/>
      <c r="H550" s="35"/>
      <c r="I550" s="35"/>
    </row>
    <row r="551">
      <c r="C551" s="35"/>
      <c r="D551" s="35"/>
      <c r="F551" s="33"/>
      <c r="G551" s="35"/>
      <c r="H551" s="35"/>
      <c r="I551" s="35"/>
    </row>
    <row r="552">
      <c r="C552" s="35"/>
      <c r="D552" s="35"/>
      <c r="F552" s="33"/>
      <c r="G552" s="35"/>
      <c r="H552" s="35"/>
      <c r="I552" s="35"/>
    </row>
    <row r="553">
      <c r="C553" s="35"/>
      <c r="D553" s="35"/>
      <c r="F553" s="33"/>
      <c r="G553" s="35"/>
      <c r="H553" s="35"/>
      <c r="I553" s="35"/>
    </row>
    <row r="554">
      <c r="C554" s="35"/>
      <c r="D554" s="35"/>
      <c r="F554" s="33"/>
      <c r="G554" s="35"/>
      <c r="H554" s="35"/>
      <c r="I554" s="35"/>
    </row>
    <row r="555">
      <c r="C555" s="35"/>
      <c r="D555" s="35"/>
      <c r="F555" s="33"/>
      <c r="G555" s="35"/>
      <c r="H555" s="35"/>
      <c r="I555" s="35"/>
    </row>
    <row r="556">
      <c r="C556" s="35"/>
      <c r="D556" s="35"/>
      <c r="F556" s="33"/>
      <c r="G556" s="35"/>
      <c r="H556" s="35"/>
      <c r="I556" s="35"/>
    </row>
    <row r="557">
      <c r="C557" s="35"/>
      <c r="D557" s="35"/>
      <c r="F557" s="33"/>
      <c r="G557" s="35"/>
      <c r="H557" s="35"/>
      <c r="I557" s="35"/>
    </row>
    <row r="558">
      <c r="C558" s="35"/>
      <c r="D558" s="35"/>
      <c r="F558" s="33"/>
      <c r="G558" s="35"/>
      <c r="H558" s="35"/>
      <c r="I558" s="35"/>
    </row>
    <row r="559">
      <c r="C559" s="35"/>
      <c r="D559" s="35"/>
      <c r="F559" s="33"/>
      <c r="G559" s="35"/>
      <c r="H559" s="35"/>
      <c r="I559" s="35"/>
    </row>
    <row r="560">
      <c r="C560" s="35"/>
      <c r="D560" s="35"/>
      <c r="F560" s="33"/>
      <c r="G560" s="35"/>
      <c r="H560" s="35"/>
      <c r="I560" s="35"/>
    </row>
    <row r="561">
      <c r="C561" s="35"/>
      <c r="D561" s="35"/>
      <c r="F561" s="33"/>
      <c r="G561" s="35"/>
      <c r="H561" s="35"/>
      <c r="I561" s="35"/>
    </row>
    <row r="562">
      <c r="C562" s="35"/>
      <c r="D562" s="35"/>
      <c r="F562" s="33"/>
      <c r="G562" s="35"/>
      <c r="H562" s="35"/>
      <c r="I562" s="35"/>
    </row>
    <row r="563">
      <c r="C563" s="35"/>
      <c r="D563" s="35"/>
      <c r="F563" s="33"/>
      <c r="G563" s="35"/>
      <c r="H563" s="35"/>
      <c r="I563" s="35"/>
    </row>
    <row r="564">
      <c r="C564" s="35"/>
      <c r="D564" s="35"/>
      <c r="F564" s="33"/>
      <c r="G564" s="35"/>
      <c r="H564" s="35"/>
      <c r="I564" s="35"/>
    </row>
    <row r="565">
      <c r="C565" s="35"/>
      <c r="D565" s="35"/>
      <c r="F565" s="33"/>
      <c r="G565" s="35"/>
      <c r="H565" s="35"/>
      <c r="I565" s="35"/>
    </row>
    <row r="566">
      <c r="C566" s="35"/>
      <c r="D566" s="35"/>
      <c r="F566" s="33"/>
      <c r="G566" s="35"/>
      <c r="H566" s="35"/>
      <c r="I566" s="35"/>
    </row>
    <row r="567">
      <c r="C567" s="35"/>
      <c r="D567" s="35"/>
      <c r="F567" s="33"/>
      <c r="G567" s="35"/>
      <c r="H567" s="35"/>
      <c r="I567" s="35"/>
    </row>
    <row r="568">
      <c r="C568" s="35"/>
      <c r="D568" s="35"/>
      <c r="F568" s="33"/>
      <c r="G568" s="35"/>
      <c r="H568" s="35"/>
      <c r="I568" s="35"/>
    </row>
    <row r="569">
      <c r="C569" s="35"/>
      <c r="D569" s="35"/>
      <c r="F569" s="33"/>
      <c r="G569" s="35"/>
      <c r="H569" s="35"/>
      <c r="I569" s="35"/>
    </row>
    <row r="570">
      <c r="C570" s="35"/>
      <c r="D570" s="35"/>
      <c r="F570" s="33"/>
      <c r="G570" s="35"/>
      <c r="H570" s="35"/>
      <c r="I570" s="35"/>
    </row>
    <row r="571">
      <c r="C571" s="35"/>
      <c r="D571" s="35"/>
      <c r="F571" s="33"/>
      <c r="G571" s="35"/>
      <c r="H571" s="35"/>
      <c r="I571" s="35"/>
    </row>
    <row r="572">
      <c r="C572" s="35"/>
      <c r="D572" s="35"/>
      <c r="F572" s="33"/>
      <c r="G572" s="35"/>
      <c r="H572" s="35"/>
      <c r="I572" s="35"/>
    </row>
    <row r="573">
      <c r="C573" s="35"/>
      <c r="D573" s="35"/>
      <c r="F573" s="33"/>
      <c r="G573" s="35"/>
      <c r="H573" s="35"/>
      <c r="I573" s="35"/>
    </row>
    <row r="574">
      <c r="C574" s="35"/>
      <c r="D574" s="35"/>
      <c r="F574" s="33"/>
      <c r="G574" s="35"/>
      <c r="H574" s="35"/>
      <c r="I574" s="35"/>
    </row>
    <row r="575">
      <c r="C575" s="35"/>
      <c r="D575" s="35"/>
      <c r="F575" s="33"/>
      <c r="G575" s="35"/>
      <c r="H575" s="35"/>
      <c r="I575" s="35"/>
    </row>
    <row r="576">
      <c r="C576" s="35"/>
      <c r="D576" s="35"/>
      <c r="F576" s="33"/>
      <c r="G576" s="35"/>
      <c r="H576" s="35"/>
      <c r="I576" s="35"/>
    </row>
    <row r="577">
      <c r="C577" s="35"/>
      <c r="D577" s="35"/>
      <c r="F577" s="33"/>
      <c r="G577" s="35"/>
      <c r="H577" s="35"/>
      <c r="I577" s="35"/>
    </row>
    <row r="578">
      <c r="C578" s="35"/>
      <c r="D578" s="35"/>
      <c r="F578" s="33"/>
      <c r="G578" s="35"/>
      <c r="H578" s="35"/>
      <c r="I578" s="35"/>
    </row>
    <row r="579">
      <c r="C579" s="35"/>
      <c r="D579" s="35"/>
      <c r="F579" s="33"/>
      <c r="G579" s="35"/>
      <c r="H579" s="35"/>
      <c r="I579" s="35"/>
    </row>
    <row r="580">
      <c r="C580" s="35"/>
      <c r="D580" s="35"/>
      <c r="F580" s="33"/>
      <c r="G580" s="35"/>
      <c r="H580" s="35"/>
      <c r="I580" s="35"/>
    </row>
    <row r="581">
      <c r="C581" s="35"/>
      <c r="D581" s="35"/>
      <c r="F581" s="33"/>
      <c r="G581" s="35"/>
      <c r="H581" s="35"/>
      <c r="I581" s="35"/>
    </row>
    <row r="582">
      <c r="C582" s="35"/>
      <c r="D582" s="35"/>
      <c r="F582" s="33"/>
      <c r="G582" s="35"/>
      <c r="H582" s="35"/>
      <c r="I582" s="35"/>
    </row>
    <row r="583">
      <c r="C583" s="35"/>
      <c r="D583" s="35"/>
      <c r="F583" s="33"/>
      <c r="G583" s="35"/>
      <c r="H583" s="35"/>
      <c r="I583" s="35"/>
    </row>
    <row r="584">
      <c r="C584" s="35"/>
      <c r="D584" s="35"/>
      <c r="F584" s="33"/>
      <c r="G584" s="35"/>
      <c r="H584" s="35"/>
      <c r="I584" s="35"/>
    </row>
    <row r="585">
      <c r="C585" s="35"/>
      <c r="D585" s="35"/>
      <c r="F585" s="33"/>
      <c r="G585" s="35"/>
      <c r="H585" s="35"/>
      <c r="I585" s="35"/>
    </row>
    <row r="586">
      <c r="C586" s="35"/>
      <c r="D586" s="35"/>
      <c r="F586" s="33"/>
      <c r="G586" s="35"/>
      <c r="H586" s="35"/>
      <c r="I586" s="35"/>
    </row>
    <row r="587">
      <c r="C587" s="35"/>
      <c r="D587" s="35"/>
      <c r="F587" s="33"/>
      <c r="G587" s="35"/>
      <c r="H587" s="35"/>
      <c r="I587" s="35"/>
    </row>
    <row r="588">
      <c r="C588" s="35"/>
      <c r="D588" s="35"/>
      <c r="F588" s="33"/>
      <c r="G588" s="35"/>
      <c r="H588" s="35"/>
      <c r="I588" s="35"/>
    </row>
    <row r="589">
      <c r="C589" s="35"/>
      <c r="D589" s="35"/>
      <c r="F589" s="33"/>
      <c r="G589" s="35"/>
      <c r="H589" s="35"/>
      <c r="I589" s="35"/>
    </row>
    <row r="590">
      <c r="C590" s="35"/>
      <c r="D590" s="35"/>
      <c r="F590" s="33"/>
      <c r="G590" s="35"/>
      <c r="H590" s="35"/>
      <c r="I590" s="35"/>
    </row>
    <row r="591">
      <c r="C591" s="35"/>
      <c r="D591" s="35"/>
      <c r="F591" s="33"/>
      <c r="G591" s="35"/>
      <c r="H591" s="35"/>
      <c r="I591" s="35"/>
    </row>
    <row r="592">
      <c r="C592" s="35"/>
      <c r="D592" s="35"/>
      <c r="F592" s="33"/>
      <c r="G592" s="35"/>
      <c r="H592" s="35"/>
      <c r="I592" s="35"/>
    </row>
    <row r="593">
      <c r="C593" s="35"/>
      <c r="D593" s="35"/>
      <c r="F593" s="33"/>
      <c r="G593" s="35"/>
      <c r="H593" s="35"/>
      <c r="I593" s="35"/>
    </row>
    <row r="594">
      <c r="C594" s="35"/>
      <c r="D594" s="35"/>
      <c r="F594" s="33"/>
      <c r="G594" s="35"/>
      <c r="H594" s="35"/>
      <c r="I594" s="35"/>
    </row>
    <row r="595">
      <c r="C595" s="35"/>
      <c r="D595" s="35"/>
      <c r="F595" s="33"/>
      <c r="G595" s="35"/>
      <c r="H595" s="35"/>
      <c r="I595" s="35"/>
    </row>
    <row r="596">
      <c r="C596" s="35"/>
      <c r="D596" s="35"/>
      <c r="F596" s="33"/>
      <c r="G596" s="35"/>
      <c r="H596" s="35"/>
      <c r="I596" s="35"/>
    </row>
    <row r="597">
      <c r="C597" s="35"/>
      <c r="D597" s="35"/>
      <c r="F597" s="33"/>
      <c r="G597" s="35"/>
      <c r="H597" s="35"/>
      <c r="I597" s="35"/>
    </row>
    <row r="598">
      <c r="C598" s="35"/>
      <c r="D598" s="35"/>
      <c r="F598" s="33"/>
      <c r="G598" s="35"/>
      <c r="H598" s="35"/>
      <c r="I598" s="35"/>
    </row>
    <row r="599">
      <c r="C599" s="35"/>
      <c r="D599" s="35"/>
      <c r="F599" s="33"/>
      <c r="G599" s="35"/>
      <c r="H599" s="35"/>
      <c r="I599" s="35"/>
    </row>
    <row r="600">
      <c r="C600" s="35"/>
      <c r="D600" s="35"/>
      <c r="F600" s="33"/>
      <c r="G600" s="35"/>
      <c r="H600" s="35"/>
      <c r="I600" s="35"/>
    </row>
    <row r="601">
      <c r="C601" s="35"/>
      <c r="D601" s="35"/>
      <c r="F601" s="33"/>
      <c r="G601" s="35"/>
      <c r="H601" s="35"/>
      <c r="I601" s="35"/>
    </row>
    <row r="602">
      <c r="C602" s="35"/>
      <c r="D602" s="35"/>
      <c r="F602" s="33"/>
      <c r="G602" s="35"/>
      <c r="H602" s="35"/>
      <c r="I602" s="35"/>
    </row>
    <row r="603">
      <c r="C603" s="35"/>
      <c r="D603" s="35"/>
      <c r="F603" s="33"/>
      <c r="G603" s="35"/>
      <c r="H603" s="35"/>
      <c r="I603" s="35"/>
    </row>
    <row r="604">
      <c r="C604" s="35"/>
      <c r="D604" s="35"/>
      <c r="F604" s="33"/>
      <c r="G604" s="35"/>
      <c r="H604" s="35"/>
      <c r="I604" s="35"/>
    </row>
    <row r="605">
      <c r="C605" s="35"/>
      <c r="D605" s="35"/>
      <c r="F605" s="33"/>
      <c r="G605" s="35"/>
      <c r="H605" s="35"/>
      <c r="I605" s="35"/>
    </row>
    <row r="606">
      <c r="C606" s="35"/>
      <c r="D606" s="35"/>
      <c r="F606" s="33"/>
      <c r="G606" s="35"/>
      <c r="H606" s="35"/>
      <c r="I606" s="35"/>
    </row>
    <row r="607">
      <c r="C607" s="35"/>
      <c r="D607" s="35"/>
      <c r="F607" s="33"/>
      <c r="G607" s="35"/>
      <c r="H607" s="35"/>
      <c r="I607" s="35"/>
    </row>
    <row r="608">
      <c r="C608" s="35"/>
      <c r="D608" s="35"/>
      <c r="F608" s="33"/>
      <c r="G608" s="35"/>
      <c r="H608" s="35"/>
      <c r="I608" s="35"/>
    </row>
    <row r="609">
      <c r="C609" s="35"/>
      <c r="D609" s="35"/>
      <c r="F609" s="33"/>
      <c r="G609" s="35"/>
      <c r="H609" s="35"/>
      <c r="I609" s="35"/>
    </row>
    <row r="610">
      <c r="C610" s="35"/>
      <c r="D610" s="35"/>
      <c r="F610" s="33"/>
      <c r="G610" s="35"/>
      <c r="H610" s="35"/>
      <c r="I610" s="35"/>
    </row>
    <row r="611">
      <c r="C611" s="35"/>
      <c r="D611" s="35"/>
      <c r="F611" s="33"/>
      <c r="G611" s="35"/>
      <c r="H611" s="35"/>
      <c r="I611" s="35"/>
    </row>
    <row r="612">
      <c r="C612" s="35"/>
      <c r="D612" s="35"/>
      <c r="F612" s="33"/>
      <c r="G612" s="35"/>
      <c r="H612" s="35"/>
      <c r="I612" s="35"/>
    </row>
    <row r="613">
      <c r="C613" s="35"/>
      <c r="D613" s="35"/>
      <c r="F613" s="33"/>
      <c r="G613" s="35"/>
      <c r="H613" s="35"/>
      <c r="I613" s="35"/>
    </row>
    <row r="614">
      <c r="C614" s="35"/>
      <c r="D614" s="35"/>
      <c r="F614" s="33"/>
      <c r="G614" s="35"/>
      <c r="H614" s="35"/>
      <c r="I614" s="35"/>
    </row>
    <row r="615">
      <c r="C615" s="35"/>
      <c r="D615" s="35"/>
      <c r="F615" s="33"/>
      <c r="G615" s="35"/>
      <c r="H615" s="35"/>
      <c r="I615" s="35"/>
    </row>
    <row r="616">
      <c r="C616" s="35"/>
      <c r="D616" s="35"/>
      <c r="F616" s="33"/>
      <c r="G616" s="35"/>
      <c r="H616" s="35"/>
      <c r="I616" s="35"/>
    </row>
    <row r="617">
      <c r="C617" s="35"/>
      <c r="D617" s="35"/>
      <c r="F617" s="33"/>
      <c r="G617" s="35"/>
      <c r="H617" s="35"/>
      <c r="I617" s="35"/>
    </row>
    <row r="618">
      <c r="C618" s="35"/>
      <c r="D618" s="35"/>
      <c r="F618" s="33"/>
      <c r="G618" s="35"/>
      <c r="H618" s="35"/>
      <c r="I618" s="35"/>
    </row>
    <row r="619">
      <c r="C619" s="35"/>
      <c r="D619" s="35"/>
      <c r="F619" s="33"/>
      <c r="G619" s="35"/>
      <c r="H619" s="35"/>
      <c r="I619" s="35"/>
    </row>
    <row r="620">
      <c r="C620" s="35"/>
      <c r="D620" s="35"/>
      <c r="F620" s="33"/>
      <c r="G620" s="35"/>
      <c r="H620" s="35"/>
      <c r="I620" s="35"/>
    </row>
    <row r="621">
      <c r="C621" s="35"/>
      <c r="D621" s="35"/>
      <c r="F621" s="33"/>
      <c r="G621" s="35"/>
      <c r="H621" s="35"/>
      <c r="I621" s="35"/>
    </row>
    <row r="622">
      <c r="C622" s="35"/>
      <c r="D622" s="35"/>
      <c r="F622" s="33"/>
      <c r="G622" s="35"/>
      <c r="H622" s="35"/>
      <c r="I622" s="35"/>
    </row>
    <row r="623">
      <c r="C623" s="35"/>
      <c r="D623" s="35"/>
      <c r="F623" s="33"/>
      <c r="G623" s="35"/>
      <c r="H623" s="35"/>
      <c r="I623" s="35"/>
    </row>
    <row r="624">
      <c r="C624" s="35"/>
      <c r="D624" s="35"/>
      <c r="F624" s="33"/>
      <c r="G624" s="35"/>
      <c r="H624" s="35"/>
      <c r="I624" s="35"/>
    </row>
    <row r="625">
      <c r="C625" s="35"/>
      <c r="D625" s="35"/>
      <c r="F625" s="33"/>
      <c r="G625" s="35"/>
      <c r="H625" s="35"/>
      <c r="I625" s="35"/>
    </row>
    <row r="626">
      <c r="C626" s="35"/>
      <c r="D626" s="35"/>
      <c r="F626" s="33"/>
      <c r="G626" s="35"/>
      <c r="H626" s="35"/>
      <c r="I626" s="35"/>
    </row>
    <row r="627">
      <c r="C627" s="35"/>
      <c r="D627" s="35"/>
      <c r="F627" s="33"/>
      <c r="G627" s="35"/>
      <c r="H627" s="35"/>
      <c r="I627" s="35"/>
    </row>
    <row r="628">
      <c r="C628" s="35"/>
      <c r="D628" s="35"/>
      <c r="F628" s="33"/>
      <c r="G628" s="35"/>
      <c r="H628" s="35"/>
      <c r="I628" s="35"/>
    </row>
    <row r="629">
      <c r="C629" s="35"/>
      <c r="D629" s="35"/>
      <c r="F629" s="33"/>
      <c r="G629" s="35"/>
      <c r="H629" s="35"/>
      <c r="I629" s="35"/>
    </row>
    <row r="630">
      <c r="C630" s="35"/>
      <c r="D630" s="35"/>
      <c r="F630" s="33"/>
      <c r="G630" s="35"/>
      <c r="H630" s="35"/>
      <c r="I630" s="35"/>
    </row>
    <row r="631">
      <c r="C631" s="35"/>
      <c r="D631" s="35"/>
      <c r="F631" s="33"/>
      <c r="G631" s="35"/>
      <c r="H631" s="35"/>
      <c r="I631" s="35"/>
    </row>
    <row r="632">
      <c r="C632" s="35"/>
      <c r="D632" s="35"/>
      <c r="F632" s="33"/>
      <c r="G632" s="35"/>
      <c r="H632" s="35"/>
      <c r="I632" s="35"/>
    </row>
    <row r="633">
      <c r="C633" s="35"/>
      <c r="D633" s="35"/>
      <c r="F633" s="33"/>
      <c r="G633" s="35"/>
      <c r="H633" s="35"/>
      <c r="I633" s="35"/>
    </row>
    <row r="634">
      <c r="C634" s="35"/>
      <c r="D634" s="35"/>
      <c r="F634" s="33"/>
      <c r="G634" s="35"/>
      <c r="H634" s="35"/>
      <c r="I634" s="35"/>
    </row>
    <row r="635">
      <c r="C635" s="35"/>
      <c r="D635" s="35"/>
      <c r="F635" s="33"/>
      <c r="G635" s="35"/>
      <c r="H635" s="35"/>
      <c r="I635" s="35"/>
    </row>
    <row r="636">
      <c r="C636" s="35"/>
      <c r="D636" s="35"/>
      <c r="F636" s="33"/>
      <c r="G636" s="35"/>
      <c r="H636" s="35"/>
      <c r="I636" s="35"/>
    </row>
    <row r="637">
      <c r="C637" s="35"/>
      <c r="D637" s="35"/>
      <c r="F637" s="33"/>
      <c r="G637" s="35"/>
      <c r="H637" s="35"/>
      <c r="I637" s="35"/>
    </row>
    <row r="638">
      <c r="C638" s="35"/>
      <c r="D638" s="35"/>
      <c r="F638" s="33"/>
      <c r="G638" s="35"/>
      <c r="H638" s="35"/>
      <c r="I638" s="35"/>
    </row>
    <row r="639">
      <c r="C639" s="35"/>
      <c r="D639" s="35"/>
      <c r="F639" s="33"/>
      <c r="G639" s="35"/>
      <c r="H639" s="35"/>
      <c r="I639" s="35"/>
    </row>
    <row r="640">
      <c r="C640" s="35"/>
      <c r="D640" s="35"/>
      <c r="F640" s="33"/>
      <c r="G640" s="35"/>
      <c r="H640" s="35"/>
      <c r="I640" s="35"/>
    </row>
    <row r="641">
      <c r="C641" s="35"/>
      <c r="D641" s="35"/>
      <c r="F641" s="33"/>
      <c r="G641" s="35"/>
      <c r="H641" s="35"/>
      <c r="I641" s="35"/>
    </row>
    <row r="642">
      <c r="C642" s="35"/>
      <c r="D642" s="35"/>
      <c r="F642" s="33"/>
      <c r="G642" s="35"/>
      <c r="H642" s="35"/>
      <c r="I642" s="35"/>
    </row>
    <row r="643">
      <c r="C643" s="35"/>
      <c r="D643" s="35"/>
      <c r="F643" s="33"/>
      <c r="G643" s="35"/>
      <c r="H643" s="35"/>
      <c r="I643" s="35"/>
    </row>
    <row r="644">
      <c r="C644" s="35"/>
      <c r="D644" s="35"/>
      <c r="F644" s="33"/>
      <c r="G644" s="35"/>
      <c r="H644" s="35"/>
      <c r="I644" s="35"/>
    </row>
    <row r="645">
      <c r="C645" s="35"/>
      <c r="D645" s="35"/>
      <c r="F645" s="33"/>
      <c r="G645" s="35"/>
      <c r="H645" s="35"/>
      <c r="I645" s="35"/>
    </row>
    <row r="646">
      <c r="C646" s="35"/>
      <c r="D646" s="35"/>
      <c r="F646" s="33"/>
      <c r="G646" s="35"/>
      <c r="H646" s="35"/>
      <c r="I646" s="35"/>
    </row>
    <row r="647">
      <c r="C647" s="35"/>
      <c r="D647" s="35"/>
      <c r="F647" s="33"/>
      <c r="G647" s="35"/>
      <c r="H647" s="35"/>
      <c r="I647" s="35"/>
    </row>
    <row r="648">
      <c r="C648" s="35"/>
      <c r="D648" s="35"/>
      <c r="F648" s="33"/>
      <c r="G648" s="35"/>
      <c r="H648" s="35"/>
      <c r="I648" s="35"/>
    </row>
    <row r="649">
      <c r="C649" s="35"/>
      <c r="D649" s="35"/>
      <c r="F649" s="33"/>
      <c r="G649" s="35"/>
      <c r="H649" s="35"/>
      <c r="I649" s="35"/>
    </row>
    <row r="650">
      <c r="C650" s="35"/>
      <c r="D650" s="35"/>
      <c r="F650" s="33"/>
      <c r="G650" s="35"/>
      <c r="H650" s="35"/>
      <c r="I650" s="35"/>
    </row>
    <row r="651">
      <c r="C651" s="35"/>
      <c r="D651" s="35"/>
      <c r="F651" s="33"/>
      <c r="G651" s="35"/>
      <c r="H651" s="35"/>
      <c r="I651" s="35"/>
    </row>
    <row r="652">
      <c r="C652" s="35"/>
      <c r="D652" s="35"/>
      <c r="F652" s="33"/>
      <c r="G652" s="35"/>
      <c r="H652" s="35"/>
      <c r="I652" s="35"/>
    </row>
    <row r="653">
      <c r="C653" s="35"/>
      <c r="D653" s="35"/>
      <c r="F653" s="33"/>
      <c r="G653" s="35"/>
      <c r="H653" s="35"/>
      <c r="I653" s="35"/>
    </row>
    <row r="654">
      <c r="C654" s="35"/>
      <c r="D654" s="35"/>
      <c r="F654" s="33"/>
      <c r="G654" s="35"/>
      <c r="H654" s="35"/>
      <c r="I654" s="35"/>
    </row>
    <row r="655">
      <c r="C655" s="35"/>
      <c r="D655" s="35"/>
      <c r="F655" s="33"/>
      <c r="G655" s="35"/>
      <c r="H655" s="35"/>
      <c r="I655" s="35"/>
    </row>
    <row r="656">
      <c r="C656" s="35"/>
      <c r="D656" s="35"/>
      <c r="F656" s="33"/>
      <c r="G656" s="35"/>
      <c r="H656" s="35"/>
      <c r="I656" s="35"/>
    </row>
    <row r="657">
      <c r="C657" s="35"/>
      <c r="D657" s="35"/>
      <c r="F657" s="33"/>
      <c r="G657" s="35"/>
      <c r="H657" s="35"/>
      <c r="I657" s="35"/>
    </row>
    <row r="658">
      <c r="C658" s="35"/>
      <c r="D658" s="35"/>
      <c r="F658" s="33"/>
      <c r="G658" s="35"/>
      <c r="H658" s="35"/>
      <c r="I658" s="35"/>
    </row>
    <row r="659">
      <c r="C659" s="35"/>
      <c r="D659" s="35"/>
      <c r="F659" s="33"/>
      <c r="G659" s="35"/>
      <c r="H659" s="35"/>
      <c r="I659" s="35"/>
    </row>
    <row r="660">
      <c r="C660" s="35"/>
      <c r="D660" s="35"/>
      <c r="F660" s="33"/>
      <c r="G660" s="35"/>
      <c r="H660" s="35"/>
      <c r="I660" s="35"/>
    </row>
    <row r="661">
      <c r="C661" s="35"/>
      <c r="D661" s="35"/>
      <c r="F661" s="33"/>
      <c r="G661" s="35"/>
      <c r="H661" s="35"/>
      <c r="I661" s="35"/>
    </row>
    <row r="662">
      <c r="C662" s="35"/>
      <c r="D662" s="35"/>
      <c r="F662" s="33"/>
      <c r="G662" s="35"/>
      <c r="H662" s="35"/>
      <c r="I662" s="35"/>
    </row>
    <row r="663">
      <c r="C663" s="35"/>
      <c r="D663" s="35"/>
      <c r="F663" s="33"/>
      <c r="G663" s="35"/>
      <c r="H663" s="35"/>
      <c r="I663" s="35"/>
    </row>
    <row r="664">
      <c r="C664" s="35"/>
      <c r="D664" s="35"/>
      <c r="F664" s="33"/>
      <c r="G664" s="35"/>
      <c r="H664" s="35"/>
      <c r="I664" s="35"/>
    </row>
    <row r="665">
      <c r="C665" s="35"/>
      <c r="D665" s="35"/>
      <c r="F665" s="33"/>
      <c r="G665" s="35"/>
      <c r="H665" s="35"/>
      <c r="I665" s="35"/>
    </row>
    <row r="666">
      <c r="C666" s="35"/>
      <c r="D666" s="35"/>
      <c r="F666" s="33"/>
      <c r="G666" s="35"/>
      <c r="H666" s="35"/>
      <c r="I666" s="35"/>
    </row>
    <row r="667">
      <c r="C667" s="35"/>
      <c r="D667" s="35"/>
      <c r="F667" s="33"/>
      <c r="G667" s="35"/>
      <c r="H667" s="35"/>
      <c r="I667" s="35"/>
    </row>
    <row r="668">
      <c r="C668" s="35"/>
      <c r="D668" s="35"/>
      <c r="F668" s="33"/>
      <c r="G668" s="35"/>
      <c r="H668" s="35"/>
      <c r="I668" s="35"/>
    </row>
    <row r="669">
      <c r="C669" s="35"/>
      <c r="D669" s="35"/>
      <c r="F669" s="33"/>
      <c r="G669" s="35"/>
      <c r="H669" s="35"/>
      <c r="I669" s="35"/>
    </row>
    <row r="670">
      <c r="C670" s="35"/>
      <c r="D670" s="35"/>
      <c r="F670" s="33"/>
      <c r="G670" s="35"/>
      <c r="H670" s="35"/>
      <c r="I670" s="35"/>
    </row>
    <row r="671">
      <c r="C671" s="35"/>
      <c r="D671" s="35"/>
      <c r="F671" s="33"/>
      <c r="G671" s="35"/>
      <c r="H671" s="35"/>
      <c r="I671" s="35"/>
    </row>
    <row r="672">
      <c r="C672" s="35"/>
      <c r="D672" s="35"/>
      <c r="F672" s="33"/>
      <c r="G672" s="35"/>
      <c r="H672" s="35"/>
      <c r="I672" s="35"/>
    </row>
    <row r="673">
      <c r="C673" s="35"/>
      <c r="D673" s="35"/>
      <c r="F673" s="33"/>
      <c r="G673" s="35"/>
      <c r="H673" s="35"/>
      <c r="I673" s="35"/>
    </row>
    <row r="674">
      <c r="C674" s="35"/>
      <c r="D674" s="35"/>
      <c r="F674" s="33"/>
      <c r="G674" s="35"/>
      <c r="H674" s="35"/>
      <c r="I674" s="35"/>
    </row>
    <row r="675">
      <c r="C675" s="35"/>
      <c r="D675" s="35"/>
      <c r="F675" s="33"/>
      <c r="G675" s="35"/>
      <c r="H675" s="35"/>
      <c r="I675" s="35"/>
    </row>
    <row r="676">
      <c r="C676" s="35"/>
      <c r="D676" s="35"/>
      <c r="F676" s="33"/>
      <c r="G676" s="35"/>
      <c r="H676" s="35"/>
      <c r="I676" s="35"/>
    </row>
    <row r="677">
      <c r="C677" s="35"/>
      <c r="D677" s="35"/>
      <c r="F677" s="33"/>
      <c r="G677" s="35"/>
      <c r="H677" s="35"/>
      <c r="I677" s="35"/>
    </row>
    <row r="678">
      <c r="C678" s="35"/>
      <c r="D678" s="35"/>
      <c r="F678" s="33"/>
      <c r="G678" s="35"/>
      <c r="H678" s="35"/>
      <c r="I678" s="35"/>
    </row>
    <row r="679">
      <c r="C679" s="35"/>
      <c r="D679" s="35"/>
      <c r="F679" s="33"/>
      <c r="G679" s="35"/>
      <c r="H679" s="35"/>
      <c r="I679" s="35"/>
    </row>
    <row r="680">
      <c r="C680" s="35"/>
      <c r="D680" s="35"/>
      <c r="F680" s="33"/>
      <c r="G680" s="35"/>
      <c r="H680" s="35"/>
      <c r="I680" s="35"/>
    </row>
    <row r="681">
      <c r="C681" s="35"/>
      <c r="D681" s="35"/>
      <c r="F681" s="33"/>
      <c r="G681" s="35"/>
      <c r="H681" s="35"/>
      <c r="I681" s="35"/>
    </row>
    <row r="682">
      <c r="C682" s="35"/>
      <c r="D682" s="35"/>
      <c r="F682" s="33"/>
      <c r="G682" s="35"/>
      <c r="H682" s="35"/>
      <c r="I682" s="35"/>
    </row>
    <row r="683">
      <c r="C683" s="35"/>
      <c r="D683" s="35"/>
      <c r="F683" s="33"/>
      <c r="G683" s="35"/>
      <c r="H683" s="35"/>
      <c r="I683" s="35"/>
    </row>
    <row r="684">
      <c r="C684" s="35"/>
      <c r="D684" s="35"/>
      <c r="F684" s="33"/>
      <c r="G684" s="35"/>
      <c r="H684" s="35"/>
      <c r="I684" s="35"/>
    </row>
    <row r="685">
      <c r="C685" s="35"/>
      <c r="D685" s="35"/>
      <c r="F685" s="33"/>
      <c r="G685" s="35"/>
      <c r="H685" s="35"/>
      <c r="I685" s="35"/>
    </row>
    <row r="686">
      <c r="C686" s="35"/>
      <c r="D686" s="35"/>
      <c r="F686" s="33"/>
      <c r="G686" s="35"/>
      <c r="H686" s="35"/>
      <c r="I686" s="35"/>
    </row>
    <row r="687">
      <c r="C687" s="35"/>
      <c r="D687" s="35"/>
      <c r="F687" s="33"/>
      <c r="G687" s="35"/>
      <c r="H687" s="35"/>
      <c r="I687" s="35"/>
    </row>
    <row r="688">
      <c r="C688" s="35"/>
      <c r="D688" s="35"/>
      <c r="F688" s="33"/>
      <c r="G688" s="35"/>
      <c r="H688" s="35"/>
      <c r="I688" s="35"/>
    </row>
    <row r="689">
      <c r="C689" s="35"/>
      <c r="D689" s="35"/>
      <c r="F689" s="33"/>
      <c r="G689" s="35"/>
      <c r="H689" s="35"/>
      <c r="I689" s="35"/>
    </row>
    <row r="690">
      <c r="C690" s="35"/>
      <c r="D690" s="35"/>
      <c r="F690" s="33"/>
      <c r="G690" s="35"/>
      <c r="H690" s="35"/>
      <c r="I690" s="35"/>
    </row>
    <row r="691">
      <c r="C691" s="35"/>
      <c r="D691" s="35"/>
      <c r="F691" s="33"/>
      <c r="G691" s="35"/>
      <c r="H691" s="35"/>
      <c r="I691" s="35"/>
    </row>
    <row r="692">
      <c r="C692" s="35"/>
      <c r="D692" s="35"/>
      <c r="F692" s="33"/>
      <c r="G692" s="35"/>
      <c r="H692" s="35"/>
      <c r="I692" s="35"/>
    </row>
    <row r="693">
      <c r="C693" s="35"/>
      <c r="D693" s="35"/>
      <c r="F693" s="33"/>
      <c r="G693" s="35"/>
      <c r="H693" s="35"/>
      <c r="I693" s="35"/>
    </row>
    <row r="694">
      <c r="C694" s="35"/>
      <c r="D694" s="35"/>
      <c r="F694" s="33"/>
      <c r="G694" s="35"/>
      <c r="H694" s="35"/>
      <c r="I694" s="35"/>
    </row>
    <row r="695">
      <c r="C695" s="35"/>
      <c r="D695" s="35"/>
      <c r="F695" s="33"/>
      <c r="G695" s="35"/>
      <c r="H695" s="35"/>
      <c r="I695" s="35"/>
    </row>
    <row r="696">
      <c r="C696" s="35"/>
      <c r="D696" s="35"/>
      <c r="F696" s="33"/>
      <c r="G696" s="35"/>
      <c r="H696" s="35"/>
      <c r="I696" s="35"/>
    </row>
    <row r="697">
      <c r="C697" s="35"/>
      <c r="D697" s="35"/>
      <c r="F697" s="33"/>
      <c r="G697" s="35"/>
      <c r="H697" s="35"/>
      <c r="I697" s="35"/>
    </row>
    <row r="698">
      <c r="C698" s="35"/>
      <c r="D698" s="35"/>
      <c r="F698" s="33"/>
      <c r="G698" s="35"/>
      <c r="H698" s="35"/>
      <c r="I698" s="35"/>
    </row>
    <row r="699">
      <c r="C699" s="35"/>
      <c r="D699" s="35"/>
      <c r="F699" s="33"/>
      <c r="G699" s="35"/>
      <c r="H699" s="35"/>
      <c r="I699" s="35"/>
    </row>
    <row r="700">
      <c r="C700" s="35"/>
      <c r="D700" s="35"/>
      <c r="F700" s="33"/>
      <c r="G700" s="35"/>
      <c r="H700" s="35"/>
      <c r="I700" s="35"/>
    </row>
    <row r="701">
      <c r="C701" s="35"/>
      <c r="D701" s="35"/>
      <c r="F701" s="33"/>
      <c r="G701" s="35"/>
      <c r="H701" s="35"/>
      <c r="I701" s="35"/>
    </row>
    <row r="702">
      <c r="C702" s="35"/>
      <c r="D702" s="35"/>
      <c r="F702" s="33"/>
      <c r="G702" s="35"/>
      <c r="H702" s="35"/>
      <c r="I702" s="35"/>
    </row>
    <row r="703">
      <c r="C703" s="35"/>
      <c r="D703" s="35"/>
      <c r="F703" s="33"/>
      <c r="G703" s="35"/>
      <c r="H703" s="35"/>
      <c r="I703" s="35"/>
    </row>
    <row r="704">
      <c r="C704" s="35"/>
      <c r="D704" s="35"/>
      <c r="F704" s="33"/>
      <c r="G704" s="35"/>
      <c r="H704" s="35"/>
      <c r="I704" s="35"/>
    </row>
    <row r="705">
      <c r="C705" s="35"/>
      <c r="D705" s="35"/>
      <c r="F705" s="33"/>
      <c r="G705" s="35"/>
      <c r="H705" s="35"/>
      <c r="I705" s="35"/>
    </row>
    <row r="706">
      <c r="C706" s="35"/>
      <c r="D706" s="35"/>
      <c r="F706" s="33"/>
      <c r="G706" s="35"/>
      <c r="H706" s="35"/>
      <c r="I706" s="35"/>
    </row>
    <row r="707">
      <c r="C707" s="35"/>
      <c r="D707" s="35"/>
      <c r="F707" s="33"/>
      <c r="G707" s="35"/>
      <c r="H707" s="35"/>
      <c r="I707" s="35"/>
    </row>
    <row r="708">
      <c r="C708" s="35"/>
      <c r="D708" s="35"/>
      <c r="F708" s="33"/>
      <c r="G708" s="35"/>
      <c r="H708" s="35"/>
      <c r="I708" s="35"/>
    </row>
    <row r="709">
      <c r="C709" s="35"/>
      <c r="D709" s="35"/>
      <c r="F709" s="33"/>
      <c r="G709" s="35"/>
      <c r="H709" s="35"/>
      <c r="I709" s="35"/>
    </row>
    <row r="710">
      <c r="C710" s="35"/>
      <c r="D710" s="35"/>
      <c r="F710" s="33"/>
      <c r="G710" s="35"/>
      <c r="H710" s="35"/>
      <c r="I710" s="35"/>
    </row>
    <row r="711">
      <c r="C711" s="35"/>
      <c r="D711" s="35"/>
      <c r="F711" s="33"/>
      <c r="G711" s="35"/>
      <c r="H711" s="35"/>
      <c r="I711" s="35"/>
    </row>
    <row r="712">
      <c r="C712" s="35"/>
      <c r="D712" s="35"/>
      <c r="F712" s="33"/>
      <c r="G712" s="35"/>
      <c r="H712" s="35"/>
      <c r="I712" s="35"/>
    </row>
    <row r="713">
      <c r="C713" s="35"/>
      <c r="D713" s="35"/>
      <c r="F713" s="33"/>
      <c r="G713" s="35"/>
      <c r="H713" s="35"/>
      <c r="I713" s="35"/>
    </row>
    <row r="714">
      <c r="C714" s="35"/>
      <c r="D714" s="35"/>
      <c r="F714" s="33"/>
      <c r="G714" s="35"/>
      <c r="H714" s="35"/>
      <c r="I714" s="35"/>
    </row>
    <row r="715">
      <c r="C715" s="35"/>
      <c r="D715" s="35"/>
      <c r="F715" s="33"/>
      <c r="G715" s="35"/>
      <c r="H715" s="35"/>
      <c r="I715" s="35"/>
    </row>
    <row r="716">
      <c r="C716" s="35"/>
      <c r="D716" s="35"/>
      <c r="F716" s="33"/>
      <c r="G716" s="35"/>
      <c r="H716" s="35"/>
      <c r="I716" s="35"/>
    </row>
    <row r="717">
      <c r="C717" s="35"/>
      <c r="D717" s="35"/>
      <c r="F717" s="33"/>
      <c r="G717" s="35"/>
      <c r="H717" s="35"/>
      <c r="I717" s="35"/>
    </row>
    <row r="718">
      <c r="C718" s="35"/>
      <c r="D718" s="35"/>
      <c r="F718" s="33"/>
      <c r="G718" s="35"/>
      <c r="H718" s="35"/>
      <c r="I718" s="35"/>
    </row>
    <row r="719">
      <c r="C719" s="35"/>
      <c r="D719" s="35"/>
      <c r="F719" s="33"/>
      <c r="G719" s="35"/>
      <c r="H719" s="35"/>
      <c r="I719" s="35"/>
    </row>
    <row r="720">
      <c r="C720" s="35"/>
      <c r="D720" s="35"/>
      <c r="F720" s="33"/>
      <c r="G720" s="35"/>
      <c r="H720" s="35"/>
      <c r="I720" s="35"/>
    </row>
    <row r="721">
      <c r="C721" s="35"/>
      <c r="D721" s="35"/>
      <c r="F721" s="33"/>
      <c r="G721" s="35"/>
      <c r="H721" s="35"/>
      <c r="I721" s="35"/>
    </row>
    <row r="722">
      <c r="C722" s="35"/>
      <c r="D722" s="35"/>
      <c r="F722" s="33"/>
      <c r="G722" s="35"/>
      <c r="H722" s="35"/>
      <c r="I722" s="35"/>
    </row>
    <row r="723">
      <c r="C723" s="35"/>
      <c r="D723" s="35"/>
      <c r="F723" s="33"/>
      <c r="G723" s="35"/>
      <c r="H723" s="35"/>
      <c r="I723" s="35"/>
    </row>
    <row r="724">
      <c r="C724" s="35"/>
      <c r="D724" s="35"/>
      <c r="F724" s="33"/>
      <c r="G724" s="35"/>
      <c r="H724" s="35"/>
      <c r="I724" s="35"/>
    </row>
    <row r="725">
      <c r="C725" s="35"/>
      <c r="D725" s="35"/>
      <c r="F725" s="33"/>
      <c r="G725" s="35"/>
      <c r="H725" s="35"/>
      <c r="I725" s="35"/>
    </row>
    <row r="726">
      <c r="C726" s="35"/>
      <c r="D726" s="35"/>
      <c r="F726" s="33"/>
      <c r="G726" s="35"/>
      <c r="H726" s="35"/>
      <c r="I726" s="35"/>
    </row>
    <row r="727">
      <c r="C727" s="35"/>
      <c r="D727" s="35"/>
      <c r="F727" s="33"/>
      <c r="G727" s="35"/>
      <c r="H727" s="35"/>
      <c r="I727" s="35"/>
    </row>
    <row r="728">
      <c r="C728" s="35"/>
      <c r="D728" s="35"/>
      <c r="F728" s="33"/>
      <c r="G728" s="35"/>
      <c r="H728" s="35"/>
      <c r="I728" s="35"/>
    </row>
    <row r="729">
      <c r="C729" s="35"/>
      <c r="D729" s="35"/>
      <c r="F729" s="33"/>
      <c r="G729" s="35"/>
      <c r="H729" s="35"/>
      <c r="I729" s="35"/>
    </row>
    <row r="730">
      <c r="C730" s="35"/>
      <c r="D730" s="35"/>
      <c r="F730" s="33"/>
      <c r="G730" s="35"/>
      <c r="H730" s="35"/>
      <c r="I730" s="35"/>
    </row>
    <row r="731">
      <c r="C731" s="35"/>
      <c r="D731" s="35"/>
      <c r="F731" s="33"/>
      <c r="G731" s="35"/>
      <c r="H731" s="35"/>
      <c r="I731" s="35"/>
    </row>
    <row r="732">
      <c r="C732" s="35"/>
      <c r="D732" s="35"/>
      <c r="F732" s="33"/>
      <c r="G732" s="35"/>
      <c r="H732" s="35"/>
      <c r="I732" s="35"/>
    </row>
    <row r="733">
      <c r="C733" s="35"/>
      <c r="D733" s="35"/>
      <c r="F733" s="33"/>
      <c r="G733" s="35"/>
      <c r="H733" s="35"/>
      <c r="I733" s="35"/>
    </row>
    <row r="734">
      <c r="C734" s="35"/>
      <c r="D734" s="35"/>
      <c r="F734" s="33"/>
      <c r="G734" s="35"/>
      <c r="H734" s="35"/>
      <c r="I734" s="35"/>
    </row>
    <row r="735">
      <c r="C735" s="35"/>
      <c r="D735" s="35"/>
      <c r="F735" s="33"/>
      <c r="G735" s="35"/>
      <c r="H735" s="35"/>
      <c r="I735" s="35"/>
    </row>
    <row r="736">
      <c r="C736" s="35"/>
      <c r="D736" s="35"/>
      <c r="F736" s="33"/>
      <c r="G736" s="35"/>
      <c r="H736" s="35"/>
      <c r="I736" s="35"/>
    </row>
    <row r="737">
      <c r="C737" s="35"/>
      <c r="D737" s="35"/>
      <c r="F737" s="33"/>
      <c r="G737" s="35"/>
      <c r="H737" s="35"/>
      <c r="I737" s="35"/>
    </row>
    <row r="738">
      <c r="C738" s="35"/>
      <c r="D738" s="35"/>
      <c r="F738" s="33"/>
      <c r="G738" s="35"/>
      <c r="H738" s="35"/>
      <c r="I738" s="35"/>
    </row>
    <row r="739">
      <c r="C739" s="35"/>
      <c r="D739" s="35"/>
      <c r="F739" s="33"/>
      <c r="G739" s="35"/>
      <c r="H739" s="35"/>
      <c r="I739" s="35"/>
    </row>
    <row r="740">
      <c r="C740" s="35"/>
      <c r="D740" s="35"/>
      <c r="F740" s="33"/>
      <c r="G740" s="35"/>
      <c r="H740" s="35"/>
      <c r="I740" s="35"/>
    </row>
    <row r="741">
      <c r="C741" s="35"/>
      <c r="D741" s="35"/>
      <c r="F741" s="33"/>
      <c r="G741" s="35"/>
      <c r="H741" s="35"/>
      <c r="I741" s="35"/>
    </row>
    <row r="742">
      <c r="C742" s="35"/>
      <c r="D742" s="35"/>
      <c r="F742" s="33"/>
      <c r="G742" s="35"/>
      <c r="H742" s="35"/>
      <c r="I742" s="35"/>
    </row>
    <row r="743">
      <c r="C743" s="35"/>
      <c r="D743" s="35"/>
      <c r="F743" s="33"/>
      <c r="G743" s="35"/>
      <c r="H743" s="35"/>
      <c r="I743" s="35"/>
    </row>
    <row r="744">
      <c r="C744" s="35"/>
      <c r="D744" s="35"/>
      <c r="F744" s="33"/>
      <c r="G744" s="35"/>
      <c r="H744" s="35"/>
      <c r="I744" s="35"/>
    </row>
    <row r="745">
      <c r="C745" s="35"/>
      <c r="D745" s="35"/>
      <c r="F745" s="33"/>
      <c r="G745" s="35"/>
      <c r="H745" s="35"/>
      <c r="I745" s="35"/>
    </row>
    <row r="746">
      <c r="C746" s="35"/>
      <c r="D746" s="35"/>
      <c r="F746" s="33"/>
      <c r="G746" s="35"/>
      <c r="H746" s="35"/>
      <c r="I746" s="35"/>
    </row>
    <row r="747">
      <c r="C747" s="35"/>
      <c r="D747" s="35"/>
      <c r="F747" s="33"/>
      <c r="G747" s="35"/>
      <c r="H747" s="35"/>
      <c r="I747" s="35"/>
    </row>
    <row r="748">
      <c r="C748" s="35"/>
      <c r="D748" s="35"/>
      <c r="F748" s="33"/>
      <c r="G748" s="35"/>
      <c r="H748" s="35"/>
      <c r="I748" s="35"/>
    </row>
    <row r="749">
      <c r="C749" s="35"/>
      <c r="D749" s="35"/>
      <c r="F749" s="33"/>
      <c r="G749" s="35"/>
      <c r="H749" s="35"/>
      <c r="I749" s="35"/>
    </row>
    <row r="750">
      <c r="C750" s="35"/>
      <c r="D750" s="35"/>
      <c r="F750" s="33"/>
      <c r="G750" s="35"/>
      <c r="H750" s="35"/>
      <c r="I750" s="35"/>
    </row>
    <row r="751">
      <c r="C751" s="35"/>
      <c r="D751" s="35"/>
      <c r="F751" s="33"/>
      <c r="G751" s="35"/>
      <c r="H751" s="35"/>
      <c r="I751" s="35"/>
    </row>
    <row r="752">
      <c r="C752" s="35"/>
      <c r="D752" s="35"/>
      <c r="F752" s="33"/>
      <c r="G752" s="35"/>
      <c r="H752" s="35"/>
      <c r="I752" s="35"/>
    </row>
    <row r="753">
      <c r="C753" s="35"/>
      <c r="D753" s="35"/>
      <c r="F753" s="33"/>
      <c r="G753" s="35"/>
      <c r="H753" s="35"/>
      <c r="I753" s="35"/>
    </row>
    <row r="754">
      <c r="C754" s="35"/>
      <c r="D754" s="35"/>
      <c r="F754" s="33"/>
      <c r="G754" s="35"/>
      <c r="H754" s="35"/>
      <c r="I754" s="35"/>
    </row>
    <row r="755">
      <c r="C755" s="35"/>
      <c r="D755" s="35"/>
      <c r="F755" s="33"/>
      <c r="G755" s="35"/>
      <c r="H755" s="35"/>
      <c r="I755" s="35"/>
    </row>
    <row r="756">
      <c r="C756" s="35"/>
      <c r="D756" s="35"/>
      <c r="F756" s="33"/>
      <c r="G756" s="35"/>
      <c r="H756" s="35"/>
      <c r="I756" s="35"/>
    </row>
    <row r="757">
      <c r="C757" s="35"/>
      <c r="D757" s="35"/>
      <c r="F757" s="33"/>
      <c r="G757" s="35"/>
      <c r="H757" s="35"/>
      <c r="I757" s="35"/>
    </row>
    <row r="758">
      <c r="C758" s="35"/>
      <c r="D758" s="35"/>
      <c r="F758" s="33"/>
      <c r="G758" s="35"/>
      <c r="H758" s="35"/>
      <c r="I758" s="35"/>
    </row>
    <row r="759">
      <c r="C759" s="35"/>
      <c r="D759" s="35"/>
      <c r="F759" s="33"/>
      <c r="G759" s="35"/>
      <c r="H759" s="35"/>
      <c r="I759" s="35"/>
    </row>
    <row r="760">
      <c r="C760" s="35"/>
      <c r="D760" s="35"/>
      <c r="F760" s="33"/>
      <c r="G760" s="35"/>
      <c r="H760" s="35"/>
      <c r="I760" s="35"/>
    </row>
    <row r="761">
      <c r="C761" s="35"/>
      <c r="D761" s="35"/>
      <c r="F761" s="33"/>
      <c r="G761" s="35"/>
      <c r="H761" s="35"/>
      <c r="I761" s="35"/>
    </row>
    <row r="762">
      <c r="C762" s="35"/>
      <c r="D762" s="35"/>
      <c r="F762" s="33"/>
      <c r="G762" s="35"/>
      <c r="H762" s="35"/>
      <c r="I762" s="35"/>
    </row>
    <row r="763">
      <c r="C763" s="35"/>
      <c r="D763" s="35"/>
      <c r="F763" s="33"/>
      <c r="G763" s="35"/>
      <c r="H763" s="35"/>
      <c r="I763" s="35"/>
    </row>
    <row r="764">
      <c r="C764" s="35"/>
      <c r="D764" s="35"/>
      <c r="F764" s="33"/>
      <c r="G764" s="35"/>
      <c r="H764" s="35"/>
      <c r="I764" s="35"/>
    </row>
    <row r="765">
      <c r="C765" s="35"/>
      <c r="D765" s="35"/>
      <c r="F765" s="33"/>
      <c r="G765" s="35"/>
      <c r="H765" s="35"/>
      <c r="I765" s="35"/>
    </row>
    <row r="766">
      <c r="C766" s="35"/>
      <c r="D766" s="35"/>
      <c r="F766" s="33"/>
      <c r="G766" s="35"/>
      <c r="H766" s="35"/>
      <c r="I766" s="35"/>
    </row>
    <row r="767">
      <c r="C767" s="35"/>
      <c r="D767" s="35"/>
      <c r="F767" s="33"/>
      <c r="G767" s="35"/>
      <c r="H767" s="35"/>
      <c r="I767" s="35"/>
    </row>
    <row r="768">
      <c r="C768" s="35"/>
      <c r="D768" s="35"/>
      <c r="F768" s="33"/>
      <c r="G768" s="35"/>
      <c r="H768" s="35"/>
      <c r="I768" s="35"/>
    </row>
    <row r="769">
      <c r="C769" s="35"/>
      <c r="D769" s="35"/>
      <c r="F769" s="33"/>
      <c r="G769" s="35"/>
      <c r="H769" s="35"/>
      <c r="I769" s="35"/>
    </row>
    <row r="770">
      <c r="C770" s="35"/>
      <c r="D770" s="35"/>
      <c r="F770" s="33"/>
      <c r="G770" s="35"/>
      <c r="H770" s="35"/>
      <c r="I770" s="35"/>
    </row>
    <row r="771">
      <c r="C771" s="35"/>
      <c r="D771" s="35"/>
      <c r="F771" s="33"/>
      <c r="G771" s="35"/>
      <c r="H771" s="35"/>
      <c r="I771" s="35"/>
    </row>
    <row r="772">
      <c r="C772" s="35"/>
      <c r="D772" s="35"/>
      <c r="F772" s="33"/>
      <c r="G772" s="35"/>
      <c r="H772" s="35"/>
      <c r="I772" s="35"/>
    </row>
    <row r="773">
      <c r="C773" s="35"/>
      <c r="D773" s="35"/>
      <c r="F773" s="33"/>
      <c r="G773" s="35"/>
      <c r="H773" s="35"/>
      <c r="I773" s="35"/>
    </row>
    <row r="774">
      <c r="C774" s="35"/>
      <c r="D774" s="35"/>
      <c r="F774" s="33"/>
      <c r="G774" s="35"/>
      <c r="H774" s="35"/>
      <c r="I774" s="35"/>
    </row>
    <row r="775">
      <c r="C775" s="35"/>
      <c r="D775" s="35"/>
      <c r="F775" s="33"/>
      <c r="G775" s="35"/>
      <c r="H775" s="35"/>
      <c r="I775" s="35"/>
    </row>
    <row r="776">
      <c r="C776" s="35"/>
      <c r="D776" s="35"/>
      <c r="F776" s="33"/>
      <c r="G776" s="35"/>
      <c r="H776" s="35"/>
      <c r="I776" s="35"/>
    </row>
    <row r="777">
      <c r="C777" s="35"/>
      <c r="D777" s="35"/>
      <c r="F777" s="33"/>
      <c r="G777" s="35"/>
      <c r="H777" s="35"/>
      <c r="I777" s="35"/>
    </row>
    <row r="778">
      <c r="C778" s="35"/>
      <c r="D778" s="35"/>
      <c r="F778" s="33"/>
      <c r="G778" s="35"/>
      <c r="H778" s="35"/>
      <c r="I778" s="35"/>
    </row>
    <row r="779">
      <c r="C779" s="35"/>
      <c r="D779" s="35"/>
      <c r="F779" s="33"/>
      <c r="G779" s="35"/>
      <c r="H779" s="35"/>
      <c r="I779" s="35"/>
    </row>
    <row r="780">
      <c r="C780" s="35"/>
      <c r="D780" s="35"/>
      <c r="F780" s="33"/>
      <c r="G780" s="35"/>
      <c r="H780" s="35"/>
      <c r="I780" s="35"/>
    </row>
    <row r="781">
      <c r="C781" s="35"/>
      <c r="D781" s="35"/>
      <c r="F781" s="33"/>
      <c r="G781" s="35"/>
      <c r="H781" s="35"/>
      <c r="I781" s="35"/>
    </row>
    <row r="782">
      <c r="C782" s="35"/>
      <c r="D782" s="35"/>
      <c r="F782" s="33"/>
      <c r="G782" s="35"/>
      <c r="H782" s="35"/>
      <c r="I782" s="35"/>
    </row>
    <row r="783">
      <c r="C783" s="35"/>
      <c r="D783" s="35"/>
      <c r="F783" s="33"/>
      <c r="G783" s="35"/>
      <c r="H783" s="35"/>
      <c r="I783" s="35"/>
    </row>
    <row r="784">
      <c r="C784" s="35"/>
      <c r="D784" s="35"/>
      <c r="F784" s="33"/>
      <c r="G784" s="35"/>
      <c r="H784" s="35"/>
      <c r="I784" s="35"/>
    </row>
    <row r="785">
      <c r="C785" s="35"/>
      <c r="D785" s="35"/>
      <c r="F785" s="33"/>
      <c r="G785" s="35"/>
      <c r="H785" s="35"/>
      <c r="I785" s="35"/>
    </row>
    <row r="786">
      <c r="C786" s="35"/>
      <c r="D786" s="35"/>
      <c r="F786" s="33"/>
      <c r="G786" s="35"/>
      <c r="H786" s="35"/>
      <c r="I786" s="35"/>
    </row>
    <row r="787">
      <c r="C787" s="35"/>
      <c r="D787" s="35"/>
      <c r="F787" s="33"/>
      <c r="G787" s="35"/>
      <c r="H787" s="35"/>
      <c r="I787" s="35"/>
    </row>
    <row r="788">
      <c r="C788" s="35"/>
      <c r="D788" s="35"/>
      <c r="F788" s="33"/>
      <c r="G788" s="35"/>
      <c r="H788" s="35"/>
      <c r="I788" s="35"/>
    </row>
    <row r="789">
      <c r="C789" s="35"/>
      <c r="D789" s="35"/>
      <c r="F789" s="33"/>
      <c r="G789" s="35"/>
      <c r="H789" s="35"/>
      <c r="I789" s="35"/>
    </row>
    <row r="790">
      <c r="C790" s="35"/>
      <c r="D790" s="35"/>
      <c r="F790" s="33"/>
      <c r="G790" s="35"/>
      <c r="H790" s="35"/>
      <c r="I790" s="35"/>
    </row>
    <row r="791">
      <c r="C791" s="35"/>
      <c r="D791" s="35"/>
      <c r="F791" s="33"/>
      <c r="G791" s="35"/>
      <c r="H791" s="35"/>
      <c r="I791" s="35"/>
    </row>
    <row r="792">
      <c r="C792" s="35"/>
      <c r="D792" s="35"/>
      <c r="F792" s="33"/>
      <c r="G792" s="35"/>
      <c r="H792" s="35"/>
      <c r="I792" s="35"/>
    </row>
    <row r="793">
      <c r="C793" s="35"/>
      <c r="D793" s="35"/>
      <c r="F793" s="33"/>
      <c r="G793" s="35"/>
      <c r="H793" s="35"/>
      <c r="I793" s="35"/>
    </row>
    <row r="794">
      <c r="C794" s="35"/>
      <c r="D794" s="35"/>
      <c r="F794" s="33"/>
      <c r="G794" s="35"/>
      <c r="H794" s="35"/>
      <c r="I794" s="35"/>
    </row>
    <row r="795">
      <c r="C795" s="35"/>
      <c r="D795" s="35"/>
      <c r="F795" s="33"/>
      <c r="G795" s="35"/>
      <c r="H795" s="35"/>
      <c r="I795" s="35"/>
    </row>
    <row r="796">
      <c r="C796" s="35"/>
      <c r="D796" s="35"/>
      <c r="F796" s="33"/>
      <c r="G796" s="35"/>
      <c r="H796" s="35"/>
      <c r="I796" s="35"/>
    </row>
    <row r="797">
      <c r="C797" s="35"/>
      <c r="D797" s="35"/>
      <c r="F797" s="33"/>
      <c r="G797" s="35"/>
      <c r="H797" s="35"/>
      <c r="I797" s="35"/>
    </row>
    <row r="798">
      <c r="C798" s="35"/>
      <c r="D798" s="35"/>
      <c r="F798" s="33"/>
      <c r="G798" s="35"/>
      <c r="H798" s="35"/>
      <c r="I798" s="35"/>
    </row>
    <row r="799">
      <c r="C799" s="35"/>
      <c r="D799" s="35"/>
      <c r="F799" s="33"/>
      <c r="G799" s="35"/>
      <c r="H799" s="35"/>
      <c r="I799" s="35"/>
    </row>
    <row r="800">
      <c r="C800" s="35"/>
      <c r="D800" s="35"/>
      <c r="F800" s="33"/>
      <c r="G800" s="35"/>
      <c r="H800" s="35"/>
      <c r="I800" s="35"/>
    </row>
    <row r="801">
      <c r="C801" s="35"/>
      <c r="D801" s="35"/>
      <c r="F801" s="33"/>
      <c r="G801" s="35"/>
      <c r="H801" s="35"/>
      <c r="I801" s="35"/>
    </row>
    <row r="802">
      <c r="C802" s="35"/>
      <c r="D802" s="35"/>
      <c r="F802" s="33"/>
      <c r="G802" s="35"/>
      <c r="H802" s="35"/>
      <c r="I802" s="35"/>
    </row>
    <row r="803">
      <c r="C803" s="35"/>
      <c r="D803" s="35"/>
      <c r="F803" s="33"/>
      <c r="G803" s="35"/>
      <c r="H803" s="35"/>
      <c r="I803" s="35"/>
    </row>
    <row r="804">
      <c r="C804" s="35"/>
      <c r="D804" s="35"/>
      <c r="F804" s="33"/>
      <c r="G804" s="35"/>
      <c r="H804" s="35"/>
      <c r="I804" s="35"/>
    </row>
    <row r="805">
      <c r="C805" s="35"/>
      <c r="D805" s="35"/>
      <c r="F805" s="33"/>
      <c r="G805" s="35"/>
      <c r="H805" s="35"/>
      <c r="I805" s="35"/>
    </row>
    <row r="806">
      <c r="C806" s="35"/>
      <c r="D806" s="35"/>
      <c r="F806" s="33"/>
      <c r="G806" s="35"/>
      <c r="H806" s="35"/>
      <c r="I806" s="35"/>
    </row>
    <row r="807">
      <c r="C807" s="35"/>
      <c r="D807" s="35"/>
      <c r="F807" s="33"/>
      <c r="G807" s="35"/>
      <c r="H807" s="35"/>
      <c r="I807" s="35"/>
    </row>
    <row r="808">
      <c r="C808" s="35"/>
      <c r="D808" s="35"/>
      <c r="F808" s="33"/>
      <c r="G808" s="35"/>
      <c r="H808" s="35"/>
      <c r="I808" s="35"/>
    </row>
    <row r="809">
      <c r="C809" s="35"/>
      <c r="D809" s="35"/>
      <c r="F809" s="33"/>
      <c r="G809" s="35"/>
      <c r="H809" s="35"/>
      <c r="I809" s="35"/>
    </row>
    <row r="810">
      <c r="C810" s="35"/>
      <c r="D810" s="35"/>
      <c r="F810" s="33"/>
      <c r="G810" s="35"/>
      <c r="H810" s="35"/>
      <c r="I810" s="35"/>
    </row>
    <row r="811">
      <c r="C811" s="35"/>
      <c r="D811" s="35"/>
      <c r="F811" s="33"/>
      <c r="G811" s="35"/>
      <c r="H811" s="35"/>
      <c r="I811" s="35"/>
    </row>
    <row r="812">
      <c r="C812" s="35"/>
      <c r="D812" s="35"/>
      <c r="F812" s="33"/>
      <c r="G812" s="35"/>
      <c r="H812" s="35"/>
      <c r="I812" s="35"/>
    </row>
    <row r="813">
      <c r="C813" s="35"/>
      <c r="D813" s="35"/>
      <c r="F813" s="33"/>
      <c r="G813" s="35"/>
      <c r="H813" s="35"/>
      <c r="I813" s="35"/>
    </row>
    <row r="814">
      <c r="C814" s="35"/>
      <c r="D814" s="35"/>
      <c r="F814" s="33"/>
      <c r="G814" s="35"/>
      <c r="H814" s="35"/>
      <c r="I814" s="35"/>
    </row>
    <row r="815">
      <c r="C815" s="35"/>
      <c r="D815" s="35"/>
      <c r="F815" s="33"/>
      <c r="G815" s="35"/>
      <c r="H815" s="35"/>
      <c r="I815" s="35"/>
    </row>
    <row r="816">
      <c r="C816" s="35"/>
      <c r="D816" s="35"/>
      <c r="F816" s="33"/>
      <c r="G816" s="35"/>
      <c r="H816" s="35"/>
      <c r="I816" s="35"/>
    </row>
    <row r="817">
      <c r="C817" s="35"/>
      <c r="D817" s="35"/>
      <c r="F817" s="33"/>
      <c r="G817" s="35"/>
      <c r="H817" s="35"/>
      <c r="I817" s="35"/>
    </row>
    <row r="818">
      <c r="C818" s="35"/>
      <c r="D818" s="35"/>
      <c r="F818" s="33"/>
      <c r="G818" s="35"/>
      <c r="H818" s="35"/>
      <c r="I818" s="35"/>
    </row>
    <row r="819">
      <c r="C819" s="35"/>
      <c r="D819" s="35"/>
      <c r="F819" s="33"/>
      <c r="G819" s="35"/>
      <c r="H819" s="35"/>
      <c r="I819" s="35"/>
    </row>
    <row r="820">
      <c r="C820" s="35"/>
      <c r="D820" s="35"/>
      <c r="F820" s="33"/>
      <c r="G820" s="35"/>
      <c r="H820" s="35"/>
      <c r="I820" s="35"/>
    </row>
    <row r="821">
      <c r="C821" s="35"/>
      <c r="D821" s="35"/>
      <c r="F821" s="33"/>
      <c r="G821" s="35"/>
      <c r="H821" s="35"/>
      <c r="I821" s="35"/>
    </row>
    <row r="822">
      <c r="C822" s="35"/>
      <c r="D822" s="35"/>
      <c r="F822" s="33"/>
      <c r="G822" s="35"/>
      <c r="H822" s="35"/>
      <c r="I822" s="35"/>
    </row>
    <row r="823">
      <c r="C823" s="35"/>
      <c r="D823" s="35"/>
      <c r="F823" s="33"/>
      <c r="G823" s="35"/>
      <c r="H823" s="35"/>
      <c r="I823" s="35"/>
    </row>
    <row r="824">
      <c r="C824" s="35"/>
      <c r="D824" s="35"/>
      <c r="F824" s="33"/>
      <c r="G824" s="35"/>
      <c r="H824" s="35"/>
      <c r="I824" s="35"/>
    </row>
    <row r="825">
      <c r="C825" s="35"/>
      <c r="D825" s="35"/>
      <c r="F825" s="33"/>
      <c r="G825" s="35"/>
      <c r="H825" s="35"/>
      <c r="I825" s="35"/>
    </row>
    <row r="826">
      <c r="C826" s="35"/>
      <c r="D826" s="35"/>
      <c r="F826" s="33"/>
      <c r="G826" s="35"/>
      <c r="H826" s="35"/>
      <c r="I826" s="35"/>
    </row>
    <row r="827">
      <c r="C827" s="35"/>
      <c r="D827" s="35"/>
      <c r="F827" s="33"/>
      <c r="G827" s="35"/>
      <c r="H827" s="35"/>
      <c r="I827" s="35"/>
    </row>
    <row r="828">
      <c r="C828" s="35"/>
      <c r="D828" s="35"/>
      <c r="F828" s="33"/>
      <c r="G828" s="35"/>
      <c r="H828" s="35"/>
      <c r="I828" s="35"/>
    </row>
    <row r="829">
      <c r="C829" s="35"/>
      <c r="D829" s="35"/>
      <c r="F829" s="33"/>
      <c r="G829" s="35"/>
      <c r="H829" s="35"/>
      <c r="I829" s="35"/>
    </row>
    <row r="830">
      <c r="C830" s="35"/>
      <c r="D830" s="35"/>
      <c r="F830" s="33"/>
      <c r="G830" s="35"/>
      <c r="H830" s="35"/>
      <c r="I830" s="35"/>
    </row>
    <row r="831">
      <c r="C831" s="35"/>
      <c r="D831" s="35"/>
      <c r="F831" s="33"/>
      <c r="G831" s="35"/>
      <c r="H831" s="35"/>
      <c r="I831" s="35"/>
    </row>
    <row r="832">
      <c r="C832" s="35"/>
      <c r="D832" s="35"/>
      <c r="F832" s="33"/>
      <c r="G832" s="35"/>
      <c r="H832" s="35"/>
      <c r="I832" s="35"/>
    </row>
    <row r="833">
      <c r="C833" s="35"/>
      <c r="D833" s="35"/>
      <c r="F833" s="33"/>
      <c r="G833" s="35"/>
      <c r="H833" s="35"/>
      <c r="I833" s="35"/>
    </row>
    <row r="834">
      <c r="C834" s="35"/>
      <c r="D834" s="35"/>
      <c r="F834" s="33"/>
      <c r="G834" s="35"/>
      <c r="H834" s="35"/>
      <c r="I834" s="35"/>
    </row>
    <row r="835">
      <c r="C835" s="35"/>
      <c r="D835" s="35"/>
      <c r="F835" s="33"/>
      <c r="G835" s="35"/>
      <c r="H835" s="35"/>
      <c r="I835" s="35"/>
    </row>
    <row r="836">
      <c r="C836" s="35"/>
      <c r="D836" s="35"/>
      <c r="F836" s="33"/>
      <c r="G836" s="35"/>
      <c r="H836" s="35"/>
      <c r="I836" s="35"/>
    </row>
    <row r="837">
      <c r="C837" s="35"/>
      <c r="D837" s="35"/>
      <c r="F837" s="33"/>
      <c r="G837" s="35"/>
      <c r="H837" s="35"/>
      <c r="I837" s="35"/>
    </row>
    <row r="838">
      <c r="C838" s="35"/>
      <c r="D838" s="35"/>
      <c r="F838" s="33"/>
      <c r="G838" s="35"/>
      <c r="H838" s="35"/>
      <c r="I838" s="35"/>
    </row>
    <row r="839">
      <c r="C839" s="35"/>
      <c r="D839" s="35"/>
      <c r="F839" s="33"/>
      <c r="G839" s="35"/>
      <c r="H839" s="35"/>
      <c r="I839" s="35"/>
    </row>
    <row r="840">
      <c r="C840" s="35"/>
      <c r="D840" s="35"/>
      <c r="F840" s="33"/>
      <c r="G840" s="35"/>
      <c r="H840" s="35"/>
      <c r="I840" s="35"/>
    </row>
    <row r="841">
      <c r="C841" s="35"/>
      <c r="D841" s="35"/>
      <c r="F841" s="33"/>
      <c r="G841" s="35"/>
      <c r="H841" s="35"/>
      <c r="I841" s="35"/>
    </row>
    <row r="842">
      <c r="C842" s="35"/>
      <c r="D842" s="35"/>
      <c r="F842" s="33"/>
      <c r="G842" s="35"/>
      <c r="H842" s="35"/>
      <c r="I842" s="35"/>
    </row>
    <row r="843">
      <c r="C843" s="35"/>
      <c r="D843" s="35"/>
      <c r="F843" s="33"/>
      <c r="G843" s="35"/>
      <c r="H843" s="35"/>
      <c r="I843" s="35"/>
    </row>
    <row r="844">
      <c r="C844" s="35"/>
      <c r="D844" s="35"/>
      <c r="F844" s="33"/>
      <c r="G844" s="35"/>
      <c r="H844" s="35"/>
      <c r="I844" s="35"/>
    </row>
    <row r="845">
      <c r="C845" s="35"/>
      <c r="D845" s="35"/>
      <c r="F845" s="33"/>
      <c r="G845" s="35"/>
      <c r="H845" s="35"/>
      <c r="I845" s="35"/>
    </row>
    <row r="846">
      <c r="C846" s="35"/>
      <c r="D846" s="35"/>
      <c r="F846" s="33"/>
      <c r="G846" s="35"/>
      <c r="H846" s="35"/>
      <c r="I846" s="35"/>
    </row>
    <row r="847">
      <c r="C847" s="35"/>
      <c r="D847" s="35"/>
      <c r="F847" s="33"/>
      <c r="G847" s="35"/>
      <c r="H847" s="35"/>
      <c r="I847" s="35"/>
    </row>
    <row r="848">
      <c r="C848" s="35"/>
      <c r="D848" s="35"/>
      <c r="F848" s="33"/>
      <c r="G848" s="35"/>
      <c r="H848" s="35"/>
      <c r="I848" s="35"/>
    </row>
    <row r="849">
      <c r="C849" s="35"/>
      <c r="D849" s="35"/>
      <c r="F849" s="33"/>
      <c r="G849" s="35"/>
      <c r="H849" s="35"/>
      <c r="I849" s="35"/>
    </row>
    <row r="850">
      <c r="C850" s="35"/>
      <c r="D850" s="35"/>
      <c r="F850" s="33"/>
      <c r="G850" s="35"/>
      <c r="H850" s="35"/>
      <c r="I850" s="35"/>
    </row>
    <row r="851">
      <c r="C851" s="35"/>
      <c r="D851" s="35"/>
      <c r="F851" s="33"/>
      <c r="G851" s="35"/>
      <c r="H851" s="35"/>
      <c r="I851" s="35"/>
    </row>
    <row r="852">
      <c r="C852" s="35"/>
      <c r="D852" s="35"/>
      <c r="F852" s="33"/>
      <c r="G852" s="35"/>
      <c r="H852" s="35"/>
      <c r="I852" s="35"/>
    </row>
    <row r="853">
      <c r="C853" s="35"/>
      <c r="D853" s="35"/>
      <c r="F853" s="33"/>
      <c r="G853" s="35"/>
      <c r="H853" s="35"/>
      <c r="I853" s="35"/>
    </row>
    <row r="854">
      <c r="C854" s="35"/>
      <c r="D854" s="35"/>
      <c r="F854" s="33"/>
      <c r="G854" s="35"/>
      <c r="H854" s="35"/>
      <c r="I854" s="35"/>
    </row>
    <row r="855">
      <c r="C855" s="35"/>
      <c r="D855" s="35"/>
      <c r="F855" s="33"/>
      <c r="G855" s="35"/>
      <c r="H855" s="35"/>
      <c r="I855" s="35"/>
    </row>
    <row r="856">
      <c r="C856" s="35"/>
      <c r="D856" s="35"/>
      <c r="F856" s="33"/>
      <c r="G856" s="35"/>
      <c r="H856" s="35"/>
      <c r="I856" s="35"/>
    </row>
    <row r="857">
      <c r="C857" s="35"/>
      <c r="D857" s="35"/>
      <c r="F857" s="33"/>
      <c r="G857" s="35"/>
      <c r="H857" s="35"/>
      <c r="I857" s="35"/>
    </row>
    <row r="858">
      <c r="C858" s="35"/>
      <c r="D858" s="35"/>
      <c r="F858" s="33"/>
      <c r="G858" s="35"/>
      <c r="H858" s="35"/>
      <c r="I858" s="35"/>
    </row>
    <row r="859">
      <c r="C859" s="35"/>
      <c r="D859" s="35"/>
      <c r="F859" s="33"/>
      <c r="G859" s="35"/>
      <c r="H859" s="35"/>
      <c r="I859" s="35"/>
    </row>
    <row r="860">
      <c r="C860" s="35"/>
      <c r="D860" s="35"/>
      <c r="F860" s="33"/>
      <c r="G860" s="35"/>
      <c r="H860" s="35"/>
      <c r="I860" s="35"/>
    </row>
    <row r="861">
      <c r="C861" s="35"/>
      <c r="D861" s="35"/>
      <c r="F861" s="33"/>
      <c r="G861" s="35"/>
      <c r="H861" s="35"/>
      <c r="I861" s="35"/>
    </row>
    <row r="862">
      <c r="C862" s="35"/>
      <c r="D862" s="35"/>
      <c r="F862" s="33"/>
      <c r="G862" s="35"/>
      <c r="H862" s="35"/>
      <c r="I862" s="35"/>
    </row>
    <row r="863">
      <c r="C863" s="35"/>
      <c r="D863" s="35"/>
      <c r="F863" s="33"/>
      <c r="G863" s="35"/>
      <c r="H863" s="35"/>
      <c r="I863" s="35"/>
    </row>
    <row r="864">
      <c r="C864" s="35"/>
      <c r="D864" s="35"/>
      <c r="F864" s="33"/>
      <c r="G864" s="35"/>
      <c r="H864" s="35"/>
      <c r="I864" s="35"/>
    </row>
    <row r="865">
      <c r="C865" s="35"/>
      <c r="D865" s="35"/>
      <c r="F865" s="33"/>
      <c r="G865" s="35"/>
      <c r="H865" s="35"/>
      <c r="I865" s="35"/>
    </row>
    <row r="866">
      <c r="C866" s="35"/>
      <c r="D866" s="35"/>
      <c r="F866" s="33"/>
      <c r="G866" s="35"/>
      <c r="H866" s="35"/>
      <c r="I866" s="35"/>
    </row>
    <row r="867">
      <c r="C867" s="35"/>
      <c r="D867" s="35"/>
      <c r="F867" s="33"/>
      <c r="G867" s="35"/>
      <c r="H867" s="35"/>
      <c r="I867" s="35"/>
    </row>
    <row r="868">
      <c r="C868" s="35"/>
      <c r="D868" s="35"/>
      <c r="F868" s="33"/>
      <c r="G868" s="35"/>
      <c r="H868" s="35"/>
      <c r="I868" s="35"/>
    </row>
    <row r="869">
      <c r="C869" s="35"/>
      <c r="D869" s="35"/>
      <c r="F869" s="33"/>
      <c r="G869" s="35"/>
      <c r="H869" s="35"/>
      <c r="I869" s="35"/>
    </row>
    <row r="870">
      <c r="C870" s="35"/>
      <c r="D870" s="35"/>
      <c r="F870" s="33"/>
      <c r="G870" s="35"/>
      <c r="H870" s="35"/>
      <c r="I870" s="35"/>
    </row>
    <row r="871">
      <c r="C871" s="35"/>
      <c r="D871" s="35"/>
      <c r="F871" s="33"/>
      <c r="G871" s="35"/>
      <c r="H871" s="35"/>
      <c r="I871" s="35"/>
    </row>
    <row r="872">
      <c r="C872" s="35"/>
      <c r="D872" s="35"/>
      <c r="F872" s="33"/>
      <c r="G872" s="35"/>
      <c r="H872" s="35"/>
      <c r="I872" s="35"/>
    </row>
    <row r="873">
      <c r="C873" s="35"/>
      <c r="D873" s="35"/>
      <c r="F873" s="33"/>
      <c r="G873" s="35"/>
      <c r="H873" s="35"/>
      <c r="I873" s="35"/>
    </row>
    <row r="874">
      <c r="C874" s="35"/>
      <c r="D874" s="35"/>
      <c r="F874" s="33"/>
      <c r="G874" s="35"/>
      <c r="H874" s="35"/>
      <c r="I874" s="35"/>
    </row>
    <row r="875">
      <c r="C875" s="35"/>
      <c r="D875" s="35"/>
      <c r="F875" s="33"/>
      <c r="G875" s="35"/>
      <c r="H875" s="35"/>
      <c r="I875" s="35"/>
    </row>
    <row r="876">
      <c r="C876" s="35"/>
      <c r="D876" s="35"/>
      <c r="F876" s="33"/>
      <c r="G876" s="35"/>
      <c r="H876" s="35"/>
      <c r="I876" s="35"/>
    </row>
    <row r="877">
      <c r="C877" s="35"/>
      <c r="D877" s="35"/>
      <c r="F877" s="33"/>
      <c r="G877" s="35"/>
      <c r="H877" s="35"/>
      <c r="I877" s="35"/>
    </row>
    <row r="878">
      <c r="C878" s="35"/>
      <c r="D878" s="35"/>
      <c r="F878" s="33"/>
      <c r="G878" s="35"/>
      <c r="H878" s="35"/>
      <c r="I878" s="35"/>
    </row>
    <row r="879">
      <c r="C879" s="35"/>
      <c r="D879" s="35"/>
      <c r="F879" s="33"/>
      <c r="G879" s="35"/>
      <c r="H879" s="35"/>
      <c r="I879" s="35"/>
    </row>
    <row r="880">
      <c r="C880" s="35"/>
      <c r="D880" s="35"/>
      <c r="F880" s="33"/>
      <c r="G880" s="35"/>
      <c r="H880" s="35"/>
      <c r="I880" s="35"/>
    </row>
    <row r="881">
      <c r="C881" s="35"/>
      <c r="D881" s="35"/>
      <c r="F881" s="33"/>
      <c r="G881" s="35"/>
      <c r="H881" s="35"/>
      <c r="I881" s="35"/>
    </row>
    <row r="882">
      <c r="C882" s="35"/>
      <c r="D882" s="35"/>
      <c r="F882" s="33"/>
      <c r="G882" s="35"/>
      <c r="H882" s="35"/>
      <c r="I882" s="35"/>
    </row>
    <row r="883">
      <c r="C883" s="35"/>
      <c r="D883" s="35"/>
      <c r="F883" s="33"/>
      <c r="G883" s="35"/>
      <c r="H883" s="35"/>
      <c r="I883" s="35"/>
    </row>
    <row r="884">
      <c r="C884" s="35"/>
      <c r="D884" s="35"/>
      <c r="F884" s="33"/>
      <c r="G884" s="35"/>
      <c r="H884" s="35"/>
      <c r="I884" s="35"/>
    </row>
    <row r="885">
      <c r="C885" s="35"/>
      <c r="D885" s="35"/>
      <c r="F885" s="33"/>
      <c r="G885" s="35"/>
      <c r="H885" s="35"/>
      <c r="I885" s="35"/>
    </row>
    <row r="886">
      <c r="C886" s="35"/>
      <c r="D886" s="35"/>
      <c r="F886" s="33"/>
      <c r="G886" s="35"/>
      <c r="H886" s="35"/>
      <c r="I886" s="35"/>
    </row>
    <row r="887">
      <c r="C887" s="35"/>
      <c r="D887" s="35"/>
      <c r="F887" s="33"/>
      <c r="G887" s="35"/>
      <c r="H887" s="35"/>
      <c r="I887" s="35"/>
    </row>
    <row r="888">
      <c r="C888" s="35"/>
      <c r="D888" s="35"/>
      <c r="F888" s="33"/>
      <c r="G888" s="35"/>
      <c r="H888" s="35"/>
      <c r="I888" s="35"/>
    </row>
    <row r="889">
      <c r="C889" s="35"/>
      <c r="D889" s="35"/>
      <c r="F889" s="33"/>
      <c r="G889" s="35"/>
      <c r="H889" s="35"/>
      <c r="I889" s="35"/>
    </row>
    <row r="890">
      <c r="C890" s="35"/>
      <c r="D890" s="35"/>
      <c r="F890" s="33"/>
      <c r="G890" s="35"/>
      <c r="H890" s="35"/>
      <c r="I890" s="35"/>
    </row>
    <row r="891">
      <c r="C891" s="35"/>
      <c r="D891" s="35"/>
      <c r="F891" s="33"/>
      <c r="G891" s="35"/>
      <c r="H891" s="35"/>
      <c r="I891" s="35"/>
    </row>
    <row r="892">
      <c r="C892" s="35"/>
      <c r="D892" s="35"/>
      <c r="F892" s="33"/>
      <c r="G892" s="35"/>
      <c r="H892" s="35"/>
      <c r="I892" s="35"/>
    </row>
    <row r="893">
      <c r="C893" s="35"/>
      <c r="D893" s="35"/>
      <c r="F893" s="33"/>
      <c r="G893" s="35"/>
      <c r="H893" s="35"/>
      <c r="I893" s="35"/>
    </row>
    <row r="894">
      <c r="C894" s="35"/>
      <c r="D894" s="35"/>
      <c r="F894" s="33"/>
      <c r="G894" s="35"/>
      <c r="H894" s="35"/>
      <c r="I894" s="35"/>
    </row>
    <row r="895">
      <c r="C895" s="35"/>
      <c r="D895" s="35"/>
      <c r="F895" s="33"/>
      <c r="G895" s="35"/>
      <c r="H895" s="35"/>
      <c r="I895" s="35"/>
    </row>
    <row r="896">
      <c r="C896" s="35"/>
      <c r="D896" s="35"/>
      <c r="F896" s="33"/>
      <c r="G896" s="35"/>
      <c r="H896" s="35"/>
      <c r="I896" s="35"/>
    </row>
    <row r="897">
      <c r="C897" s="35"/>
      <c r="D897" s="35"/>
      <c r="F897" s="33"/>
      <c r="G897" s="35"/>
      <c r="H897" s="35"/>
      <c r="I897" s="35"/>
    </row>
    <row r="898">
      <c r="C898" s="35"/>
      <c r="D898" s="35"/>
      <c r="F898" s="33"/>
      <c r="G898" s="35"/>
      <c r="H898" s="35"/>
      <c r="I898" s="35"/>
    </row>
    <row r="899">
      <c r="C899" s="35"/>
      <c r="D899" s="35"/>
      <c r="F899" s="33"/>
      <c r="G899" s="35"/>
      <c r="H899" s="35"/>
      <c r="I899" s="35"/>
    </row>
    <row r="900">
      <c r="C900" s="35"/>
      <c r="D900" s="35"/>
      <c r="F900" s="33"/>
      <c r="G900" s="35"/>
      <c r="H900" s="35"/>
      <c r="I900" s="35"/>
    </row>
    <row r="901">
      <c r="C901" s="35"/>
      <c r="D901" s="35"/>
      <c r="F901" s="33"/>
      <c r="G901" s="35"/>
      <c r="H901" s="35"/>
      <c r="I901" s="35"/>
    </row>
    <row r="902">
      <c r="C902" s="35"/>
      <c r="D902" s="35"/>
      <c r="F902" s="33"/>
      <c r="G902" s="35"/>
      <c r="H902" s="35"/>
      <c r="I902" s="35"/>
    </row>
    <row r="903">
      <c r="C903" s="35"/>
      <c r="D903" s="35"/>
      <c r="F903" s="33"/>
      <c r="G903" s="35"/>
      <c r="H903" s="35"/>
      <c r="I903" s="35"/>
    </row>
    <row r="904">
      <c r="C904" s="35"/>
      <c r="D904" s="35"/>
      <c r="F904" s="33"/>
      <c r="G904" s="35"/>
      <c r="H904" s="35"/>
      <c r="I904" s="35"/>
    </row>
    <row r="905">
      <c r="C905" s="35"/>
      <c r="D905" s="35"/>
      <c r="F905" s="33"/>
      <c r="G905" s="35"/>
      <c r="H905" s="35"/>
      <c r="I905" s="35"/>
    </row>
    <row r="906">
      <c r="C906" s="35"/>
      <c r="D906" s="35"/>
      <c r="F906" s="33"/>
      <c r="G906" s="35"/>
      <c r="H906" s="35"/>
      <c r="I906" s="35"/>
    </row>
    <row r="907">
      <c r="C907" s="35"/>
      <c r="D907" s="35"/>
      <c r="F907" s="33"/>
      <c r="G907" s="35"/>
      <c r="H907" s="35"/>
      <c r="I907" s="35"/>
    </row>
    <row r="908">
      <c r="C908" s="35"/>
      <c r="D908" s="35"/>
      <c r="F908" s="33"/>
      <c r="G908" s="35"/>
      <c r="H908" s="35"/>
      <c r="I908" s="35"/>
    </row>
    <row r="909">
      <c r="C909" s="35"/>
      <c r="D909" s="35"/>
      <c r="F909" s="33"/>
      <c r="G909" s="35"/>
      <c r="H909" s="35"/>
      <c r="I909" s="35"/>
    </row>
    <row r="910">
      <c r="C910" s="35"/>
      <c r="D910" s="35"/>
      <c r="F910" s="33"/>
      <c r="G910" s="35"/>
      <c r="H910" s="35"/>
      <c r="I910" s="35"/>
    </row>
    <row r="911">
      <c r="C911" s="35"/>
      <c r="D911" s="35"/>
      <c r="F911" s="33"/>
      <c r="G911" s="35"/>
      <c r="H911" s="35"/>
      <c r="I911" s="35"/>
    </row>
    <row r="912">
      <c r="C912" s="35"/>
      <c r="D912" s="35"/>
      <c r="F912" s="33"/>
      <c r="G912" s="35"/>
      <c r="H912" s="35"/>
      <c r="I912" s="35"/>
    </row>
    <row r="913">
      <c r="C913" s="35"/>
      <c r="D913" s="35"/>
      <c r="F913" s="33"/>
      <c r="G913" s="35"/>
      <c r="H913" s="35"/>
      <c r="I913" s="35"/>
    </row>
    <row r="914">
      <c r="C914" s="35"/>
      <c r="D914" s="35"/>
      <c r="F914" s="33"/>
      <c r="G914" s="35"/>
      <c r="H914" s="35"/>
      <c r="I914" s="35"/>
    </row>
    <row r="915">
      <c r="C915" s="35"/>
      <c r="D915" s="35"/>
      <c r="F915" s="33"/>
      <c r="G915" s="35"/>
      <c r="H915" s="35"/>
      <c r="I915" s="35"/>
    </row>
    <row r="916">
      <c r="C916" s="35"/>
      <c r="D916" s="35"/>
      <c r="F916" s="33"/>
      <c r="G916" s="35"/>
      <c r="H916" s="35"/>
      <c r="I916" s="35"/>
    </row>
    <row r="917">
      <c r="C917" s="35"/>
      <c r="D917" s="35"/>
      <c r="F917" s="33"/>
      <c r="G917" s="35"/>
      <c r="H917" s="35"/>
      <c r="I917" s="35"/>
    </row>
    <row r="918">
      <c r="C918" s="35"/>
      <c r="D918" s="35"/>
      <c r="F918" s="33"/>
      <c r="G918" s="35"/>
      <c r="H918" s="35"/>
      <c r="I918" s="35"/>
    </row>
    <row r="919">
      <c r="C919" s="35"/>
      <c r="D919" s="35"/>
      <c r="F919" s="33"/>
      <c r="G919" s="35"/>
      <c r="H919" s="35"/>
      <c r="I919" s="35"/>
    </row>
    <row r="920">
      <c r="C920" s="35"/>
      <c r="D920" s="35"/>
      <c r="F920" s="33"/>
      <c r="G920" s="35"/>
      <c r="H920" s="35"/>
      <c r="I920" s="35"/>
    </row>
    <row r="921">
      <c r="C921" s="35"/>
      <c r="D921" s="35"/>
      <c r="F921" s="33"/>
      <c r="G921" s="35"/>
      <c r="H921" s="35"/>
      <c r="I921" s="35"/>
    </row>
    <row r="922">
      <c r="C922" s="35"/>
      <c r="D922" s="35"/>
      <c r="F922" s="33"/>
      <c r="G922" s="35"/>
      <c r="H922" s="35"/>
      <c r="I922" s="35"/>
    </row>
    <row r="923">
      <c r="C923" s="35"/>
      <c r="D923" s="35"/>
      <c r="F923" s="33"/>
      <c r="G923" s="35"/>
      <c r="H923" s="35"/>
      <c r="I923" s="35"/>
    </row>
    <row r="924">
      <c r="C924" s="35"/>
      <c r="D924" s="35"/>
      <c r="F924" s="33"/>
      <c r="G924" s="35"/>
      <c r="H924" s="35"/>
      <c r="I924" s="35"/>
    </row>
    <row r="925">
      <c r="C925" s="35"/>
      <c r="D925" s="35"/>
      <c r="F925" s="33"/>
      <c r="G925" s="35"/>
      <c r="H925" s="35"/>
      <c r="I925" s="35"/>
    </row>
    <row r="926">
      <c r="C926" s="35"/>
      <c r="D926" s="35"/>
      <c r="F926" s="33"/>
      <c r="G926" s="35"/>
      <c r="H926" s="35"/>
      <c r="I926" s="35"/>
    </row>
    <row r="927">
      <c r="C927" s="35"/>
      <c r="D927" s="35"/>
      <c r="F927" s="33"/>
      <c r="G927" s="35"/>
      <c r="H927" s="35"/>
      <c r="I927" s="35"/>
    </row>
    <row r="928">
      <c r="C928" s="35"/>
      <c r="D928" s="35"/>
      <c r="F928" s="33"/>
      <c r="G928" s="35"/>
      <c r="H928" s="35"/>
      <c r="I928" s="35"/>
    </row>
    <row r="929">
      <c r="C929" s="35"/>
      <c r="D929" s="35"/>
      <c r="F929" s="33"/>
      <c r="G929" s="35"/>
      <c r="H929" s="35"/>
      <c r="I929" s="35"/>
    </row>
    <row r="930">
      <c r="C930" s="35"/>
      <c r="D930" s="35"/>
      <c r="F930" s="33"/>
      <c r="G930" s="35"/>
      <c r="H930" s="35"/>
      <c r="I930" s="35"/>
    </row>
    <row r="931">
      <c r="C931" s="35"/>
      <c r="D931" s="35"/>
      <c r="F931" s="33"/>
      <c r="G931" s="35"/>
      <c r="H931" s="35"/>
      <c r="I931" s="35"/>
    </row>
    <row r="932">
      <c r="C932" s="35"/>
      <c r="D932" s="35"/>
      <c r="F932" s="33"/>
      <c r="G932" s="35"/>
      <c r="H932" s="35"/>
      <c r="I932" s="35"/>
    </row>
    <row r="933">
      <c r="C933" s="35"/>
      <c r="D933" s="35"/>
      <c r="F933" s="33"/>
      <c r="G933" s="35"/>
      <c r="H933" s="35"/>
      <c r="I933" s="35"/>
    </row>
    <row r="934">
      <c r="C934" s="35"/>
      <c r="D934" s="35"/>
      <c r="F934" s="33"/>
      <c r="G934" s="35"/>
      <c r="H934" s="35"/>
      <c r="I934" s="35"/>
    </row>
    <row r="935">
      <c r="C935" s="35"/>
      <c r="D935" s="35"/>
      <c r="F935" s="33"/>
      <c r="G935" s="35"/>
      <c r="H935" s="35"/>
      <c r="I935" s="35"/>
    </row>
    <row r="936">
      <c r="C936" s="35"/>
      <c r="D936" s="35"/>
      <c r="F936" s="33"/>
      <c r="G936" s="35"/>
      <c r="H936" s="35"/>
      <c r="I936" s="35"/>
    </row>
    <row r="937">
      <c r="C937" s="35"/>
      <c r="D937" s="35"/>
      <c r="F937" s="33"/>
      <c r="G937" s="35"/>
      <c r="H937" s="35"/>
      <c r="I937" s="35"/>
    </row>
    <row r="938">
      <c r="C938" s="35"/>
      <c r="D938" s="35"/>
      <c r="F938" s="33"/>
      <c r="G938" s="35"/>
      <c r="H938" s="35"/>
      <c r="I938" s="35"/>
    </row>
    <row r="939">
      <c r="C939" s="35"/>
      <c r="D939" s="35"/>
      <c r="F939" s="33"/>
      <c r="G939" s="35"/>
      <c r="H939" s="35"/>
      <c r="I939" s="35"/>
    </row>
    <row r="940">
      <c r="C940" s="35"/>
      <c r="D940" s="35"/>
      <c r="F940" s="33"/>
      <c r="G940" s="35"/>
      <c r="H940" s="35"/>
      <c r="I940" s="35"/>
    </row>
    <row r="941">
      <c r="C941" s="35"/>
      <c r="D941" s="35"/>
      <c r="F941" s="33"/>
      <c r="G941" s="35"/>
      <c r="H941" s="35"/>
      <c r="I941" s="35"/>
    </row>
    <row r="942">
      <c r="C942" s="35"/>
      <c r="D942" s="35"/>
      <c r="F942" s="33"/>
      <c r="G942" s="35"/>
      <c r="H942" s="35"/>
      <c r="I942" s="35"/>
    </row>
    <row r="943">
      <c r="C943" s="35"/>
      <c r="D943" s="35"/>
      <c r="F943" s="33"/>
      <c r="G943" s="35"/>
      <c r="H943" s="35"/>
      <c r="I943" s="35"/>
    </row>
    <row r="944">
      <c r="C944" s="35"/>
      <c r="D944" s="35"/>
      <c r="F944" s="33"/>
      <c r="G944" s="35"/>
      <c r="H944" s="35"/>
      <c r="I944" s="35"/>
    </row>
    <row r="945">
      <c r="C945" s="35"/>
      <c r="D945" s="35"/>
      <c r="F945" s="33"/>
      <c r="G945" s="35"/>
      <c r="H945" s="35"/>
      <c r="I945" s="35"/>
    </row>
    <row r="946">
      <c r="C946" s="35"/>
      <c r="D946" s="35"/>
      <c r="F946" s="33"/>
      <c r="G946" s="35"/>
      <c r="H946" s="35"/>
      <c r="I946" s="35"/>
    </row>
    <row r="947">
      <c r="C947" s="35"/>
      <c r="D947" s="35"/>
      <c r="F947" s="33"/>
      <c r="G947" s="35"/>
      <c r="H947" s="35"/>
      <c r="I947" s="35"/>
    </row>
    <row r="948">
      <c r="C948" s="35"/>
      <c r="D948" s="35"/>
      <c r="F948" s="33"/>
      <c r="G948" s="35"/>
      <c r="H948" s="35"/>
      <c r="I948" s="35"/>
    </row>
    <row r="949">
      <c r="C949" s="35"/>
      <c r="D949" s="35"/>
      <c r="F949" s="33"/>
      <c r="G949" s="35"/>
      <c r="H949" s="35"/>
      <c r="I949" s="35"/>
    </row>
    <row r="950">
      <c r="C950" s="35"/>
      <c r="D950" s="35"/>
      <c r="F950" s="33"/>
      <c r="G950" s="35"/>
      <c r="H950" s="35"/>
      <c r="I950" s="35"/>
    </row>
    <row r="951">
      <c r="C951" s="35"/>
      <c r="D951" s="35"/>
      <c r="F951" s="33"/>
      <c r="G951" s="35"/>
      <c r="H951" s="35"/>
      <c r="I951" s="35"/>
    </row>
    <row r="952">
      <c r="C952" s="35"/>
      <c r="D952" s="35"/>
      <c r="F952" s="33"/>
      <c r="G952" s="35"/>
      <c r="H952" s="35"/>
      <c r="I952" s="35"/>
    </row>
    <row r="953">
      <c r="C953" s="35"/>
      <c r="D953" s="35"/>
      <c r="F953" s="33"/>
      <c r="G953" s="35"/>
      <c r="H953" s="35"/>
      <c r="I953" s="35"/>
    </row>
    <row r="954">
      <c r="C954" s="35"/>
      <c r="D954" s="35"/>
      <c r="F954" s="33"/>
      <c r="G954" s="35"/>
      <c r="H954" s="35"/>
      <c r="I954" s="35"/>
    </row>
    <row r="955">
      <c r="C955" s="35"/>
      <c r="D955" s="35"/>
      <c r="F955" s="33"/>
      <c r="G955" s="35"/>
      <c r="H955" s="35"/>
      <c r="I955" s="35"/>
    </row>
    <row r="956">
      <c r="C956" s="35"/>
      <c r="D956" s="35"/>
      <c r="F956" s="33"/>
      <c r="G956" s="35"/>
      <c r="H956" s="35"/>
      <c r="I956" s="35"/>
    </row>
    <row r="957">
      <c r="C957" s="35"/>
      <c r="D957" s="35"/>
      <c r="F957" s="33"/>
      <c r="G957" s="35"/>
      <c r="H957" s="35"/>
      <c r="I957" s="35"/>
    </row>
    <row r="958">
      <c r="C958" s="35"/>
      <c r="D958" s="35"/>
      <c r="F958" s="33"/>
      <c r="G958" s="35"/>
      <c r="H958" s="35"/>
      <c r="I958" s="35"/>
    </row>
    <row r="959">
      <c r="C959" s="35"/>
      <c r="D959" s="35"/>
      <c r="F959" s="33"/>
      <c r="G959" s="35"/>
      <c r="H959" s="35"/>
      <c r="I959" s="35"/>
    </row>
    <row r="960">
      <c r="C960" s="35"/>
      <c r="D960" s="35"/>
      <c r="F960" s="33"/>
      <c r="G960" s="35"/>
      <c r="H960" s="35"/>
      <c r="I960" s="35"/>
    </row>
    <row r="961">
      <c r="C961" s="35"/>
      <c r="D961" s="35"/>
      <c r="F961" s="33"/>
      <c r="G961" s="35"/>
      <c r="H961" s="35"/>
      <c r="I961" s="35"/>
    </row>
    <row r="962">
      <c r="C962" s="35"/>
      <c r="D962" s="35"/>
      <c r="F962" s="33"/>
      <c r="G962" s="35"/>
      <c r="H962" s="35"/>
      <c r="I962" s="35"/>
    </row>
    <row r="963">
      <c r="C963" s="35"/>
      <c r="D963" s="35"/>
      <c r="F963" s="33"/>
      <c r="G963" s="35"/>
      <c r="H963" s="35"/>
      <c r="I963" s="35"/>
    </row>
    <row r="964">
      <c r="C964" s="35"/>
      <c r="D964" s="35"/>
      <c r="F964" s="33"/>
      <c r="G964" s="35"/>
      <c r="H964" s="35"/>
      <c r="I964" s="35"/>
    </row>
    <row r="965">
      <c r="C965" s="35"/>
      <c r="D965" s="35"/>
      <c r="F965" s="33"/>
      <c r="G965" s="35"/>
      <c r="H965" s="35"/>
      <c r="I965" s="35"/>
    </row>
    <row r="966">
      <c r="C966" s="35"/>
      <c r="D966" s="35"/>
      <c r="F966" s="33"/>
      <c r="G966" s="35"/>
      <c r="H966" s="35"/>
      <c r="I966" s="35"/>
    </row>
    <row r="967">
      <c r="C967" s="35"/>
      <c r="D967" s="35"/>
      <c r="F967" s="33"/>
      <c r="G967" s="35"/>
      <c r="H967" s="35"/>
      <c r="I967" s="35"/>
    </row>
    <row r="968">
      <c r="C968" s="35"/>
      <c r="D968" s="35"/>
      <c r="F968" s="33"/>
      <c r="G968" s="35"/>
      <c r="H968" s="35"/>
      <c r="I968" s="35"/>
    </row>
    <row r="969">
      <c r="C969" s="35"/>
      <c r="D969" s="35"/>
      <c r="F969" s="33"/>
      <c r="G969" s="35"/>
      <c r="H969" s="35"/>
      <c r="I969" s="35"/>
    </row>
    <row r="970">
      <c r="C970" s="35"/>
      <c r="D970" s="35"/>
      <c r="F970" s="33"/>
      <c r="G970" s="35"/>
      <c r="H970" s="35"/>
      <c r="I970" s="35"/>
    </row>
    <row r="971">
      <c r="C971" s="35"/>
      <c r="D971" s="35"/>
      <c r="F971" s="33"/>
      <c r="G971" s="35"/>
      <c r="H971" s="35"/>
      <c r="I971" s="35"/>
    </row>
    <row r="972">
      <c r="C972" s="35"/>
      <c r="D972" s="35"/>
      <c r="F972" s="33"/>
      <c r="G972" s="35"/>
      <c r="H972" s="35"/>
      <c r="I972" s="35"/>
    </row>
    <row r="973">
      <c r="C973" s="35"/>
      <c r="D973" s="35"/>
      <c r="F973" s="33"/>
      <c r="G973" s="35"/>
      <c r="H973" s="35"/>
      <c r="I973" s="35"/>
    </row>
    <row r="974">
      <c r="C974" s="35"/>
      <c r="D974" s="35"/>
      <c r="F974" s="33"/>
      <c r="G974" s="35"/>
      <c r="H974" s="35"/>
      <c r="I974" s="35"/>
    </row>
    <row r="975">
      <c r="C975" s="35"/>
      <c r="D975" s="35"/>
      <c r="F975" s="33"/>
      <c r="G975" s="35"/>
      <c r="H975" s="35"/>
      <c r="I975" s="35"/>
    </row>
    <row r="976">
      <c r="C976" s="35"/>
      <c r="D976" s="35"/>
      <c r="F976" s="33"/>
      <c r="G976" s="35"/>
      <c r="H976" s="35"/>
      <c r="I976" s="35"/>
    </row>
    <row r="977">
      <c r="C977" s="35"/>
      <c r="D977" s="35"/>
      <c r="F977" s="33"/>
      <c r="G977" s="35"/>
      <c r="H977" s="35"/>
      <c r="I977" s="35"/>
    </row>
    <row r="978">
      <c r="C978" s="35"/>
      <c r="D978" s="35"/>
      <c r="F978" s="33"/>
      <c r="G978" s="35"/>
      <c r="H978" s="35"/>
      <c r="I978" s="35"/>
    </row>
    <row r="979">
      <c r="C979" s="35"/>
      <c r="D979" s="35"/>
      <c r="F979" s="33"/>
      <c r="G979" s="35"/>
      <c r="H979" s="35"/>
      <c r="I979" s="35"/>
    </row>
    <row r="980">
      <c r="C980" s="35"/>
      <c r="D980" s="35"/>
      <c r="F980" s="33"/>
      <c r="G980" s="35"/>
      <c r="H980" s="35"/>
      <c r="I980" s="35"/>
    </row>
    <row r="981">
      <c r="C981" s="35"/>
      <c r="D981" s="35"/>
      <c r="F981" s="33"/>
      <c r="G981" s="35"/>
      <c r="H981" s="35"/>
      <c r="I981" s="35"/>
    </row>
    <row r="982">
      <c r="C982" s="35"/>
      <c r="D982" s="35"/>
      <c r="F982" s="33"/>
      <c r="G982" s="35"/>
      <c r="H982" s="35"/>
      <c r="I982" s="35"/>
    </row>
    <row r="983">
      <c r="C983" s="35"/>
      <c r="D983" s="35"/>
      <c r="F983" s="33"/>
      <c r="G983" s="35"/>
      <c r="H983" s="35"/>
      <c r="I983" s="35"/>
    </row>
    <row r="984">
      <c r="C984" s="35"/>
      <c r="D984" s="35"/>
      <c r="F984" s="33"/>
      <c r="G984" s="35"/>
      <c r="H984" s="35"/>
      <c r="I984" s="35"/>
    </row>
    <row r="985">
      <c r="C985" s="35"/>
      <c r="D985" s="35"/>
      <c r="F985" s="33"/>
      <c r="G985" s="35"/>
      <c r="H985" s="35"/>
      <c r="I985" s="35"/>
    </row>
    <row r="986">
      <c r="C986" s="35"/>
      <c r="D986" s="35"/>
      <c r="F986" s="33"/>
      <c r="G986" s="35"/>
      <c r="H986" s="35"/>
      <c r="I986" s="35"/>
    </row>
    <row r="987">
      <c r="C987" s="35"/>
      <c r="D987" s="35"/>
      <c r="F987" s="33"/>
      <c r="G987" s="35"/>
      <c r="H987" s="35"/>
      <c r="I987" s="35"/>
    </row>
  </sheetData>
  <autoFilter ref="$A$1:$T$987">
    <filterColumn colId="2">
      <filters blank="1">
        <filter val="1"/>
      </filters>
    </filterColumn>
    <sortState ref="A1:T987">
      <sortCondition ref="B1:B987"/>
      <sortCondition ref="G1:G987"/>
    </sortState>
  </autoFilter>
  <conditionalFormatting sqref="B2:B341 B343:B987">
    <cfRule type="cellIs" dxfId="0" priority="1" operator="equal">
      <formula>"Void"</formula>
    </cfRule>
  </conditionalFormatting>
  <conditionalFormatting sqref="B2:B341 B343:B987">
    <cfRule type="cellIs" dxfId="1" priority="2" operator="equal">
      <formula>"Divine"</formula>
    </cfRule>
  </conditionalFormatting>
  <conditionalFormatting sqref="B2:B341 B343:B987">
    <cfRule type="cellIs" dxfId="2" priority="3" operator="equal">
      <formula>"Mortal"</formula>
    </cfRule>
  </conditionalFormatting>
  <conditionalFormatting sqref="B2:B341 B343:B987">
    <cfRule type="cellIs" dxfId="3" priority="4" operator="equal">
      <formula>"Elemental"</formula>
    </cfRule>
  </conditionalFormatting>
  <conditionalFormatting sqref="B2:B341 B343:B987">
    <cfRule type="cellIs" dxfId="4" priority="5" operator="equal">
      <formula>"Nature"</formula>
    </cfRule>
  </conditionalFormatting>
  <conditionalFormatting sqref="K2:L361 M2:T987 H362:H409 I362:I406 I408:I409 H413:H420 I419 H422:H424 H427:H428 I429:I430 H430 K431:L987 H434">
    <cfRule type="notContainsBlanks" dxfId="5" priority="6">
      <formula>LEN(TRIM(K2))&gt;0</formula>
    </cfRule>
  </conditionalFormatting>
  <hyperlinks>
    <hyperlink r:id="rId1" ref="K3"/>
    <hyperlink r:id="rId2" ref="L3"/>
    <hyperlink r:id="rId3" ref="K5"/>
    <hyperlink r:id="rId4" ref="K6"/>
    <hyperlink r:id="rId5" ref="K7"/>
    <hyperlink r:id="rId6" ref="K8"/>
    <hyperlink r:id="rId7" ref="K10"/>
    <hyperlink r:id="rId8" ref="K11"/>
    <hyperlink r:id="rId9" ref="K12"/>
    <hyperlink r:id="rId10" ref="L12"/>
    <hyperlink r:id="rId11" ref="M12"/>
    <hyperlink r:id="rId12" ref="K13"/>
    <hyperlink r:id="rId13" ref="L13"/>
    <hyperlink r:id="rId14" ref="K14"/>
    <hyperlink r:id="rId15" ref="K15"/>
    <hyperlink r:id="rId16" ref="K16"/>
    <hyperlink r:id="rId17" ref="K17"/>
    <hyperlink r:id="rId18" ref="K18"/>
    <hyperlink r:id="rId19" ref="K20"/>
    <hyperlink r:id="rId20" ref="K21"/>
    <hyperlink r:id="rId21" ref="K22"/>
    <hyperlink r:id="rId22" ref="K24"/>
    <hyperlink r:id="rId23" ref="K28"/>
    <hyperlink r:id="rId24" ref="K30"/>
    <hyperlink r:id="rId25" ref="K31"/>
    <hyperlink r:id="rId26" ref="K32"/>
    <hyperlink r:id="rId27" ref="K34"/>
    <hyperlink r:id="rId28" ref="K35"/>
    <hyperlink r:id="rId29" ref="L35"/>
    <hyperlink r:id="rId30" ref="M35"/>
    <hyperlink r:id="rId31" ref="N35"/>
    <hyperlink r:id="rId32" ref="O35"/>
    <hyperlink r:id="rId33" ref="K40"/>
    <hyperlink r:id="rId34" ref="L40"/>
    <hyperlink r:id="rId35" ref="K41"/>
    <hyperlink r:id="rId36" ref="K43"/>
    <hyperlink r:id="rId37" ref="K52"/>
    <hyperlink r:id="rId38" ref="K66"/>
    <hyperlink r:id="rId39" ref="K70"/>
    <hyperlink r:id="rId40" ref="K71"/>
    <hyperlink r:id="rId41" ref="K73"/>
    <hyperlink r:id="rId42" ref="K75"/>
    <hyperlink r:id="rId43" ref="K79"/>
    <hyperlink r:id="rId44" ref="K81"/>
    <hyperlink r:id="rId45" ref="K82"/>
    <hyperlink r:id="rId46" ref="L82"/>
    <hyperlink r:id="rId47" ref="M82"/>
    <hyperlink r:id="rId48" ref="K83"/>
    <hyperlink r:id="rId49" ref="K84"/>
    <hyperlink r:id="rId50" ref="L84"/>
    <hyperlink r:id="rId51" ref="M84"/>
    <hyperlink r:id="rId52" ref="N84"/>
    <hyperlink r:id="rId53" ref="O84"/>
    <hyperlink r:id="rId54" ref="P84"/>
    <hyperlink r:id="rId55" ref="Q84"/>
    <hyperlink r:id="rId56" ref="K85"/>
    <hyperlink r:id="rId57" ref="L85"/>
    <hyperlink r:id="rId58" ref="M85"/>
    <hyperlink r:id="rId59" ref="N85"/>
    <hyperlink r:id="rId60" ref="O85"/>
    <hyperlink r:id="rId61" ref="P85"/>
    <hyperlink r:id="rId62" ref="Q85"/>
    <hyperlink r:id="rId63" ref="R85"/>
    <hyperlink r:id="rId64" ref="S85"/>
    <hyperlink r:id="rId65" ref="T85"/>
    <hyperlink r:id="rId66" ref="K86"/>
    <hyperlink r:id="rId67" ref="L86"/>
    <hyperlink r:id="rId68" ref="M86"/>
    <hyperlink r:id="rId69" ref="N86"/>
    <hyperlink r:id="rId70" ref="O86"/>
    <hyperlink r:id="rId71" ref="P86"/>
    <hyperlink r:id="rId72" ref="Q86"/>
    <hyperlink r:id="rId73" ref="R86"/>
    <hyperlink r:id="rId74" ref="S86"/>
    <hyperlink r:id="rId75" ref="T86"/>
    <hyperlink r:id="rId76" ref="K89"/>
    <hyperlink r:id="rId77" ref="L89"/>
    <hyperlink r:id="rId78" ref="M89"/>
    <hyperlink r:id="rId79" ref="N89"/>
    <hyperlink r:id="rId80" ref="O89"/>
    <hyperlink r:id="rId81" ref="P89"/>
    <hyperlink r:id="rId82" ref="Q89"/>
    <hyperlink r:id="rId83" ref="R89"/>
    <hyperlink r:id="rId84" ref="S89"/>
    <hyperlink r:id="rId85" ref="T89"/>
    <hyperlink r:id="rId86" ref="K90"/>
    <hyperlink r:id="rId87" ref="L90"/>
    <hyperlink r:id="rId88" ref="M90"/>
    <hyperlink r:id="rId89" ref="N90"/>
    <hyperlink r:id="rId90" ref="O90"/>
    <hyperlink r:id="rId91" ref="P90"/>
    <hyperlink r:id="rId92" ref="Q90"/>
    <hyperlink r:id="rId93" ref="R90"/>
    <hyperlink r:id="rId94" ref="S90"/>
    <hyperlink r:id="rId95" ref="T90"/>
    <hyperlink r:id="rId96" ref="K91"/>
    <hyperlink r:id="rId97" ref="L91"/>
    <hyperlink r:id="rId98" ref="M91"/>
    <hyperlink r:id="rId99" ref="N91"/>
    <hyperlink r:id="rId100" ref="O91"/>
    <hyperlink r:id="rId101" ref="P91"/>
    <hyperlink r:id="rId102" ref="Q91"/>
    <hyperlink r:id="rId103" ref="R91"/>
    <hyperlink r:id="rId104" ref="S91"/>
    <hyperlink r:id="rId105" ref="T91"/>
    <hyperlink r:id="rId106" ref="K92"/>
    <hyperlink r:id="rId107" ref="L92"/>
    <hyperlink r:id="rId108" ref="M92"/>
    <hyperlink r:id="rId109" ref="N92"/>
    <hyperlink r:id="rId110" ref="O92"/>
    <hyperlink r:id="rId111" ref="P92"/>
    <hyperlink r:id="rId112" ref="Q92"/>
    <hyperlink r:id="rId113" ref="R92"/>
    <hyperlink r:id="rId114" ref="S92"/>
    <hyperlink r:id="rId115" ref="T92"/>
    <hyperlink r:id="rId116" ref="K96"/>
    <hyperlink r:id="rId117" ref="L96"/>
    <hyperlink r:id="rId118" ref="M96"/>
    <hyperlink r:id="rId119" ref="N96"/>
    <hyperlink r:id="rId120" ref="O96"/>
    <hyperlink r:id="rId121" ref="P96"/>
    <hyperlink r:id="rId122" ref="Q96"/>
    <hyperlink r:id="rId123" ref="R96"/>
    <hyperlink r:id="rId124" ref="S96"/>
    <hyperlink r:id="rId125" ref="T96"/>
    <hyperlink r:id="rId126" ref="K97"/>
    <hyperlink r:id="rId127" ref="L97"/>
    <hyperlink r:id="rId128" ref="M97"/>
    <hyperlink r:id="rId129" ref="N97"/>
    <hyperlink r:id="rId130" ref="K98"/>
    <hyperlink r:id="rId131" ref="L98"/>
    <hyperlink r:id="rId132" ref="M98"/>
    <hyperlink r:id="rId133" ref="N98"/>
    <hyperlink r:id="rId134" ref="O98"/>
    <hyperlink r:id="rId135" ref="P98"/>
    <hyperlink r:id="rId136" ref="Q98"/>
    <hyperlink r:id="rId137" ref="R98"/>
    <hyperlink r:id="rId138" ref="S98"/>
    <hyperlink r:id="rId139" ref="T98"/>
    <hyperlink r:id="rId140" ref="K100"/>
    <hyperlink r:id="rId141" ref="L100"/>
    <hyperlink r:id="rId142" ref="M100"/>
    <hyperlink r:id="rId143" ref="N100"/>
    <hyperlink r:id="rId144" ref="O100"/>
    <hyperlink r:id="rId145" ref="P100"/>
    <hyperlink r:id="rId146" ref="Q100"/>
    <hyperlink r:id="rId147" ref="R100"/>
    <hyperlink r:id="rId148" ref="S100"/>
    <hyperlink r:id="rId149" ref="T100"/>
    <hyperlink r:id="rId150" ref="K107"/>
    <hyperlink r:id="rId151" ref="L107"/>
    <hyperlink r:id="rId152" ref="M107"/>
    <hyperlink r:id="rId153" ref="N107"/>
    <hyperlink r:id="rId154" ref="O107"/>
    <hyperlink r:id="rId155" ref="P107"/>
    <hyperlink r:id="rId156" ref="Q107"/>
    <hyperlink r:id="rId157" ref="R107"/>
    <hyperlink r:id="rId158" ref="S107"/>
    <hyperlink r:id="rId159" ref="T107"/>
    <hyperlink r:id="rId160" ref="K108"/>
    <hyperlink r:id="rId161" ref="L108"/>
    <hyperlink r:id="rId162" ref="M108"/>
    <hyperlink r:id="rId163" ref="N108"/>
    <hyperlink r:id="rId164" ref="O108"/>
    <hyperlink r:id="rId165" ref="P108"/>
    <hyperlink r:id="rId166" ref="Q108"/>
    <hyperlink r:id="rId167" ref="R108"/>
    <hyperlink r:id="rId168" ref="S108"/>
    <hyperlink r:id="rId169" ref="T108"/>
    <hyperlink r:id="rId170" ref="K110"/>
    <hyperlink r:id="rId171" ref="L110"/>
    <hyperlink r:id="rId172" ref="M110"/>
    <hyperlink r:id="rId173" ref="N110"/>
    <hyperlink r:id="rId174" ref="O110"/>
    <hyperlink r:id="rId175" ref="P110"/>
    <hyperlink r:id="rId176" ref="Q110"/>
    <hyperlink r:id="rId177" ref="R110"/>
    <hyperlink r:id="rId178" ref="S110"/>
    <hyperlink r:id="rId179" ref="T110"/>
    <hyperlink r:id="rId180" ref="K111"/>
    <hyperlink r:id="rId181" ref="L111"/>
    <hyperlink r:id="rId182" ref="M111"/>
    <hyperlink r:id="rId183" ref="N111"/>
    <hyperlink r:id="rId184" ref="O111"/>
    <hyperlink r:id="rId185" ref="P111"/>
    <hyperlink r:id="rId186" ref="Q111"/>
    <hyperlink r:id="rId187" ref="R111"/>
    <hyperlink r:id="rId188" ref="S111"/>
    <hyperlink r:id="rId189" ref="T111"/>
    <hyperlink r:id="rId190" ref="K114"/>
    <hyperlink r:id="rId191" ref="L114"/>
    <hyperlink r:id="rId192" ref="M114"/>
    <hyperlink r:id="rId193" ref="N114"/>
    <hyperlink r:id="rId194" ref="O114"/>
    <hyperlink r:id="rId195" ref="P114"/>
    <hyperlink r:id="rId196" ref="Q114"/>
    <hyperlink r:id="rId197" ref="R114"/>
    <hyperlink r:id="rId198" ref="S114"/>
    <hyperlink r:id="rId199" ref="T114"/>
    <hyperlink r:id="rId200" ref="K115"/>
    <hyperlink r:id="rId201" ref="L115"/>
    <hyperlink r:id="rId202" ref="M115"/>
    <hyperlink r:id="rId203" ref="N115"/>
    <hyperlink r:id="rId204" ref="O115"/>
    <hyperlink r:id="rId205" ref="P115"/>
    <hyperlink r:id="rId206" ref="Q115"/>
    <hyperlink r:id="rId207" ref="R115"/>
    <hyperlink r:id="rId208" ref="S115"/>
    <hyperlink r:id="rId209" ref="T115"/>
    <hyperlink r:id="rId210" ref="K116"/>
    <hyperlink r:id="rId211" ref="L116"/>
    <hyperlink r:id="rId212" ref="M116"/>
    <hyperlink r:id="rId213" ref="N116"/>
    <hyperlink r:id="rId214" ref="O116"/>
    <hyperlink r:id="rId215" ref="P116"/>
    <hyperlink r:id="rId216" ref="Q116"/>
    <hyperlink r:id="rId217" ref="R116"/>
    <hyperlink r:id="rId218" ref="S116"/>
    <hyperlink r:id="rId219" ref="T116"/>
    <hyperlink r:id="rId220" ref="K118"/>
    <hyperlink r:id="rId221" ref="L118"/>
    <hyperlink r:id="rId222" ref="M118"/>
    <hyperlink r:id="rId223" ref="N118"/>
    <hyperlink r:id="rId224" ref="O118"/>
    <hyperlink r:id="rId225" ref="P118"/>
    <hyperlink r:id="rId226" ref="Q118"/>
    <hyperlink r:id="rId227" ref="R118"/>
    <hyperlink r:id="rId228" ref="S118"/>
    <hyperlink r:id="rId229" ref="T118"/>
    <hyperlink r:id="rId230" ref="K122"/>
    <hyperlink r:id="rId231" ref="L122"/>
    <hyperlink r:id="rId232" ref="M122"/>
    <hyperlink r:id="rId233" ref="N122"/>
    <hyperlink r:id="rId234" ref="O122"/>
    <hyperlink r:id="rId235" ref="P122"/>
    <hyperlink r:id="rId236" ref="Q122"/>
    <hyperlink r:id="rId237" ref="R122"/>
    <hyperlink r:id="rId238" ref="S122"/>
    <hyperlink r:id="rId239" ref="T122"/>
    <hyperlink r:id="rId240" ref="K125"/>
    <hyperlink r:id="rId241" ref="L125"/>
    <hyperlink r:id="rId242" ref="M125"/>
    <hyperlink r:id="rId243" ref="N125"/>
    <hyperlink r:id="rId244" ref="O125"/>
    <hyperlink r:id="rId245" ref="P125"/>
    <hyperlink r:id="rId246" ref="Q125"/>
    <hyperlink r:id="rId247" ref="R125"/>
    <hyperlink r:id="rId248" ref="S125"/>
    <hyperlink r:id="rId249" ref="T125"/>
    <hyperlink r:id="rId250" ref="K128"/>
    <hyperlink r:id="rId251" ref="L128"/>
    <hyperlink r:id="rId252" ref="M128"/>
    <hyperlink r:id="rId253" ref="N128"/>
    <hyperlink r:id="rId254" ref="O128"/>
    <hyperlink r:id="rId255" ref="P128"/>
    <hyperlink r:id="rId256" ref="K129"/>
    <hyperlink r:id="rId257" ref="L129"/>
    <hyperlink r:id="rId258" ref="M129"/>
    <hyperlink r:id="rId259" ref="N129"/>
    <hyperlink r:id="rId260" ref="O129"/>
    <hyperlink r:id="rId261" ref="P129"/>
    <hyperlink r:id="rId262" ref="Q129"/>
    <hyperlink r:id="rId263" ref="R129"/>
    <hyperlink r:id="rId264" ref="S129"/>
    <hyperlink r:id="rId265" ref="T129"/>
    <hyperlink r:id="rId266" ref="K130"/>
    <hyperlink r:id="rId267" ref="L130"/>
    <hyperlink r:id="rId268" ref="M130"/>
    <hyperlink r:id="rId269" ref="N130"/>
    <hyperlink r:id="rId270" ref="O130"/>
    <hyperlink r:id="rId271" ref="P130"/>
    <hyperlink r:id="rId272" ref="K131"/>
    <hyperlink r:id="rId273" ref="L131"/>
    <hyperlink r:id="rId274" ref="M131"/>
    <hyperlink r:id="rId275" ref="N131"/>
    <hyperlink r:id="rId276" ref="O131"/>
    <hyperlink r:id="rId277" ref="P131"/>
    <hyperlink r:id="rId278" ref="Q131"/>
    <hyperlink r:id="rId279" ref="K132"/>
    <hyperlink r:id="rId280" ref="L132"/>
    <hyperlink r:id="rId281" ref="M132"/>
    <hyperlink r:id="rId282" ref="N132"/>
    <hyperlink r:id="rId283" ref="O132"/>
    <hyperlink r:id="rId284" ref="P132"/>
    <hyperlink r:id="rId285" ref="Q132"/>
    <hyperlink r:id="rId286" ref="R132"/>
    <hyperlink r:id="rId287" ref="S132"/>
    <hyperlink r:id="rId288" ref="T132"/>
    <hyperlink r:id="rId289" ref="K134"/>
    <hyperlink r:id="rId290" ref="L134"/>
    <hyperlink r:id="rId291" ref="M134"/>
    <hyperlink r:id="rId292" ref="N134"/>
    <hyperlink r:id="rId293" ref="O134"/>
    <hyperlink r:id="rId294" ref="P134"/>
    <hyperlink r:id="rId295" ref="Q134"/>
    <hyperlink r:id="rId296" ref="R134"/>
    <hyperlink r:id="rId297" ref="S134"/>
    <hyperlink r:id="rId298" ref="T134"/>
    <hyperlink r:id="rId299" ref="K137"/>
    <hyperlink r:id="rId300" ref="L137"/>
    <hyperlink r:id="rId301" ref="M137"/>
    <hyperlink r:id="rId302" ref="N137"/>
    <hyperlink r:id="rId303" ref="O137"/>
    <hyperlink r:id="rId304" ref="P137"/>
    <hyperlink r:id="rId305" ref="Q137"/>
    <hyperlink r:id="rId306" ref="R137"/>
    <hyperlink r:id="rId307" ref="S137"/>
    <hyperlink r:id="rId308" ref="T137"/>
    <hyperlink r:id="rId309" ref="K140"/>
    <hyperlink r:id="rId310" ref="L140"/>
    <hyperlink r:id="rId311" ref="M140"/>
    <hyperlink r:id="rId312" ref="N140"/>
    <hyperlink r:id="rId313" ref="O140"/>
    <hyperlink r:id="rId314" ref="P140"/>
    <hyperlink r:id="rId315" ref="Q140"/>
    <hyperlink r:id="rId316" ref="R140"/>
    <hyperlink r:id="rId317" ref="S140"/>
    <hyperlink r:id="rId318" ref="T140"/>
    <hyperlink r:id="rId319" ref="K148"/>
    <hyperlink r:id="rId320" ref="L148"/>
    <hyperlink r:id="rId321" ref="M148"/>
    <hyperlink r:id="rId322" ref="N148"/>
    <hyperlink r:id="rId323" ref="O148"/>
    <hyperlink r:id="rId324" ref="P148"/>
    <hyperlink r:id="rId325" ref="Q148"/>
    <hyperlink r:id="rId326" ref="R148"/>
    <hyperlink r:id="rId327" ref="S148"/>
    <hyperlink r:id="rId328" ref="T148"/>
    <hyperlink r:id="rId329" ref="K150"/>
    <hyperlink r:id="rId330" ref="L150"/>
    <hyperlink r:id="rId331" ref="M150"/>
    <hyperlink r:id="rId332" ref="N150"/>
    <hyperlink r:id="rId333" ref="O150"/>
    <hyperlink r:id="rId334" ref="P150"/>
    <hyperlink r:id="rId335" ref="Q150"/>
    <hyperlink r:id="rId336" ref="R150"/>
    <hyperlink r:id="rId337" ref="S150"/>
    <hyperlink r:id="rId338" ref="T150"/>
    <hyperlink r:id="rId339" ref="K151"/>
    <hyperlink r:id="rId340" ref="L151"/>
    <hyperlink r:id="rId341" ref="M151"/>
    <hyperlink r:id="rId342" ref="N151"/>
    <hyperlink r:id="rId343" ref="O151"/>
    <hyperlink r:id="rId344" ref="P151"/>
    <hyperlink r:id="rId345" ref="Q151"/>
    <hyperlink r:id="rId346" ref="R151"/>
    <hyperlink r:id="rId347" ref="S151"/>
    <hyperlink r:id="rId348" ref="T151"/>
    <hyperlink r:id="rId349" ref="K152"/>
    <hyperlink r:id="rId350" ref="L152"/>
    <hyperlink r:id="rId351" ref="M152"/>
    <hyperlink r:id="rId352" ref="N152"/>
    <hyperlink r:id="rId353" ref="O152"/>
    <hyperlink r:id="rId354" ref="K161"/>
    <hyperlink r:id="rId355" ref="L161"/>
    <hyperlink r:id="rId356" ref="M161"/>
    <hyperlink r:id="rId357" ref="N161"/>
    <hyperlink r:id="rId358" ref="O161"/>
    <hyperlink r:id="rId359" ref="P161"/>
    <hyperlink r:id="rId360" ref="Q161"/>
    <hyperlink r:id="rId361" ref="R161"/>
    <hyperlink r:id="rId362" ref="S161"/>
    <hyperlink r:id="rId363" ref="T161"/>
    <hyperlink r:id="rId364" ref="K162"/>
    <hyperlink r:id="rId365" ref="L162"/>
    <hyperlink r:id="rId366" ref="M162"/>
    <hyperlink r:id="rId367" ref="N162"/>
    <hyperlink r:id="rId368" ref="O162"/>
    <hyperlink r:id="rId369" ref="P162"/>
    <hyperlink r:id="rId370" ref="Q162"/>
    <hyperlink r:id="rId371" ref="R162"/>
    <hyperlink r:id="rId372" ref="K165"/>
    <hyperlink r:id="rId373" ref="L165"/>
    <hyperlink r:id="rId374" ref="M165"/>
    <hyperlink r:id="rId375" ref="N165"/>
    <hyperlink r:id="rId376" ref="O165"/>
    <hyperlink r:id="rId377" ref="P165"/>
    <hyperlink r:id="rId378" ref="Q165"/>
    <hyperlink r:id="rId379" ref="R165"/>
    <hyperlink r:id="rId380" ref="S165"/>
    <hyperlink r:id="rId381" ref="T165"/>
    <hyperlink r:id="rId382" ref="K166"/>
    <hyperlink r:id="rId383" ref="L166"/>
    <hyperlink r:id="rId384" ref="M166"/>
    <hyperlink r:id="rId385" ref="N166"/>
    <hyperlink r:id="rId386" ref="O166"/>
    <hyperlink r:id="rId387" ref="P166"/>
    <hyperlink r:id="rId388" ref="Q166"/>
    <hyperlink r:id="rId389" ref="R166"/>
    <hyperlink r:id="rId390" ref="S166"/>
    <hyperlink r:id="rId391" ref="T166"/>
    <hyperlink r:id="rId392" ref="K168"/>
    <hyperlink r:id="rId393" ref="L168"/>
    <hyperlink r:id="rId394" ref="M168"/>
    <hyperlink r:id="rId395" ref="N168"/>
    <hyperlink r:id="rId396" ref="O168"/>
    <hyperlink r:id="rId397" ref="P168"/>
    <hyperlink r:id="rId398" ref="Q168"/>
    <hyperlink r:id="rId399" ref="R168"/>
    <hyperlink r:id="rId400" ref="S168"/>
    <hyperlink r:id="rId401" ref="T168"/>
    <hyperlink r:id="rId402" ref="K169"/>
    <hyperlink r:id="rId403" ref="L169"/>
    <hyperlink r:id="rId404" ref="M169"/>
    <hyperlink r:id="rId405" ref="N169"/>
    <hyperlink r:id="rId406" ref="O169"/>
    <hyperlink r:id="rId407" ref="P169"/>
    <hyperlink r:id="rId408" ref="Q169"/>
    <hyperlink r:id="rId409" ref="R169"/>
    <hyperlink r:id="rId410" ref="K175"/>
    <hyperlink r:id="rId411" ref="L175"/>
    <hyperlink r:id="rId412" ref="M175"/>
    <hyperlink r:id="rId413" ref="N175"/>
    <hyperlink r:id="rId414" ref="O175"/>
    <hyperlink r:id="rId415" ref="P175"/>
    <hyperlink r:id="rId416" ref="K177"/>
    <hyperlink r:id="rId417" ref="L177"/>
    <hyperlink r:id="rId418" ref="M177"/>
    <hyperlink r:id="rId419" ref="K179"/>
    <hyperlink r:id="rId420" ref="L179"/>
    <hyperlink r:id="rId421" ref="M179"/>
    <hyperlink r:id="rId422" ref="N179"/>
    <hyperlink r:id="rId423" ref="O179"/>
    <hyperlink r:id="rId424" ref="P179"/>
    <hyperlink r:id="rId425" ref="Q179"/>
    <hyperlink r:id="rId426" ref="R179"/>
    <hyperlink r:id="rId427" ref="S179"/>
    <hyperlink r:id="rId428" ref="T179"/>
    <hyperlink r:id="rId429" ref="K180"/>
    <hyperlink r:id="rId430" ref="L180"/>
    <hyperlink r:id="rId431" ref="M180"/>
    <hyperlink r:id="rId432" ref="N180"/>
    <hyperlink r:id="rId433" ref="O180"/>
    <hyperlink r:id="rId434" ref="P180"/>
    <hyperlink r:id="rId435" ref="Q180"/>
    <hyperlink r:id="rId436" ref="K182"/>
    <hyperlink r:id="rId437" ref="L182"/>
    <hyperlink r:id="rId438" ref="M182"/>
    <hyperlink r:id="rId439" ref="N182"/>
    <hyperlink r:id="rId440" ref="O182"/>
    <hyperlink r:id="rId441" ref="P182"/>
    <hyperlink r:id="rId442" ref="Q182"/>
    <hyperlink r:id="rId443" ref="K186"/>
    <hyperlink r:id="rId444" ref="L186"/>
    <hyperlink r:id="rId445" ref="M186"/>
    <hyperlink r:id="rId446" ref="N186"/>
    <hyperlink r:id="rId447" ref="O186"/>
    <hyperlink r:id="rId448" ref="P186"/>
    <hyperlink r:id="rId449" ref="Q186"/>
    <hyperlink r:id="rId450" ref="R186"/>
    <hyperlink r:id="rId451" ref="S186"/>
    <hyperlink r:id="rId452" ref="K188"/>
    <hyperlink r:id="rId453" ref="L188"/>
    <hyperlink r:id="rId454" ref="M188"/>
    <hyperlink r:id="rId455" ref="N188"/>
    <hyperlink r:id="rId456" ref="O188"/>
    <hyperlink r:id="rId457" ref="K189"/>
    <hyperlink r:id="rId458" ref="L189"/>
    <hyperlink r:id="rId459" ref="M189"/>
    <hyperlink r:id="rId460" ref="N189"/>
    <hyperlink r:id="rId461" ref="O189"/>
    <hyperlink r:id="rId462" ref="P189"/>
    <hyperlink r:id="rId463" ref="Q189"/>
    <hyperlink r:id="rId464" ref="K190"/>
    <hyperlink r:id="rId465" ref="L190"/>
    <hyperlink r:id="rId466" ref="M190"/>
    <hyperlink r:id="rId467" ref="N190"/>
    <hyperlink r:id="rId468" ref="O190"/>
    <hyperlink r:id="rId469" ref="K191"/>
    <hyperlink r:id="rId470" ref="L191"/>
    <hyperlink r:id="rId471" ref="M191"/>
    <hyperlink r:id="rId472" ref="N191"/>
    <hyperlink r:id="rId473" ref="O191"/>
    <hyperlink r:id="rId474" ref="P191"/>
    <hyperlink r:id="rId475" ref="K194"/>
    <hyperlink r:id="rId476" ref="L194"/>
    <hyperlink r:id="rId477" ref="M194"/>
    <hyperlink r:id="rId478" ref="N194"/>
    <hyperlink r:id="rId479" ref="O194"/>
    <hyperlink r:id="rId480" ref="K196"/>
    <hyperlink r:id="rId481" ref="L196"/>
    <hyperlink r:id="rId482" ref="M196"/>
    <hyperlink r:id="rId483" ref="N196"/>
    <hyperlink r:id="rId484" ref="O196"/>
    <hyperlink r:id="rId485" ref="P196"/>
    <hyperlink r:id="rId486" ref="Q196"/>
    <hyperlink r:id="rId487" ref="K197"/>
    <hyperlink r:id="rId488" ref="L197"/>
    <hyperlink r:id="rId489" ref="M197"/>
    <hyperlink r:id="rId490" ref="N197"/>
    <hyperlink r:id="rId491" ref="O197"/>
    <hyperlink r:id="rId492" ref="K198"/>
    <hyperlink r:id="rId493" ref="L198"/>
    <hyperlink r:id="rId494" ref="K199"/>
    <hyperlink r:id="rId495" ref="L199"/>
    <hyperlink r:id="rId496" ref="M199"/>
    <hyperlink r:id="rId497" ref="N199"/>
    <hyperlink r:id="rId498" ref="O199"/>
    <hyperlink r:id="rId499" ref="P199"/>
    <hyperlink r:id="rId500" ref="Q199"/>
    <hyperlink r:id="rId501" ref="K200"/>
    <hyperlink r:id="rId502" ref="L200"/>
    <hyperlink r:id="rId503" ref="M200"/>
    <hyperlink r:id="rId504" ref="K203"/>
    <hyperlink r:id="rId505" ref="L203"/>
    <hyperlink r:id="rId506" ref="M203"/>
    <hyperlink r:id="rId507" ref="K205"/>
    <hyperlink r:id="rId508" ref="L205"/>
    <hyperlink r:id="rId509" ref="M205"/>
    <hyperlink r:id="rId510" ref="N205"/>
    <hyperlink r:id="rId511" ref="O205"/>
    <hyperlink r:id="rId512" ref="K208"/>
    <hyperlink r:id="rId513" ref="L208"/>
    <hyperlink r:id="rId514" ref="M208"/>
    <hyperlink r:id="rId515" ref="N208"/>
    <hyperlink r:id="rId516" ref="O208"/>
    <hyperlink r:id="rId517" ref="P208"/>
    <hyperlink r:id="rId518" ref="Q208"/>
    <hyperlink r:id="rId519" ref="R208"/>
    <hyperlink r:id="rId520" ref="K210"/>
    <hyperlink r:id="rId521" ref="L210"/>
    <hyperlink r:id="rId522" ref="M210"/>
    <hyperlink r:id="rId523" ref="N210"/>
    <hyperlink r:id="rId524" ref="O210"/>
    <hyperlink r:id="rId525" ref="P210"/>
    <hyperlink r:id="rId526" ref="Q210"/>
    <hyperlink r:id="rId527" ref="R210"/>
    <hyperlink r:id="rId528" ref="S210"/>
    <hyperlink r:id="rId529" ref="T210"/>
    <hyperlink r:id="rId530" ref="K212"/>
    <hyperlink r:id="rId531" ref="L212"/>
    <hyperlink r:id="rId532" ref="M212"/>
    <hyperlink r:id="rId533" ref="N212"/>
    <hyperlink r:id="rId534" ref="O212"/>
    <hyperlink r:id="rId535" ref="P212"/>
    <hyperlink r:id="rId536" ref="Q212"/>
    <hyperlink r:id="rId537" ref="R212"/>
    <hyperlink r:id="rId538" ref="S212"/>
    <hyperlink r:id="rId539" ref="K214"/>
    <hyperlink r:id="rId540" ref="L214"/>
    <hyperlink r:id="rId541" ref="M214"/>
    <hyperlink r:id="rId542" ref="N214"/>
    <hyperlink r:id="rId543" ref="O214"/>
    <hyperlink r:id="rId544" ref="P214"/>
    <hyperlink r:id="rId545" ref="Q214"/>
    <hyperlink r:id="rId546" ref="R214"/>
    <hyperlink r:id="rId547" ref="K219"/>
    <hyperlink r:id="rId548" ref="L219"/>
    <hyperlink r:id="rId549" ref="M219"/>
    <hyperlink r:id="rId550" ref="N219"/>
    <hyperlink r:id="rId551" ref="O219"/>
    <hyperlink r:id="rId552" ref="K220"/>
    <hyperlink r:id="rId553" ref="L220"/>
    <hyperlink r:id="rId554" ref="M220"/>
    <hyperlink r:id="rId555" ref="N220"/>
    <hyperlink r:id="rId556" ref="K221"/>
    <hyperlink r:id="rId557" ref="L221"/>
    <hyperlink r:id="rId558" ref="M221"/>
    <hyperlink r:id="rId559" ref="N221"/>
    <hyperlink r:id="rId560" ref="O221"/>
    <hyperlink r:id="rId561" ref="P221"/>
    <hyperlink r:id="rId562" ref="K223"/>
    <hyperlink r:id="rId563" ref="L223"/>
    <hyperlink r:id="rId564" ref="M223"/>
    <hyperlink r:id="rId565" ref="N223"/>
    <hyperlink r:id="rId566" ref="O223"/>
    <hyperlink r:id="rId567" ref="P223"/>
    <hyperlink r:id="rId568" ref="Q223"/>
    <hyperlink r:id="rId569" ref="K224"/>
    <hyperlink r:id="rId570" ref="L224"/>
    <hyperlink r:id="rId571" ref="K231"/>
    <hyperlink r:id="rId572" ref="K232"/>
    <hyperlink r:id="rId573" ref="L232"/>
    <hyperlink r:id="rId574" ref="M232"/>
    <hyperlink r:id="rId575" ref="N232"/>
    <hyperlink r:id="rId576" ref="O232"/>
    <hyperlink r:id="rId577" ref="P232"/>
    <hyperlink r:id="rId578" ref="Q232"/>
    <hyperlink r:id="rId579" ref="K233"/>
    <hyperlink r:id="rId580" ref="L233"/>
    <hyperlink r:id="rId581" ref="M233"/>
    <hyperlink r:id="rId582" ref="N233"/>
    <hyperlink r:id="rId583" ref="O233"/>
    <hyperlink r:id="rId584" ref="P233"/>
    <hyperlink r:id="rId585" ref="Q233"/>
    <hyperlink r:id="rId586" ref="R233"/>
    <hyperlink r:id="rId587" ref="S233"/>
    <hyperlink r:id="rId588" ref="K323"/>
    <hyperlink r:id="rId589" ref="L323"/>
    <hyperlink r:id="rId590" ref="K350"/>
    <hyperlink r:id="rId591" ref="K411"/>
  </hyperlinks>
  <drawing r:id="rId59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sheetData>
    <row r="1">
      <c r="A1" s="108" t="s">
        <v>0</v>
      </c>
      <c r="B1" s="109" t="s">
        <v>2102</v>
      </c>
    </row>
    <row r="2">
      <c r="A2" s="16" t="s">
        <v>2103</v>
      </c>
      <c r="B2" s="16" t="s">
        <v>2104</v>
      </c>
    </row>
    <row r="3">
      <c r="A3" s="16" t="s">
        <v>2105</v>
      </c>
      <c r="C3" s="16" t="s">
        <v>2106</v>
      </c>
    </row>
    <row r="4">
      <c r="A4" s="16" t="s">
        <v>2107</v>
      </c>
      <c r="C4" s="16" t="s">
        <v>2108</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27.0"/>
    <col customWidth="1" min="4" max="4" width="16.14"/>
    <col customWidth="1" min="5" max="5" width="23.14"/>
    <col customWidth="1" min="6" max="6" width="16.14"/>
    <col customWidth="1" min="7" max="7" width="18.29"/>
    <col customWidth="1" min="10" max="10" width="21.43"/>
    <col customWidth="1" min="11" max="11" width="16.0"/>
    <col customWidth="1" min="13" max="13" width="21.57"/>
  </cols>
  <sheetData>
    <row r="1">
      <c r="A1" s="110" t="s">
        <v>2109</v>
      </c>
      <c r="B1" s="111"/>
      <c r="C1" s="112" t="s">
        <v>2110</v>
      </c>
      <c r="D1" s="113" t="s">
        <v>2111</v>
      </c>
      <c r="E1" s="113" t="s">
        <v>26</v>
      </c>
      <c r="F1" s="113" t="s">
        <v>62</v>
      </c>
      <c r="G1" s="114" t="s">
        <v>32</v>
      </c>
      <c r="H1" s="28"/>
      <c r="I1" s="115" t="s">
        <v>2112</v>
      </c>
      <c r="J1" s="115" t="s">
        <v>2113</v>
      </c>
      <c r="K1" s="115" t="s">
        <v>2114</v>
      </c>
    </row>
    <row r="2">
      <c r="A2" s="116">
        <f>IFERROR(__xludf.DUMMYFUNCTION("COUNTIF(QUERY(Cards!A:I,""SELECT A WHERE C="" &amp; $A$4) ,""*"")-1"),215.0)</f>
        <v>215</v>
      </c>
      <c r="C2" s="117" t="s">
        <v>21</v>
      </c>
      <c r="D2" s="118">
        <f>IFERROR(__xludf.DUMMYFUNCTION("IFNA(QUERY(Cards!$A:$I,""select count(A) where ("" &amp; IF($A$4=""*"",,""C="" &amp; $A$4 &amp; "" AND"") &amp; "" B LIKE '"" &amp; $C2 &amp; ""') label Count(A) ''""),0)"),36.0)</f>
        <v>36</v>
      </c>
      <c r="E2" s="118">
        <f>IFERROR(__xludf.DUMMYFUNCTION("IFNA(QUERY(Cards!$A:$I,""select count(A) where ("" &amp; IF($A$4=""*"","""",""C="" &amp; $A$4 &amp; "" AND"") &amp; "" B='"" &amp; $C2 &amp; ""' AND I='"" &amp; E$1 &amp; ""') label Count(A) ''""),0)"),18.0)</f>
        <v>18</v>
      </c>
      <c r="F2" s="118">
        <f>IFERROR(__xludf.DUMMYFUNCTION("IFNA(QUERY(Cards!$A:$I,""select count(A) where ("" &amp; IF($A$4=""*"","""",""C="" &amp; $A$4 &amp; "" AND"") &amp; "" B='"" &amp; $C2 &amp; ""' AND I='"" &amp; F$1 &amp; ""') label Count(A) ''""),0)"),10.0)</f>
        <v>10</v>
      </c>
      <c r="G2" s="119">
        <f>IFERROR(__xludf.DUMMYFUNCTION("IFNA(QUERY(Cards!$A:$I,""select count(A) where ("" &amp; IF($A$4=""*"","""",""C="" &amp; $A$4 &amp; "" AND"") &amp; "" B='"" &amp; $C2 &amp; ""' AND I='"" &amp; G$1 &amp; ""') label Count(A) ''""),0)"),8.0)</f>
        <v>8</v>
      </c>
      <c r="I2" s="120">
        <v>0.0</v>
      </c>
      <c r="J2" s="20">
        <f>IFERROR(__xludf.DUMMYFUNCTION("IFNA(QUERY('Extended Card Stats'!$A:$J,""select count(A) where (C="" &amp; $A$4 &amp; "") AND (G="" &amp; $I2 &amp; "") AND (B LIKE '%"" &amp; $A$6 &amp; ""%') label Count(A) ''""),0)"),6.0)</f>
        <v>6</v>
      </c>
      <c r="K2" s="20">
        <f>IFERROR(__xludf.DUMMYFUNCTION("IFNA(QUERY('Extended Card Stats'!$A:$J,""select count(A) where (C="" &amp; $A$4 &amp; "") AND (J="" &amp; $I2 &amp; "") AND (B LIKE '%"" &amp; $A$6 &amp; ""%') label Count(A) ''""),0)"),3.0)</f>
        <v>3</v>
      </c>
      <c r="U2" s="35"/>
    </row>
    <row r="3">
      <c r="A3" s="121" t="s">
        <v>2115</v>
      </c>
      <c r="C3" s="117" t="s">
        <v>365</v>
      </c>
      <c r="D3" s="118">
        <f>IFERROR(__xludf.DUMMYFUNCTION("IFNA(QUERY(Cards!$A:$I,""select count(A) where ("" &amp; IF($A$4=""*"",,""C="" &amp; $A$4 &amp; "" AND"") &amp; "" B LIKE '"" &amp; $C3 &amp; ""') label Count(A) ''""),0)"),36.0)</f>
        <v>36</v>
      </c>
      <c r="E3" s="118">
        <f>IFERROR(__xludf.DUMMYFUNCTION("IFNA(QUERY(Cards!$A:$I,""select count(A) where ("" &amp; IF($A$4=""*"","""",""C="" &amp; $A$4 &amp; "" AND"") &amp; "" B='"" &amp; $C3 &amp; ""' AND I='"" &amp; E$1 &amp; ""') label Count(A) ''""),0)"),18.0)</f>
        <v>18</v>
      </c>
      <c r="F3" s="118">
        <f>IFERROR(__xludf.DUMMYFUNCTION("IFNA(QUERY(Cards!$A:$I,""select count(A) where ("" &amp; IF($A$4=""*"","""",""C="" &amp; $A$4 &amp; "" AND"") &amp; "" B='"" &amp; $C3 &amp; ""' AND I='"" &amp; F$1 &amp; ""') label Count(A) ''""),0)"),10.0)</f>
        <v>10</v>
      </c>
      <c r="G3" s="119">
        <f>IFERROR(__xludf.DUMMYFUNCTION("IFNA(QUERY(Cards!$A:$I,""select count(A) where ("" &amp; IF($A$4=""*"","""",""C="" &amp; $A$4 &amp; "" AND"") &amp; "" B='"" &amp; $C3 &amp; ""' AND I='"" &amp; G$1 &amp; ""') label Count(A) ''""),0)"),8.0)</f>
        <v>8</v>
      </c>
      <c r="I3" s="122">
        <v>1.0</v>
      </c>
      <c r="J3" s="20">
        <f>IFERROR(__xludf.DUMMYFUNCTION("IFNA(QUERY('Extended Card Stats'!$A:$J,""select count(A) where (C="" &amp; $A$4 &amp; "") AND (G="" &amp; $I3 &amp; "") AND (B LIKE '%"" &amp; $A$6 &amp; ""%') label Count(A) ''""),0)"),19.0)</f>
        <v>19</v>
      </c>
      <c r="K3" s="20">
        <f>IFERROR(__xludf.DUMMYFUNCTION("IFNA(QUERY('Extended Card Stats'!$A:$J,""select count(A) where (C="" &amp; $A$4 &amp; "") AND (J="" &amp; $I3 &amp; "") AND (B LIKE '%"" &amp; $A$6 &amp; ""%') label Count(A) ''""),0)"),16.0)</f>
        <v>16</v>
      </c>
    </row>
    <row r="4">
      <c r="A4" s="123">
        <v>1.0</v>
      </c>
      <c r="C4" s="117" t="s">
        <v>986</v>
      </c>
      <c r="D4" s="118">
        <f>IFERROR(__xludf.DUMMYFUNCTION("IFNA(QUERY(Cards!$A:$I,""select count(A) where ("" &amp; IF($A$4=""*"",,""C="" &amp; $A$4 &amp; "" AND"") &amp; "" B LIKE '"" &amp; $C4 &amp; ""') label Count(A) ''""),0)"),36.0)</f>
        <v>36</v>
      </c>
      <c r="E4" s="118">
        <f>IFERROR(__xludf.DUMMYFUNCTION("IFNA(QUERY(Cards!$A:$I,""select count(A) where ("" &amp; IF($A$4=""*"","""",""C="" &amp; $A$4 &amp; "" AND"") &amp; "" B='"" &amp; $C4 &amp; ""' AND I='"" &amp; E$1 &amp; ""') label Count(A) ''""),0)"),18.0)</f>
        <v>18</v>
      </c>
      <c r="F4" s="118">
        <f>IFERROR(__xludf.DUMMYFUNCTION("IFNA(QUERY(Cards!$A:$I,""select count(A) where ("" &amp; IF($A$4=""*"","""",""C="" &amp; $A$4 &amp; "" AND"") &amp; "" B='"" &amp; $C4 &amp; ""' AND I='"" &amp; F$1 &amp; ""') label Count(A) ''""),0)"),10.0)</f>
        <v>10</v>
      </c>
      <c r="G4" s="119">
        <f>IFERROR(__xludf.DUMMYFUNCTION("IFNA(QUERY(Cards!$A:$I,""select count(A) where ("" &amp; IF($A$4=""*"","""",""C="" &amp; $A$4 &amp; "" AND"") &amp; "" B='"" &amp; $C4 &amp; ""' AND I='"" &amp; G$1 &amp; ""') label Count(A) ''""),0)"),8.0)</f>
        <v>8</v>
      </c>
      <c r="I4" s="122">
        <v>2.0</v>
      </c>
      <c r="J4" s="20">
        <f>IFERROR(__xludf.DUMMYFUNCTION("IFNA(QUERY('Extended Card Stats'!$A:$J,""select count(A) where (C="" &amp; $A$4 &amp; "") AND (G="" &amp; $I4 &amp; "") AND (B LIKE '%"" &amp; $A$6 &amp; ""%') label Count(A) ''""),0)"),56.0)</f>
        <v>56</v>
      </c>
      <c r="K4" s="20">
        <f>IFERROR(__xludf.DUMMYFUNCTION("IFNA(QUERY('Extended Card Stats'!$A:$J,""select count(A) where (C="" &amp; $A$4 &amp; "") AND (J="" &amp; $I4 &amp; "") AND (B LIKE '%"" &amp; $A$6 &amp; ""%') label Count(A) ''""),0)"),41.0)</f>
        <v>41</v>
      </c>
    </row>
    <row r="5">
      <c r="A5" s="124" t="s">
        <v>2116</v>
      </c>
      <c r="C5" s="125" t="s">
        <v>1444</v>
      </c>
      <c r="D5" s="118">
        <f>IFERROR(__xludf.DUMMYFUNCTION("IFNA(QUERY(Cards!$A:$I,""select count(A) where ("" &amp; IF($A$4=""*"",,""C="" &amp; $A$4 &amp; "" AND"") &amp; "" B LIKE '"" &amp; $C5 &amp; ""') label Count(A) ''""),0)"),36.0)</f>
        <v>36</v>
      </c>
      <c r="E5" s="118">
        <f>IFERROR(__xludf.DUMMYFUNCTION("IFNA(QUERY(Cards!$A:$I,""select count(A) where ("" &amp; IF($A$4=""*"","""",""C="" &amp; $A$4 &amp; "" AND"") &amp; "" B='"" &amp; $C5 &amp; ""' AND I='"" &amp; E$1 &amp; ""') label Count(A) ''""),0)"),18.0)</f>
        <v>18</v>
      </c>
      <c r="F5" s="118">
        <f>IFERROR(__xludf.DUMMYFUNCTION("IFNA(QUERY(Cards!$A:$I,""select count(A) where ("" &amp; IF($A$4=""*"","""",""C="" &amp; $A$4 &amp; "" AND"") &amp; "" B='"" &amp; $C5 &amp; ""' AND I='"" &amp; F$1 &amp; ""') label Count(A) ''""),0)"),10.0)</f>
        <v>10</v>
      </c>
      <c r="G5" s="119">
        <f>IFERROR(__xludf.DUMMYFUNCTION("IFNA(QUERY(Cards!$A:$I,""select count(A) where ("" &amp; IF($A$4=""*"","""",""C="" &amp; $A$4 &amp; "" AND"") &amp; "" B='"" &amp; $C5 &amp; ""' AND I='"" &amp; G$1 &amp; ""') label Count(A) ''""),0)"),8.0)</f>
        <v>8</v>
      </c>
      <c r="I5" s="122">
        <v>3.0</v>
      </c>
      <c r="J5" s="20">
        <f>IFERROR(__xludf.DUMMYFUNCTION("IFNA(QUERY('Extended Card Stats'!$A:$J,""select count(A) where (C="" &amp; $A$4 &amp; "") AND (G="" &amp; $I5 &amp; "") AND (B LIKE '%"" &amp; $A$6 &amp; ""%') label Count(A) ''""),0)"),48.0)</f>
        <v>48</v>
      </c>
      <c r="K5" s="20">
        <f>IFERROR(__xludf.DUMMYFUNCTION("IFNA(QUERY('Extended Card Stats'!$A:$J,""select count(A) where (C="" &amp; $A$4 &amp; "") AND (J="" &amp; $I5 &amp; "") AND (B LIKE '%"" &amp; $A$6 &amp; ""%') label Count(A) ''""),0)"),38.0)</f>
        <v>38</v>
      </c>
    </row>
    <row r="6">
      <c r="A6" s="126"/>
      <c r="C6" s="117" t="s">
        <v>1663</v>
      </c>
      <c r="D6" s="118">
        <f>IFERROR(__xludf.DUMMYFUNCTION("IFNA(QUERY(Cards!$A:$I,""select count(A) where ("" &amp; IF($A$4=""*"",,""C="" &amp; $A$4 &amp; "" AND"") &amp; "" B LIKE '"" &amp; $C6 &amp; ""') label Count(A) ''""),0)"),36.0)</f>
        <v>36</v>
      </c>
      <c r="E6" s="118">
        <f>IFERROR(__xludf.DUMMYFUNCTION("IFNA(QUERY(Cards!$A:$I,""select count(A) where ("" &amp; IF($A$4=""*"","""",""C="" &amp; $A$4 &amp; "" AND"") &amp; "" B='"" &amp; $C6 &amp; ""' AND I='"" &amp; E$1 &amp; ""') label Count(A) ''""),0)"),18.0)</f>
        <v>18</v>
      </c>
      <c r="F6" s="118">
        <f>IFERROR(__xludf.DUMMYFUNCTION("IFNA(QUERY(Cards!$A:$I,""select count(A) where ("" &amp; IF($A$4=""*"","""",""C="" &amp; $A$4 &amp; "" AND"") &amp; "" B='"" &amp; $C6 &amp; ""' AND I='"" &amp; F$1 &amp; ""') label Count(A) ''""),0)"),10.0)</f>
        <v>10</v>
      </c>
      <c r="G6" s="119">
        <f>IFERROR(__xludf.DUMMYFUNCTION("IFNA(QUERY(Cards!$A:$I,""select count(A) where ("" &amp; IF($A$4=""*"","""",""C="" &amp; $A$4 &amp; "" AND"") &amp; "" B='"" &amp; $C6 &amp; ""' AND I='"" &amp; G$1 &amp; ""') label Count(A) ''""),0)"),8.0)</f>
        <v>8</v>
      </c>
      <c r="I6" s="122">
        <v>4.0</v>
      </c>
      <c r="J6" s="20">
        <f>IFERROR(__xludf.DUMMYFUNCTION("IFNA(QUERY('Extended Card Stats'!$A:$J,""select count(A) where (C="" &amp; $A$4 &amp; "") AND (G="" &amp; $I6 &amp; "") AND (B LIKE '%"" &amp; $A$6 &amp; ""%') label Count(A) ''""),0)"),33.0)</f>
        <v>33</v>
      </c>
      <c r="K6" s="20">
        <f>IFERROR(__xludf.DUMMYFUNCTION("IFNA(QUERY('Extended Card Stats'!$A:$J,""select count(A) where (C="" &amp; $A$4 &amp; "") AND (J="" &amp; $I6 &amp; "") AND (B LIKE '%"" &amp; $A$6 &amp; ""%') label Count(A) ''""),0)"),52.0)</f>
        <v>52</v>
      </c>
    </row>
    <row r="7">
      <c r="A7" s="21"/>
      <c r="B7" s="127"/>
      <c r="C7" s="117" t="s">
        <v>2117</v>
      </c>
      <c r="D7" s="118">
        <f>IFERROR(__xludf.DUMMYFUNCTION("IFNA(QUERY(Cards!$A:$I,""select count(A) where ("" &amp; IF($A$4=""*"",,""C="" &amp; $A$4 &amp; "" AND"") &amp; "" B LIKE '') label Count(A) ''""),0)"),5.0)</f>
        <v>5</v>
      </c>
      <c r="E7" s="118">
        <f>IFERROR(__xludf.DUMMYFUNCTION("IFNA(QUERY(Cards!$A:$I,""select count(A) where ("" &amp; IF($A$4=""*"",,""C="" &amp; $A$4 &amp; "" AND"") &amp; "" B LIKE '' AND I='"" &amp; E$1 &amp; ""') label Count(A) ''""),0)"),2.0)</f>
        <v>2</v>
      </c>
      <c r="F7" s="118">
        <f>IFERROR(__xludf.DUMMYFUNCTION("IFNA(QUERY(Cards!$A:$I,""select count(A) where ("" &amp; IF($A$4=""*"",,""C="" &amp; $A$4 &amp; "" AND"") &amp; "" B LIKE '' AND I='"" &amp; F$1 &amp; ""') label Count(A) ''""),0)"),0.0)</f>
        <v>0</v>
      </c>
      <c r="G7" s="119">
        <f>IFERROR(__xludf.DUMMYFUNCTION("IFNA(QUERY(Cards!$A:$I,""select count(A) where ("" &amp; IF($A$4=""*"",,""C="" &amp; $A$4 &amp; "" AND"") &amp; "" B LIKE '' AND I='"" &amp; G$1 &amp; ""') label Count(A) ''""),0)"),3.0)</f>
        <v>3</v>
      </c>
      <c r="I7" s="122">
        <v>5.0</v>
      </c>
      <c r="J7" s="20">
        <f>IFERROR(__xludf.DUMMYFUNCTION("IFNA(QUERY('Extended Card Stats'!$A:$J,""select count(A) where (C="" &amp; $A$4 &amp; "") AND (G="" &amp; $I7 &amp; "") AND (B LIKE '%"" &amp; $A$6 &amp; ""%') label Count(A) ''""),0)"),21.0)</f>
        <v>21</v>
      </c>
      <c r="K7" s="20">
        <f>IFERROR(__xludf.DUMMYFUNCTION("IFNA(QUERY('Extended Card Stats'!$A:$J,""select count(A) where (C="" &amp; $A$4 &amp; "") AND (J="" &amp; $I7 &amp; "") AND (B LIKE '%"" &amp; $A$6 &amp; ""%') label Count(A) ''""),0)"),36.0)</f>
        <v>36</v>
      </c>
    </row>
    <row r="8">
      <c r="B8" s="127"/>
      <c r="C8" s="128" t="s">
        <v>2118</v>
      </c>
      <c r="D8" s="129">
        <f>IFERROR(__xludf.DUMMYFUNCTION("IFNA(QUERY(Cards!$A:$I,""select count(A) where ("" &amp; IF($A$4=""*"","""",""C="" &amp; $A$4 &amp; "" AND "") &amp; ""B LIKE '% %') label Count(A) ''""),0)"),30.0)</f>
        <v>30</v>
      </c>
      <c r="E8" s="129">
        <f>IFERROR(__xludf.DUMMYFUNCTION("IFNA(QUERY(Cards!$A:$I,""select count(A) where ("" &amp; IF($A$4=""*"",,""C="" &amp; $A$4 &amp; "" AND"") &amp; "" B LIKE '% %' AND I='"" &amp; E$1 &amp; ""') label Count(A) ''""),0)"),10.0)</f>
        <v>10</v>
      </c>
      <c r="F8" s="129">
        <f>IFERROR(__xludf.DUMMYFUNCTION("IFNA(QUERY(Cards!$A:$I,""select count(A) where ("" &amp; IF($A$4=""*"",,""C="" &amp; $A$4 &amp; "" AND"") &amp; "" B LIKE '% %' AND I='"" &amp; F$1 &amp; ""') label Count(A) ''""),0)"),10.0)</f>
        <v>10</v>
      </c>
      <c r="G8" s="130">
        <f>IFERROR(__xludf.DUMMYFUNCTION("IFNA(QUERY(Cards!$A:$I,""select count(A) where ("" &amp; IF($A$4=""*"",,""C="" &amp; $A$4 &amp; "" AND"") &amp; "" B LIKE '% %' AND I='"" &amp; G$1 &amp; ""') label Count(A) ''""),0)"),10.0)</f>
        <v>10</v>
      </c>
      <c r="I8" s="122">
        <v>6.0</v>
      </c>
      <c r="J8" s="20">
        <f>IFERROR(__xludf.DUMMYFUNCTION("IFNA(QUERY('Extended Card Stats'!$A:$J,""select count(A) where (C="" &amp; $A$4 &amp; "") AND (G="" &amp; $I8 &amp; "") AND (B LIKE '%"" &amp; $A$6 &amp; ""%') label Count(A) ''""),0)"),19.0)</f>
        <v>19</v>
      </c>
      <c r="K8" s="20">
        <f>IFERROR(__xludf.DUMMYFUNCTION("IFNA(QUERY('Extended Card Stats'!$A:$J,""select count(A) where (C="" &amp; $A$4 &amp; "") AND (J="" &amp; $I8 &amp; "") AND (B LIKE '%"" &amp; $A$6 &amp; ""%') label Count(A) ''""),0)"),22.0)</f>
        <v>22</v>
      </c>
    </row>
    <row r="9">
      <c r="B9" s="131" t="s">
        <v>2119</v>
      </c>
      <c r="C9" s="132" t="s">
        <v>338</v>
      </c>
      <c r="D9" s="133">
        <f>IFERROR(__xludf.DUMMYFUNCTION("IFNA(QUERY(Cards!$A:$I,""select count(A) where ("" &amp; IF($A$4=""*"",,""C="" &amp; $A$4 &amp; "" AND"") &amp; "" B LIKE '%"" &amp; $C9 &amp; ""%') label Count(A) ''""),0)"),3.0)</f>
        <v>3</v>
      </c>
      <c r="E9" s="134">
        <f>IFERROR(__xludf.DUMMYFUNCTION("IFNA(QUERY(Cards!$A:$I,""select count(A) where ("" &amp; IF($A$4=""*"",,""C="" &amp; $A$4 &amp; "" AND"") &amp; "" B LIKE '%"" &amp; $C9 &amp; ""%' AND I='"" &amp; E$1 &amp; ""') label Count(A) ''""),0)"),1.0)</f>
        <v>1</v>
      </c>
      <c r="F9" s="134">
        <f>IFERROR(__xludf.DUMMYFUNCTION("IFNA(QUERY(Cards!$A:$I,""select count(A) where ("" &amp; IF($A$4=""*"",,""C="" &amp; $A$4 &amp; "" AND"") &amp; "" B LIKE '%"" &amp; $C9 &amp; ""%' AND I='"" &amp; F$1 &amp; ""') label Count(A) ''""),0)"),1.0)</f>
        <v>1</v>
      </c>
      <c r="G9" s="135">
        <f>IFERROR(__xludf.DUMMYFUNCTION("IFNA(QUERY(Cards!$A:$I,""select count(A) where ("" &amp; IF($A$4=""*"",,""C="" &amp; $A$4 &amp; "" AND"") &amp; "" B LIKE '%"" &amp; $C9 &amp; ""%' AND I='"" &amp; G$1 &amp; ""') label Count(A) ''""),0)"),1.0)</f>
        <v>1</v>
      </c>
      <c r="I9" s="122">
        <v>7.0</v>
      </c>
      <c r="J9" s="20">
        <f>IFERROR(__xludf.DUMMYFUNCTION("IFNA(QUERY('Extended Card Stats'!$A:$J,""select count(A) where (C="" &amp; $A$4 &amp; "") AND (G="" &amp; $I9 &amp; "") AND (B LIKE '%"" &amp; $A$6 &amp; ""%') label Count(A) ''""),0)"),4.0)</f>
        <v>4</v>
      </c>
      <c r="K9" s="20">
        <f>IFERROR(__xludf.DUMMYFUNCTION("IFNA(QUERY('Extended Card Stats'!$A:$J,""select count(A) where (C="" &amp; $A$4 &amp; "") AND (J="" &amp; $I9 &amp; "") AND (B LIKE '%"" &amp; $A$6 &amp; ""%') label Count(A) ''""),0)"),7.0)</f>
        <v>7</v>
      </c>
    </row>
    <row r="10">
      <c r="B10" s="136" t="s">
        <v>2120</v>
      </c>
      <c r="C10" s="137" t="s">
        <v>1635</v>
      </c>
      <c r="D10" s="138">
        <f>IFERROR(__xludf.DUMMYFUNCTION("IFNA(QUERY(Cards!$A:$I,""select count(A) where ("" &amp; IF($A$4=""*"",,""C="" &amp; $A$4 &amp; "" AND"") &amp; "" B LIKE '%"" &amp; $C10 &amp; ""%') label Count(A) ''""),0)"),3.0)</f>
        <v>3</v>
      </c>
      <c r="E10" s="118">
        <f>IFERROR(__xludf.DUMMYFUNCTION("IFNA(QUERY(Cards!$A:$I,""select count(A) where ("" &amp; IF($A$4=""*"",,""C="" &amp; $A$4 &amp; "" AND"") &amp; "" B LIKE '%"" &amp; $C10 &amp; ""%' AND I='"" &amp; E$1 &amp; ""') label Count(A) ''""),0)"),1.0)</f>
        <v>1</v>
      </c>
      <c r="F10" s="118">
        <f>IFERROR(__xludf.DUMMYFUNCTION("IFNA(QUERY(Cards!$A:$I,""select count(A) where ("" &amp; IF($A$4=""*"",,""C="" &amp; $A$4 &amp; "" AND"") &amp; "" B LIKE '%"" &amp; $C10 &amp; ""%' AND I='"" &amp; F$1 &amp; ""') label Count(A) ''""),0)"),1.0)</f>
        <v>1</v>
      </c>
      <c r="G10" s="119">
        <f>IFERROR(__xludf.DUMMYFUNCTION("IFNA(QUERY(Cards!$A:$I,""select count(A) where ("" &amp; IF($A$4=""*"",,""C="" &amp; $A$4 &amp; "" AND"") &amp; "" B LIKE '%"" &amp; $C10 &amp; ""%' AND I='"" &amp; G$1 &amp; ""') label Count(A) ''""),0)"),1.0)</f>
        <v>1</v>
      </c>
      <c r="H10" s="139"/>
      <c r="I10" s="122">
        <v>8.0</v>
      </c>
      <c r="J10" s="20">
        <f>IFERROR(__xludf.DUMMYFUNCTION("IFNA(QUERY('Extended Card Stats'!$A:$J,""select count(A) where (C="" &amp; $A$4 &amp; "") AND (G="" &amp; $I10 &amp; "") AND (B LIKE '%"" &amp; $A$6 &amp; ""%') label Count(A) ''""),0)"),1.0)</f>
        <v>1</v>
      </c>
      <c r="K10" s="20">
        <f>IFERROR(__xludf.DUMMYFUNCTION("IFNA(QUERY('Extended Card Stats'!$A:$J,""select count(A) where (C="" &amp; $A$4 &amp; "") AND (J="" &amp; $I10 &amp; "") AND (B LIKE '%"" &amp; $A$6 &amp; ""%') label Count(A) ''""),0)"),0.0)</f>
        <v>0</v>
      </c>
    </row>
    <row r="11">
      <c r="B11" s="131" t="s">
        <v>2121</v>
      </c>
      <c r="C11" s="140" t="s">
        <v>843</v>
      </c>
      <c r="D11" s="138">
        <f>IFERROR(__xludf.DUMMYFUNCTION("IFNA(QUERY(Cards!$A:$I,""select count(A) where ("" &amp; IF($A$4=""*"",,""C="" &amp; $A$4 &amp; "" AND"") &amp; "" B LIKE '%"" &amp; $C11 &amp; ""%') label Count(A) ''""),0)"),3.0)</f>
        <v>3</v>
      </c>
      <c r="E11" s="118">
        <f>IFERROR(__xludf.DUMMYFUNCTION("IFNA(QUERY(Cards!$A:$I,""select count(A) where ("" &amp; IF($A$4=""*"",,""C="" &amp; $A$4 &amp; "" AND"") &amp; "" B LIKE '%"" &amp; $C11 &amp; ""%' AND I='"" &amp; E$1 &amp; ""') label Count(A) ''""),0)"),1.0)</f>
        <v>1</v>
      </c>
      <c r="F11" s="118">
        <f>IFERROR(__xludf.DUMMYFUNCTION("IFNA(QUERY(Cards!$A:$I,""select count(A) where ("" &amp; IF($A$4=""*"",,""C="" &amp; $A$4 &amp; "" AND"") &amp; "" B LIKE '%"" &amp; $C11 &amp; ""%' AND I='"" &amp; F$1 &amp; ""') label Count(A) ''""),0)"),1.0)</f>
        <v>1</v>
      </c>
      <c r="G11" s="119">
        <f>IFERROR(__xludf.DUMMYFUNCTION("IFNA(QUERY(Cards!$A:$I,""select count(A) where ("" &amp; IF($A$4=""*"",,""C="" &amp; $A$4 &amp; "" AND"") &amp; "" B LIKE '%"" &amp; $C11 &amp; ""%' AND I='"" &amp; G$1 &amp; ""') label Count(A) ''""),0)"),1.0)</f>
        <v>1</v>
      </c>
      <c r="I11" s="122">
        <v>9.0</v>
      </c>
      <c r="J11" s="20">
        <f>IFERROR(__xludf.DUMMYFUNCTION("IFNA(QUERY('Extended Card Stats'!$A:$J,""select count(A) where (C="" &amp; $A$4 &amp; "") AND (G="" &amp; $I11 &amp; "") AND (B LIKE '%"" &amp; $A$6 &amp; ""%') label Count(A) ''""),0)"),2.0)</f>
        <v>2</v>
      </c>
      <c r="K11" s="20">
        <f>IFERROR(__xludf.DUMMYFUNCTION("IFNA(QUERY('Extended Card Stats'!$A:$J,""select count(A) where (C="" &amp; $A$4 &amp; "") AND (J="" &amp; $I11 &amp; "") AND (B LIKE '%"" &amp; $A$6 &amp; ""%') label Count(A) ''""),0)"),0.0)</f>
        <v>0</v>
      </c>
    </row>
    <row r="12">
      <c r="B12" s="136" t="s">
        <v>2122</v>
      </c>
      <c r="C12" s="137" t="s">
        <v>308</v>
      </c>
      <c r="D12" s="138">
        <f>IFERROR(__xludf.DUMMYFUNCTION("IFNA(QUERY(Cards!$A:$I,""select count(A) where ("" &amp; IF($A$4=""*"",,""C="" &amp; $A$4 &amp; "" AND"") &amp; "" B LIKE '%"" &amp; $C12 &amp; ""%') label Count(A) ''""),0)"),3.0)</f>
        <v>3</v>
      </c>
      <c r="E12" s="118">
        <f>IFERROR(__xludf.DUMMYFUNCTION("IFNA(QUERY(Cards!$A:$I,""select count(A) where ("" &amp; IF($A$4=""*"",,""C="" &amp; $A$4 &amp; "" AND"") &amp; "" B LIKE '%"" &amp; $C12 &amp; ""%' AND I='"" &amp; E$1 &amp; ""') label Count(A) ''""),0)"),1.0)</f>
        <v>1</v>
      </c>
      <c r="F12" s="118">
        <f>IFERROR(__xludf.DUMMYFUNCTION("IFNA(QUERY(Cards!$A:$I,""select count(A) where ("" &amp; IF($A$4=""*"",,""C="" &amp; $A$4 &amp; "" AND"") &amp; "" B LIKE '%"" &amp; $C12 &amp; ""%' AND I='"" &amp; F$1 &amp; ""') label Count(A) ''""),0)"),1.0)</f>
        <v>1</v>
      </c>
      <c r="G12" s="119">
        <f>IFERROR(__xludf.DUMMYFUNCTION("IFNA(QUERY(Cards!$A:$I,""select count(A) where ("" &amp; IF($A$4=""*"",,""C="" &amp; $A$4 &amp; "" AND"") &amp; "" B LIKE '%"" &amp; $C12 &amp; ""%' AND I='"" &amp; G$1 &amp; ""') label Count(A) ''""),0)"),1.0)</f>
        <v>1</v>
      </c>
      <c r="I12" s="122">
        <v>10.0</v>
      </c>
      <c r="J12" s="20">
        <f>IFERROR(__xludf.DUMMYFUNCTION("IFNA(QUERY('Extended Card Stats'!$A:$J,""select count(A) where (C="" &amp; $A$4 &amp; "") AND (G="" &amp; $I12 &amp; "") AND (B LIKE '%"" &amp; $A$6 &amp; ""%') label Count(A) ''""),0)"),1.0)</f>
        <v>1</v>
      </c>
      <c r="K12" s="20">
        <f>IFERROR(__xludf.DUMMYFUNCTION("IFNA(QUERY('Extended Card Stats'!$A:$J,""select count(A) where (C="" &amp; $A$4 &amp; "") AND (J="" &amp; $I12 &amp; "") AND (B LIKE '%"" &amp; $A$6 &amp; ""%') label Count(A) ''""),0)"),0.0)</f>
        <v>0</v>
      </c>
    </row>
    <row r="13">
      <c r="B13" s="136" t="s">
        <v>2123</v>
      </c>
      <c r="C13" s="137" t="s">
        <v>912</v>
      </c>
      <c r="D13" s="138">
        <f>IFERROR(__xludf.DUMMYFUNCTION("IFNA(QUERY(Cards!$A:$I,""select count(A) where ("" &amp; IF($A$4=""*"",,""C="" &amp; $A$4 &amp; "" AND"") &amp; "" B LIKE '%"" &amp; $C13 &amp; ""%') label Count(A) ''""),0)"),3.0)</f>
        <v>3</v>
      </c>
      <c r="E13" s="118">
        <f>IFERROR(__xludf.DUMMYFUNCTION("IFNA(QUERY(Cards!$A:$I,""select count(A) where ("" &amp; IF($A$4=""*"",,""C="" &amp; $A$4 &amp; "" AND"") &amp; "" B LIKE '%"" &amp; $C13 &amp; ""%' AND I='"" &amp; E$1 &amp; ""') label Count(A) ''""),0)"),1.0)</f>
        <v>1</v>
      </c>
      <c r="F13" s="118">
        <f>IFERROR(__xludf.DUMMYFUNCTION("IFNA(QUERY(Cards!$A:$I,""select count(A) where ("" &amp; IF($A$4=""*"",,""C="" &amp; $A$4 &amp; "" AND"") &amp; "" B LIKE '%"" &amp; $C13 &amp; ""%' AND I='"" &amp; F$1 &amp; ""') label Count(A) ''""),0)"),1.0)</f>
        <v>1</v>
      </c>
      <c r="G13" s="119">
        <f>IFERROR(__xludf.DUMMYFUNCTION("IFNA(QUERY(Cards!$A:$I,""select count(A) where ("" &amp; IF($A$4=""*"",,""C="" &amp; $A$4 &amp; "" AND"") &amp; "" B LIKE '%"" &amp; $C13 &amp; ""%' AND I='"" &amp; G$1 &amp; ""') label Count(A) ''""),0)"),1.0)</f>
        <v>1</v>
      </c>
      <c r="I13" s="141" t="s">
        <v>2124</v>
      </c>
      <c r="J13" s="142">
        <f>ROUND(AVERAGE('Extended Card Stats'!G:G),2)</f>
        <v>3.24</v>
      </c>
      <c r="K13" s="142">
        <f>ROUND(AVERAGE('Extended Card Stats'!J:J),2)</f>
        <v>2.81</v>
      </c>
    </row>
    <row r="14">
      <c r="B14" s="136" t="s">
        <v>2125</v>
      </c>
      <c r="C14" s="137" t="s">
        <v>282</v>
      </c>
      <c r="D14" s="138">
        <f>IFERROR(__xludf.DUMMYFUNCTION("IFNA(QUERY(Cards!$A:$I,""select count(A) where ("" &amp; IF($A$4=""*"",,""C="" &amp; $A$4 &amp; "" AND"") &amp; "" B LIKE '%"" &amp; $C14 &amp; ""%') label Count(A) ''""),0)"),3.0)</f>
        <v>3</v>
      </c>
      <c r="E14" s="118">
        <f>IFERROR(__xludf.DUMMYFUNCTION("IFNA(QUERY(Cards!$A:$I,""select count(A) where ("" &amp; IF($A$4=""*"",,""C="" &amp; $A$4 &amp; "" AND"") &amp; "" B LIKE '%"" &amp; $C14 &amp; ""%' AND I='"" &amp; E$1 &amp; ""') label Count(A) ''""),0)"),1.0)</f>
        <v>1</v>
      </c>
      <c r="F14" s="118">
        <f>IFERROR(__xludf.DUMMYFUNCTION("IFNA(QUERY(Cards!$A:$I,""select count(A) where ("" &amp; IF($A$4=""*"",,""C="" &amp; $A$4 &amp; "" AND"") &amp; "" B LIKE '%"" &amp; $C14 &amp; ""%' AND I='"" &amp; F$1 &amp; ""') label Count(A) ''""),0)"),1.0)</f>
        <v>1</v>
      </c>
      <c r="G14" s="119">
        <f>IFERROR(__xludf.DUMMYFUNCTION("IFNA(QUERY(Cards!$A:$I,""select count(A) where ("" &amp; IF($A$4=""*"",,""C="" &amp; $A$4 &amp; "" AND"") &amp; "" B LIKE '%"" &amp; $C14 &amp; ""%' AND I='"" &amp; G$1 &amp; ""') label Count(A) ''""),0)"),1.0)</f>
        <v>1</v>
      </c>
    </row>
    <row r="15">
      <c r="B15" s="136" t="s">
        <v>2126</v>
      </c>
      <c r="C15" s="137" t="s">
        <v>258</v>
      </c>
      <c r="D15" s="138">
        <f>IFERROR(__xludf.DUMMYFUNCTION("IFNA(QUERY(Cards!$A:$I,""select count(A) where ("" &amp; IF($A$4=""*"",,""C="" &amp; $A$4 &amp; "" AND"") &amp; "" B LIKE '%"" &amp; $C15 &amp; ""%') label Count(A) ''""),0)"),3.0)</f>
        <v>3</v>
      </c>
      <c r="E15" s="118">
        <f>IFERROR(__xludf.DUMMYFUNCTION("IFNA(QUERY(Cards!$A:$I,""select count(A) where ("" &amp; IF($A$4=""*"",,""C="" &amp; $A$4 &amp; "" AND"") &amp; "" B LIKE '%"" &amp; $C15 &amp; ""%' AND I='"" &amp; E$1 &amp; ""') label Count(A) ''""),0)"),1.0)</f>
        <v>1</v>
      </c>
      <c r="F15" s="118">
        <f>IFERROR(__xludf.DUMMYFUNCTION("IFNA(QUERY(Cards!$A:$I,""select count(A) where ("" &amp; IF($A$4=""*"",,""C="" &amp; $A$4 &amp; "" AND"") &amp; "" B LIKE '%"" &amp; $C15 &amp; ""%' AND I='"" &amp; F$1 &amp; ""') label Count(A) ''""),0)"),1.0)</f>
        <v>1</v>
      </c>
      <c r="G15" s="119">
        <f>IFERROR(__xludf.DUMMYFUNCTION("IFNA(QUERY(Cards!$A:$I,""select count(A) where ("" &amp; IF($A$4=""*"",,""C="" &amp; $A$4 &amp; "" AND"") &amp; "" B LIKE '%"" &amp; $C15 &amp; ""%' AND I='"" &amp; G$1 &amp; ""') label Count(A) ''""),0)"),1.0)</f>
        <v>1</v>
      </c>
    </row>
    <row r="16">
      <c r="B16" s="136" t="s">
        <v>2127</v>
      </c>
      <c r="C16" s="137" t="s">
        <v>1312</v>
      </c>
      <c r="D16" s="138">
        <f>IFERROR(__xludf.DUMMYFUNCTION("IFNA(QUERY(Cards!$A:$I,""select count(A) where ("" &amp; IF($A$4=""*"",,""C="" &amp; $A$4 &amp; "" AND"") &amp; "" B LIKE '%"" &amp; $C16 &amp; ""%') label Count(A) ''""),0)"),3.0)</f>
        <v>3</v>
      </c>
      <c r="E16" s="118">
        <f>IFERROR(__xludf.DUMMYFUNCTION("IFNA(QUERY(Cards!$A:$I,""select count(A) where ("" &amp; IF($A$4=""*"",,""C="" &amp; $A$4 &amp; "" AND"") &amp; "" B LIKE '%"" &amp; $C16 &amp; ""%' AND I='"" &amp; E$1 &amp; ""') label Count(A) ''""),0)"),1.0)</f>
        <v>1</v>
      </c>
      <c r="F16" s="118">
        <f>IFERROR(__xludf.DUMMYFUNCTION("IFNA(QUERY(Cards!$A:$I,""select count(A) where ("" &amp; IF($A$4=""*"",,""C="" &amp; $A$4 &amp; "" AND"") &amp; "" B LIKE '%"" &amp; $C16 &amp; ""%' AND I='"" &amp; F$1 &amp; ""') label Count(A) ''""),0)"),1.0)</f>
        <v>1</v>
      </c>
      <c r="G16" s="119">
        <f>IFERROR(__xludf.DUMMYFUNCTION("IFNA(QUERY(Cards!$A:$I,""select count(A) where ("" &amp; IF($A$4=""*"",,""C="" &amp; $A$4 &amp; "" AND"") &amp; "" B LIKE '%"" &amp; $C16 &amp; ""%' AND I='"" &amp; G$1 &amp; ""') label Count(A) ''""),0)"),1.0)</f>
        <v>1</v>
      </c>
    </row>
    <row r="17">
      <c r="B17" s="136" t="s">
        <v>2128</v>
      </c>
      <c r="C17" s="137" t="s">
        <v>866</v>
      </c>
      <c r="D17" s="138">
        <f>IFERROR(__xludf.DUMMYFUNCTION("IFNA(QUERY(Cards!$A:$I,""select count(A) where ("" &amp; IF($A$4=""*"",,""C="" &amp; $A$4 &amp; "" AND"") &amp; "" B LIKE '%"" &amp; $C17 &amp; ""%') label Count(A) ''""),0)"),3.0)</f>
        <v>3</v>
      </c>
      <c r="E17" s="118">
        <f>IFERROR(__xludf.DUMMYFUNCTION("IFNA(QUERY(Cards!$A:$I,""select count(A) where ("" &amp; IF($A$4=""*"",,""C="" &amp; $A$4 &amp; "" AND"") &amp; "" B LIKE '%"" &amp; $C17 &amp; ""%' AND I='"" &amp; E$1 &amp; ""') label Count(A) ''""),0)"),1.0)</f>
        <v>1</v>
      </c>
      <c r="F17" s="118">
        <f>IFERROR(__xludf.DUMMYFUNCTION("IFNA(QUERY(Cards!$A:$I,""select count(A) where ("" &amp; IF($A$4=""*"",,""C="" &amp; $A$4 &amp; "" AND"") &amp; "" B LIKE '%"" &amp; $C17 &amp; ""%' AND I='"" &amp; F$1 &amp; ""') label Count(A) ''""),0)"),1.0)</f>
        <v>1</v>
      </c>
      <c r="G17" s="119">
        <f>IFERROR(__xludf.DUMMYFUNCTION("IFNA(QUERY(Cards!$A:$I,""select count(A) where ("" &amp; IF($A$4=""*"",,""C="" &amp; $A$4 &amp; "" AND"") &amp; "" B LIKE '%"" &amp; $C17 &amp; ""%' AND I='"" &amp; G$1 &amp; ""') label Count(A) ''""),0)"),1.0)</f>
        <v>1</v>
      </c>
    </row>
    <row r="18">
      <c r="B18" s="143" t="s">
        <v>2129</v>
      </c>
      <c r="C18" s="144" t="s">
        <v>1372</v>
      </c>
      <c r="D18" s="145">
        <f>IFERROR(__xludf.DUMMYFUNCTION("IFNA(QUERY(Cards!$A:$I,""select count(A) where ("" &amp; IF($A$4=""*"",,""C="" &amp; $A$4 &amp; "" AND"") &amp; "" B LIKE '%"" &amp; $C18 &amp; ""%') label Count(A) ''""),0)"),3.0)</f>
        <v>3</v>
      </c>
      <c r="E18" s="146">
        <f>IFERROR(__xludf.DUMMYFUNCTION("IFNA(QUERY(Cards!$A:$I,""select count(A) where ("" &amp; IF($A$4=""*"",,""C="" &amp; $A$4 &amp; "" AND"") &amp; "" B LIKE '%"" &amp; $C18 &amp; ""%' AND I='"" &amp; E$1 &amp; ""') label Count(A) ''""),0)"),1.0)</f>
        <v>1</v>
      </c>
      <c r="F18" s="146">
        <f>IFERROR(__xludf.DUMMYFUNCTION("IFNA(QUERY(Cards!$A:$I,""select count(A) where ("" &amp; IF($A$4=""*"",,""C="" &amp; $A$4 &amp; "" AND"") &amp; "" B LIKE '%"" &amp; $C18 &amp; ""%' AND I='"" &amp; F$1 &amp; ""') label Count(A) ''""),0)"),1.0)</f>
        <v>1</v>
      </c>
      <c r="G18" s="147">
        <f>IFERROR(__xludf.DUMMYFUNCTION("IFNA(QUERY(Cards!$A:$I,""select count(A) where ("" &amp; IF($A$4=""*"",,""C="" &amp; $A$4 &amp; "" AND"") &amp; "" B LIKE '%"" &amp; $C18 &amp; ""%' AND I='"" &amp; G$1 &amp; ""') label Count(A) ''""),0)"),1.0)</f>
        <v>1</v>
      </c>
    </row>
    <row r="20">
      <c r="B20" s="148" t="s">
        <v>2130</v>
      </c>
      <c r="C20" s="149"/>
      <c r="D20" s="150">
        <f>IFERROR(__xludf.DUMMYFUNCTION("IFNA(QUERY(Cards!$A:$I,""select count(A) where (C="" &amp; $A$4 &amp; "") label Count(A) ''""),0)"),215.0)</f>
        <v>215</v>
      </c>
      <c r="E20" s="150">
        <f>IFERROR(__xludf.DUMMYFUNCTION("IFNA(QUERY(Cards!$A:$I,""select count(A) where (C="" &amp; $A$4 &amp; "" AND I='"" &amp; E$1 &amp; ""') label Count(A) ''""),0)"),102.0)</f>
        <v>102</v>
      </c>
      <c r="F20" s="150">
        <f>IFERROR(__xludf.DUMMYFUNCTION("IFNA(QUERY(Cards!$A:$I,""select count(A) where (C="" &amp; $A$4 &amp; "" AND I='"" &amp; F$1 &amp; ""') label Count(A) ''""),0)"),60.0)</f>
        <v>60</v>
      </c>
      <c r="G20" s="151">
        <f>IFERROR(__xludf.DUMMYFUNCTION("IFNA(QUERY(Cards!$A:$I,""select count(A) where (C="" &amp; $A$4 &amp; "" AND I='"" &amp; G$1 &amp; ""') label Count(A) ''""),0)"),53.0)</f>
        <v>53</v>
      </c>
      <c r="I20" s="152"/>
      <c r="J20" s="153" t="s">
        <v>2131</v>
      </c>
      <c r="K20" s="154" t="s">
        <v>2132</v>
      </c>
      <c r="L20" s="155" t="s">
        <v>2133</v>
      </c>
      <c r="M20" s="156" t="s">
        <v>2134</v>
      </c>
      <c r="N20" s="157" t="s">
        <v>2135</v>
      </c>
      <c r="O20" s="158" t="s">
        <v>2136</v>
      </c>
      <c r="Q20" s="148" t="s">
        <v>2137</v>
      </c>
      <c r="R20" s="159" t="s">
        <v>26</v>
      </c>
      <c r="S20" s="159" t="s">
        <v>62</v>
      </c>
      <c r="T20" s="159" t="s">
        <v>32</v>
      </c>
      <c r="U20" s="160" t="s">
        <v>2138</v>
      </c>
      <c r="V20" s="161"/>
    </row>
    <row r="21">
      <c r="B21" s="162">
        <f>3*$E$20 + 2*$F$20 + $G$20</f>
        <v>479</v>
      </c>
      <c r="C21" s="163"/>
      <c r="D21" s="164">
        <v>1.0</v>
      </c>
      <c r="E21" s="165" t="str">
        <f t="shared" ref="E21:G21" si="1">ROUND(E$20/$D$20*100,2) &amp; "%"</f>
        <v>47,44%</v>
      </c>
      <c r="F21" s="165" t="str">
        <f t="shared" si="1"/>
        <v>27,91%</v>
      </c>
      <c r="G21" s="166" t="str">
        <f t="shared" si="1"/>
        <v>24,65%</v>
      </c>
      <c r="I21" s="167" t="str">
        <f>IFERROR(__xludf.DUMMYFUNCTION("QUERY(UNIQUE(FLATTEN(MAP(UNIQUE(IFNA(QUERY(Cards!$A$2:$I5474,""select D where (C="" &amp; $A$4 &amp; "")"")),""""),LAMBDA(x,(SPLIT(x,"" "")))))),""SELECT * WHERE (Col1 IS NOT NULL) AND (Col1 matches '^\w+$')"")"),"Angel")</f>
        <v>Angel</v>
      </c>
      <c r="J21" s="168">
        <f>IFERROR(__xludf.DUMMYFUNCTION("IFNA(QUERY(Cards!$A:$I,""select count(A) where (C="" &amp; $A$4 &amp; "" AND D LIKE '%"" &amp; $I21 &amp; ""%') label Count(A) ''""),0)"),25.0)</f>
        <v>25</v>
      </c>
      <c r="K21" s="169">
        <f>IFERROR(__xludf.DUMMYFUNCTION("IFNA(QUERY(Cards!$A:$I,""select count(A) where (C="" &amp; $A$4 &amp; "" AND D LIKE '%"" &amp; $I21 &amp; ""%' AND B LIKE '%"" &amp; REGEXEXTRACT(K$20,""[^#\s]+"") &amp; ""%') label Count(A) ''""),0)"),19.0)</f>
        <v>19</v>
      </c>
      <c r="L21" s="169">
        <f>IFERROR(__xludf.DUMMYFUNCTION("IFNA(QUERY(Cards!$A:$I,""select count(A) where (C="" &amp; $A$4 &amp; "" AND D LIKE '%"" &amp; $I21 &amp; ""%' AND B LIKE '%"" &amp; REGEXEXTRACT(L$20,""[^#\s]+"") &amp; ""%') label Count(A) ''""),0)"),2.0)</f>
        <v>2</v>
      </c>
      <c r="M21" s="169">
        <f>IFERROR(__xludf.DUMMYFUNCTION("IFNA(QUERY(Cards!$A:$I,""select count(A) where (C="" &amp; $A$4 &amp; "" AND D LIKE '%"" &amp; $I21 &amp; ""%' AND B LIKE '%"" &amp; REGEXEXTRACT(M$20,""[^#\s]+"") &amp; ""%') label Count(A) ''""),0)"),2.0)</f>
        <v>2</v>
      </c>
      <c r="N21" s="169">
        <f>IFERROR(__xludf.DUMMYFUNCTION("IFNA(QUERY(Cards!$A:$I,""select count(A) where (C="" &amp; $A$4 &amp; "" AND D LIKE '%"" &amp; $I21 &amp; ""%' AND B LIKE '%"" &amp; REGEXEXTRACT(N$20,""[^#\s]+"") &amp; ""%') label Count(A) ''""),0)"),3.0)</f>
        <v>3</v>
      </c>
      <c r="O21" s="170">
        <f>IFERROR(__xludf.DUMMYFUNCTION("IFNA(QUERY(Cards!$A:$I,""select count(A) where (C="" &amp; $A$4 &amp; "" AND D LIKE '%"" &amp; $I21 &amp; ""%' AND B LIKE '%"" &amp; REGEXEXTRACT(O$20,""[^#\s]+"") &amp; ""%') label Count(A) ''""),0)"),4.0)</f>
        <v>4</v>
      </c>
      <c r="Q21" s="171" t="str">
        <f>IFERROR(__xludf.DUMMYFUNCTION("QUERY(UNIQUE(FLATTEN(MAP(UNIQUE(IFNA(QUERY(Cards!$A$2:$I5474,""select D where (C="" &amp; $A$4 &amp; "")"")),""""),LAMBDA(x,(SPLIT(x,"" "")))))),""SELECT * WHERE (Col1 IS NOT NULL) AND (Col1 matches '^\w+$')"")"),"Angel")</f>
        <v>Angel</v>
      </c>
      <c r="R21" s="118">
        <f>IFERROR(__xludf.DUMMYFUNCTION("IF(ISBLANK($Q21),"""",IFNA(QUERY(Cards!$A:$I,""select count(A) where (C="" &amp; $A$4 &amp; "" AND D LIKE '%"" &amp; $Q21 &amp; ""%' AND I='"" &amp; R$20 &amp; ""') label Count(A) ''""),0))"),10.0)</f>
        <v>10</v>
      </c>
      <c r="S21" s="118">
        <f>IFERROR(__xludf.DUMMYFUNCTION("IF(ISBLANK($Q21),"""",IFNA(QUERY(Cards!$A:$I,""select count(A) where (C="" &amp; $A$4 &amp; "" AND D LIKE '%"" &amp; $Q21 &amp; ""%' AND I='"" &amp; S$20 &amp; ""') label Count(A) ''""),0))"),6.0)</f>
        <v>6</v>
      </c>
      <c r="T21" s="118">
        <f>IFERROR(__xludf.DUMMYFUNCTION("IF(ISBLANK($Q21),"""",IFNA(QUERY(Cards!$A:$I,""select count(A) where (C="" &amp; $A$4 &amp; "" AND D LIKE '%"" &amp; $Q21 &amp; ""%' AND I='"" &amp; T$20 &amp; ""') label Count(A) ''""),0))"),9.0)</f>
        <v>9</v>
      </c>
      <c r="U21" s="172">
        <f t="shared" ref="U21:U35" si="2">IF(ISBLANK($Q21),"",SUM($R21:$T21))</f>
        <v>25</v>
      </c>
      <c r="V21" s="173">
        <f t="shared" ref="V21:V35" si="3">IF(ISBLANK($Q21),"",($U21/$A$2))</f>
        <v>0.1162790698</v>
      </c>
    </row>
    <row r="22">
      <c r="I22" s="174" t="str">
        <f>IFERROR(__xludf.DUMMYFUNCTION("""COMPUTED_VALUE"""),"Warrior")</f>
        <v>Warrior</v>
      </c>
      <c r="J22" s="168">
        <f>IFERROR(__xludf.DUMMYFUNCTION("IFNA(QUERY(Cards!$A:$I,""select count(A) where (C="" &amp; $A$4 &amp; "" AND D LIKE '%"" &amp; $I22 &amp; ""%') label Count(A) ''""),0)"),29.0)</f>
        <v>29</v>
      </c>
      <c r="K22" s="169">
        <f>IFERROR(__xludf.DUMMYFUNCTION("IFNA(QUERY(Cards!$A:$I,""select count(A) where (C="" &amp; $A$4 &amp; "" AND D LIKE '%"" &amp; $I22 &amp; ""%' AND B LIKE '%"" &amp; REGEXEXTRACT(K$20,""[^#\s]+"") &amp; ""%') label Count(A) ''""),0)"),7.0)</f>
        <v>7</v>
      </c>
      <c r="L22" s="169">
        <f>IFERROR(__xludf.DUMMYFUNCTION("IFNA(QUERY(Cards!$A:$I,""select count(A) where (C="" &amp; $A$4 &amp; "" AND D LIKE '%"" &amp; $I22 &amp; ""%' AND B LIKE '%"" &amp; REGEXEXTRACT(L$20,""[^#\s]+"") &amp; ""%') label Count(A) ''""),0)"),5.0)</f>
        <v>5</v>
      </c>
      <c r="M22" s="169">
        <f>IFERROR(__xludf.DUMMYFUNCTION("IFNA(QUERY(Cards!$A:$I,""select count(A) where (C="" &amp; $A$4 &amp; "" AND D LIKE '%"" &amp; $I22 &amp; ""%' AND B LIKE '%"" &amp; REGEXEXTRACT(M$20,""[^#\s]+"") &amp; ""%') label Count(A) ''""),0)"),4.0)</f>
        <v>4</v>
      </c>
      <c r="N22" s="169">
        <f>IFERROR(__xludf.DUMMYFUNCTION("IFNA(QUERY(Cards!$A:$I,""select count(A) where (C="" &amp; $A$4 &amp; "" AND D LIKE '%"" &amp; $I22 &amp; ""%' AND B LIKE '%"" &amp; REGEXEXTRACT(N$20,""[^#\s]+"") &amp; ""%') label Count(A) ''""),0)"),16.0)</f>
        <v>16</v>
      </c>
      <c r="O22" s="170">
        <f>IFERROR(__xludf.DUMMYFUNCTION("IFNA(QUERY(Cards!$A:$I,""select count(A) where (C="" &amp; $A$4 &amp; "" AND D LIKE '%"" &amp; $I22 &amp; ""%' AND B LIKE '%"" &amp; REGEXEXTRACT(O$20,""[^#\s]+"") &amp; ""%') label Count(A) ''""),0)"),3.0)</f>
        <v>3</v>
      </c>
      <c r="Q22" s="171" t="str">
        <f>IFERROR(__xludf.DUMMYFUNCTION("""COMPUTED_VALUE"""),"Warrior")</f>
        <v>Warrior</v>
      </c>
      <c r="R22" s="118">
        <f>IFERROR(__xludf.DUMMYFUNCTION("IF(ISBLANK($Q22),"""",IFNA(QUERY(Cards!$A:$I,""select count(A) where (C="" &amp; $A$4 &amp; "" AND D LIKE '%"" &amp; $Q22 &amp; ""%' AND I='"" &amp; R$20 &amp; ""') label Count(A) ''""),0))"),16.0)</f>
        <v>16</v>
      </c>
      <c r="S22" s="118">
        <f>IFERROR(__xludf.DUMMYFUNCTION("IF(ISBLANK($Q22),"""",IFNA(QUERY(Cards!$A:$I,""select count(A) where (C="" &amp; $A$4 &amp; "" AND D LIKE '%"" &amp; $Q22 &amp; ""%' AND I='"" &amp; S$20 &amp; ""') label Count(A) ''""),0))"),6.0)</f>
        <v>6</v>
      </c>
      <c r="T22" s="118">
        <f>IFERROR(__xludf.DUMMYFUNCTION("IF(ISBLANK($Q22),"""",IFNA(QUERY(Cards!$A:$I,""select count(A) where (C="" &amp; $A$4 &amp; "" AND D LIKE '%"" &amp; $Q22 &amp; ""%' AND I='"" &amp; T$20 &amp; ""') label Count(A) ''""),0))"),7.0)</f>
        <v>7</v>
      </c>
      <c r="U22" s="172">
        <f t="shared" si="2"/>
        <v>29</v>
      </c>
      <c r="V22" s="173">
        <f t="shared" si="3"/>
        <v>0.1348837209</v>
      </c>
    </row>
    <row r="23">
      <c r="I23" s="174" t="str">
        <f>IFERROR(__xludf.DUMMYFUNCTION("""COMPUTED_VALUE"""),"Construct")</f>
        <v>Construct</v>
      </c>
      <c r="J23" s="168">
        <f>IFERROR(__xludf.DUMMYFUNCTION("IFNA(QUERY(Cards!$A:$I,""select count(A) where (C="" &amp; $A$4 &amp; "" AND D LIKE '%"" &amp; $I23 &amp; ""%') label Count(A) ''""),0)"),33.0)</f>
        <v>33</v>
      </c>
      <c r="K23" s="169">
        <f>IFERROR(__xludf.DUMMYFUNCTION("IFNA(QUERY(Cards!$A:$I,""select count(A) where (C="" &amp; $A$4 &amp; "" AND D LIKE '%"" &amp; $I23 &amp; ""%' AND B LIKE '%"" &amp; REGEXEXTRACT(K$20,""[^#\s]+"") &amp; ""%') label Count(A) ''""),0)"),15.0)</f>
        <v>15</v>
      </c>
      <c r="L23" s="169">
        <f>IFERROR(__xludf.DUMMYFUNCTION("IFNA(QUERY(Cards!$A:$I,""select count(A) where (C="" &amp; $A$4 &amp; "" AND D LIKE '%"" &amp; $I23 &amp; ""%' AND B LIKE '%"" &amp; REGEXEXTRACT(L$20,""[^#\s]+"") &amp; ""%') label Count(A) ''""),0)"),3.0)</f>
        <v>3</v>
      </c>
      <c r="M23" s="169">
        <f>IFERROR(__xludf.DUMMYFUNCTION("IFNA(QUERY(Cards!$A:$I,""select count(A) where (C="" &amp; $A$4 &amp; "" AND D LIKE '%"" &amp; $I23 &amp; ""%' AND B LIKE '%"" &amp; REGEXEXTRACT(M$20,""[^#\s]+"") &amp; ""%') label Count(A) ''""),0)"),2.0)</f>
        <v>2</v>
      </c>
      <c r="N23" s="169">
        <f>IFERROR(__xludf.DUMMYFUNCTION("IFNA(QUERY(Cards!$A:$I,""select count(A) where (C="" &amp; $A$4 &amp; "" AND D LIKE '%"" &amp; $I23 &amp; ""%' AND B LIKE '%"" &amp; REGEXEXTRACT(N$20,""[^#\s]+"") &amp; ""%') label Count(A) ''""),0)"),9.0)</f>
        <v>9</v>
      </c>
      <c r="O23" s="170">
        <f>IFERROR(__xludf.DUMMYFUNCTION("IFNA(QUERY(Cards!$A:$I,""select count(A) where (C="" &amp; $A$4 &amp; "" AND D LIKE '%"" &amp; $I23 &amp; ""%' AND B LIKE '%"" &amp; REGEXEXTRACT(O$20,""[^#\s]+"") &amp; ""%') label Count(A) ''""),0)"),3.0)</f>
        <v>3</v>
      </c>
      <c r="Q23" s="171" t="str">
        <f>IFERROR(__xludf.DUMMYFUNCTION("""COMPUTED_VALUE"""),"Construct")</f>
        <v>Construct</v>
      </c>
      <c r="R23" s="118">
        <f>IFERROR(__xludf.DUMMYFUNCTION("IF(ISBLANK($Q23),"""",IFNA(QUERY(Cards!$A:$I,""select count(A) where (C="" &amp; $A$4 &amp; "" AND D LIKE '%"" &amp; $Q23 &amp; ""%' AND I='"" &amp; R$20 &amp; ""') label Count(A) ''""),0))"),17.0)</f>
        <v>17</v>
      </c>
      <c r="S23" s="118">
        <f>IFERROR(__xludf.DUMMYFUNCTION("IF(ISBLANK($Q23),"""",IFNA(QUERY(Cards!$A:$I,""select count(A) where (C="" &amp; $A$4 &amp; "" AND D LIKE '%"" &amp; $Q23 &amp; ""%' AND I='"" &amp; S$20 &amp; ""') label Count(A) ''""),0))"),10.0)</f>
        <v>10</v>
      </c>
      <c r="T23" s="118">
        <f>IFERROR(__xludf.DUMMYFUNCTION("IF(ISBLANK($Q23),"""",IFNA(QUERY(Cards!$A:$I,""select count(A) where (C="" &amp; $A$4 &amp; "" AND D LIKE '%"" &amp; $Q23 &amp; ""%' AND I='"" &amp; T$20 &amp; ""') label Count(A) ''""),0))"),6.0)</f>
        <v>6</v>
      </c>
      <c r="U23" s="172">
        <f t="shared" si="2"/>
        <v>33</v>
      </c>
      <c r="V23" s="173">
        <f t="shared" si="3"/>
        <v>0.1534883721</v>
      </c>
    </row>
    <row r="24">
      <c r="B24" s="148" t="s">
        <v>2139</v>
      </c>
      <c r="C24" s="159" t="s">
        <v>26</v>
      </c>
      <c r="D24" s="159" t="s">
        <v>62</v>
      </c>
      <c r="E24" s="159" t="s">
        <v>32</v>
      </c>
      <c r="F24" s="160" t="s">
        <v>2138</v>
      </c>
      <c r="G24" s="175" t="s">
        <v>2140</v>
      </c>
      <c r="I24" s="174" t="str">
        <f>IFERROR(__xludf.DUMMYFUNCTION("""COMPUTED_VALUE"""),"Dragon")</f>
        <v>Dragon</v>
      </c>
      <c r="J24" s="168">
        <f>IFERROR(__xludf.DUMMYFUNCTION("IFNA(QUERY(Cards!$A:$I,""select count(A) where (C="" &amp; $A$4 &amp; "" AND D LIKE '%"" &amp; $I24 &amp; ""%') label Count(A) ''""),0)"),27.0)</f>
        <v>27</v>
      </c>
      <c r="K24" s="169">
        <f>IFERROR(__xludf.DUMMYFUNCTION("IFNA(QUERY(Cards!$A:$I,""select count(A) where (C="" &amp; $A$4 &amp; "" AND D LIKE '%"" &amp; $I24 &amp; ""%' AND B LIKE '%"" &amp; REGEXEXTRACT(K$20,""[^#\s]+"") &amp; ""%') label Count(A) ''""),0)"),4.0)</f>
        <v>4</v>
      </c>
      <c r="L24" s="169">
        <f>IFERROR(__xludf.DUMMYFUNCTION("IFNA(QUERY(Cards!$A:$I,""select count(A) where (C="" &amp; $A$4 &amp; "" AND D LIKE '%"" &amp; $I24 &amp; ""%' AND B LIKE '%"" &amp; REGEXEXTRACT(L$20,""[^#\s]+"") &amp; ""%') label Count(A) ''""),0)"),3.0)</f>
        <v>3</v>
      </c>
      <c r="M24" s="169">
        <f>IFERROR(__xludf.DUMMYFUNCTION("IFNA(QUERY(Cards!$A:$I,""select count(A) where (C="" &amp; $A$4 &amp; "" AND D LIKE '%"" &amp; $I24 &amp; ""%' AND B LIKE '%"" &amp; REGEXEXTRACT(M$20,""[^#\s]+"") &amp; ""%') label Count(A) ''""),0)"),19.0)</f>
        <v>19</v>
      </c>
      <c r="N24" s="169">
        <f>IFERROR(__xludf.DUMMYFUNCTION("IFNA(QUERY(Cards!$A:$I,""select count(A) where (C="" &amp; $A$4 &amp; "" AND D LIKE '%"" &amp; $I24 &amp; ""%' AND B LIKE '%"" &amp; REGEXEXTRACT(N$20,""[^#\s]+"") &amp; ""%') label Count(A) ''""),0)"),3.0)</f>
        <v>3</v>
      </c>
      <c r="O24" s="170">
        <f>IFERROR(__xludf.DUMMYFUNCTION("IFNA(QUERY(Cards!$A:$I,""select count(A) where (C="" &amp; $A$4 &amp; "" AND D LIKE '%"" &amp; $I24 &amp; ""%' AND B LIKE '%"" &amp; REGEXEXTRACT(O$20,""[^#\s]+"") &amp; ""%') label Count(A) ''""),0)"),3.0)</f>
        <v>3</v>
      </c>
      <c r="Q24" s="171" t="str">
        <f>IFERROR(__xludf.DUMMYFUNCTION("""COMPUTED_VALUE"""),"Dragon")</f>
        <v>Dragon</v>
      </c>
      <c r="R24" s="118">
        <f>IFERROR(__xludf.DUMMYFUNCTION("IF(ISBLANK($Q24),"""",IFNA(QUERY(Cards!$A:$I,""select count(A) where (C="" &amp; $A$4 &amp; "" AND D LIKE '%"" &amp; $Q24 &amp; ""%' AND I='"" &amp; R$20 &amp; ""') label Count(A) ''""),0))"),13.0)</f>
        <v>13</v>
      </c>
      <c r="S24" s="118">
        <f>IFERROR(__xludf.DUMMYFUNCTION("IF(ISBLANK($Q24),"""",IFNA(QUERY(Cards!$A:$I,""select count(A) where (C="" &amp; $A$4 &amp; "" AND D LIKE '%"" &amp; $Q24 &amp; ""%' AND I='"" &amp; S$20 &amp; ""') label Count(A) ''""),0))"),6.0)</f>
        <v>6</v>
      </c>
      <c r="T24" s="118">
        <f>IFERROR(__xludf.DUMMYFUNCTION("IF(ISBLANK($Q24),"""",IFNA(QUERY(Cards!$A:$I,""select count(A) where (C="" &amp; $A$4 &amp; "" AND D LIKE '%"" &amp; $Q24 &amp; ""%' AND I='"" &amp; T$20 &amp; ""') label Count(A) ''""),0))"),8.0)</f>
        <v>8</v>
      </c>
      <c r="U24" s="172">
        <f t="shared" si="2"/>
        <v>27</v>
      </c>
      <c r="V24" s="173">
        <f t="shared" si="3"/>
        <v>0.1255813953</v>
      </c>
    </row>
    <row r="25">
      <c r="B25" s="127" t="str">
        <f>IFERROR(__xludf.DUMMYFUNCTION("UNIQUE(Metadata!$A$2:$A5474)"),"Divine")</f>
        <v>Divine</v>
      </c>
      <c r="C25" s="118">
        <f>IFERROR(__xludf.DUMMYFUNCTION("IFNA(QUERY('Extended Card Stats'!$A:$K,""select count(A) where (C="" &amp; $A$4 &amp; "" AND K LIKE '%"" &amp; $B25 &amp; ""%' AND I='"" &amp; C$24 &amp; ""') label Count(A) ''""),0)"),3.0)</f>
        <v>3</v>
      </c>
      <c r="D25" s="118">
        <f>IFERROR(__xludf.DUMMYFUNCTION("IFNA(QUERY('Extended Card Stats'!$A:$K,""select count(A) where (C="" &amp; $A$4 &amp; "" AND K LIKE '%"" &amp; $B25 &amp; ""%' AND I='"" &amp; D$24 &amp; ""') label Count(A) ''""),0)"),1.0)</f>
        <v>1</v>
      </c>
      <c r="E25" s="118">
        <f>IFERROR(__xludf.DUMMYFUNCTION("IFNA(QUERY('Extended Card Stats'!$A:$K,""select count(A) where (C="" &amp; $A$4 &amp; "" AND K LIKE '%"" &amp; $B25 &amp; ""%' AND I='"" &amp; E$24 &amp; ""') label Count(A) ''""),0)"),1.0)</f>
        <v>1</v>
      </c>
      <c r="F25" s="172">
        <f t="shared" ref="F25:F37" si="4">SUM($C25:$E25)</f>
        <v>5</v>
      </c>
      <c r="G25" s="173">
        <f t="shared" ref="G25:G37" si="5">($F25/$A$2)</f>
        <v>0.02325581395</v>
      </c>
      <c r="I25" s="174" t="str">
        <f>IFERROR(__xludf.DUMMYFUNCTION("""COMPUTED_VALUE"""),"Undead")</f>
        <v>Undead</v>
      </c>
      <c r="J25" s="168">
        <f>IFERROR(__xludf.DUMMYFUNCTION("IFNA(QUERY(Cards!$A:$I,""select count(A) where (C="" &amp; $A$4 &amp; "" AND D LIKE '%"" &amp; $I25 &amp; ""%') label Count(A) ''""),0)"),24.0)</f>
        <v>24</v>
      </c>
      <c r="K25" s="169">
        <f>IFERROR(__xludf.DUMMYFUNCTION("IFNA(QUERY(Cards!$A:$I,""select count(A) where (C="" &amp; $A$4 &amp; "" AND D LIKE '%"" &amp; $I25 &amp; ""%' AND B LIKE '%"" &amp; REGEXEXTRACT(K$20,""[^#\s]+"") &amp; ""%') label Count(A) ''""),0)"),5.0)</f>
        <v>5</v>
      </c>
      <c r="L25" s="169">
        <f>IFERROR(__xludf.DUMMYFUNCTION("IFNA(QUERY(Cards!$A:$I,""select count(A) where (C="" &amp; $A$4 &amp; "" AND D LIKE '%"" &amp; $I25 &amp; ""%' AND B LIKE '%"" &amp; REGEXEXTRACT(L$20,""[^#\s]+"") &amp; ""%') label Count(A) ''""),0)"),1.0)</f>
        <v>1</v>
      </c>
      <c r="M25" s="169">
        <f>IFERROR(__xludf.DUMMYFUNCTION("IFNA(QUERY(Cards!$A:$I,""select count(A) where (C="" &amp; $A$4 &amp; "" AND D LIKE '%"" &amp; $I25 &amp; ""%' AND B LIKE '%"" &amp; REGEXEXTRACT(M$20,""[^#\s]+"") &amp; ""%') label Count(A) ''""),0)"),2.0)</f>
        <v>2</v>
      </c>
      <c r="N25" s="169">
        <f>IFERROR(__xludf.DUMMYFUNCTION("IFNA(QUERY(Cards!$A:$I,""select count(A) where (C="" &amp; $A$4 &amp; "" AND D LIKE '%"" &amp; $I25 &amp; ""%' AND B LIKE '%"" &amp; REGEXEXTRACT(N$20,""[^#\s]+"") &amp; ""%') label Count(A) ''""),0)"),2.0)</f>
        <v>2</v>
      </c>
      <c r="O25" s="170">
        <f>IFERROR(__xludf.DUMMYFUNCTION("IFNA(QUERY(Cards!$A:$I,""select count(A) where (C="" &amp; $A$4 &amp; "" AND D LIKE '%"" &amp; $I25 &amp; ""%' AND B LIKE '%"" &amp; REGEXEXTRACT(O$20,""[^#\s]+"") &amp; ""%') label Count(A) ''""),0)"),19.0)</f>
        <v>19</v>
      </c>
      <c r="Q25" s="171" t="str">
        <f>IFERROR(__xludf.DUMMYFUNCTION("""COMPUTED_VALUE"""),"Undead")</f>
        <v>Undead</v>
      </c>
      <c r="R25" s="118">
        <f>IFERROR(__xludf.DUMMYFUNCTION("IF(ISBLANK($Q25),"""",IFNA(QUERY(Cards!$A:$I,""select count(A) where (C="" &amp; $A$4 &amp; "" AND D LIKE '%"" &amp; $Q25 &amp; ""%' AND I='"" &amp; R$20 &amp; ""') label Count(A) ''""),0))"),14.0)</f>
        <v>14</v>
      </c>
      <c r="S25" s="118">
        <f>IFERROR(__xludf.DUMMYFUNCTION("IF(ISBLANK($Q25),"""",IFNA(QUERY(Cards!$A:$I,""select count(A) where (C="" &amp; $A$4 &amp; "" AND D LIKE '%"" &amp; $Q25 &amp; ""%' AND I='"" &amp; S$20 &amp; ""') label Count(A) ''""),0))"),7.0)</f>
        <v>7</v>
      </c>
      <c r="T25" s="118">
        <f>IFERROR(__xludf.DUMMYFUNCTION("IF(ISBLANK($Q25),"""",IFNA(QUERY(Cards!$A:$I,""select count(A) where (C="" &amp; $A$4 &amp; "" AND D LIKE '%"" &amp; $Q25 &amp; ""%' AND I='"" &amp; T$20 &amp; ""') label Count(A) ''""),0))"),3.0)</f>
        <v>3</v>
      </c>
      <c r="U25" s="172">
        <f t="shared" si="2"/>
        <v>24</v>
      </c>
      <c r="V25" s="173">
        <f t="shared" si="3"/>
        <v>0.111627907</v>
      </c>
    </row>
    <row r="26">
      <c r="B26" s="127" t="str">
        <f>IFERROR(__xludf.DUMMYFUNCTION("""COMPUTED_VALUE"""),"Elemental")</f>
        <v>Elemental</v>
      </c>
      <c r="C26" s="118">
        <f>IFERROR(__xludf.DUMMYFUNCTION("IFNA(QUERY('Extended Card Stats'!$A:$K,""select count(A) where (C="" &amp; $A$4 &amp; "" AND K LIKE '%"" &amp; $B26 &amp; ""%' AND I='"" &amp; C$24 &amp; ""') label Count(A) ''""),0)"),2.0)</f>
        <v>2</v>
      </c>
      <c r="D26" s="118">
        <f>IFERROR(__xludf.DUMMYFUNCTION("IFNA(QUERY('Extended Card Stats'!$A:$K,""select count(A) where (C="" &amp; $A$4 &amp; "" AND K LIKE '%"" &amp; $B26 &amp; ""%' AND I='"" &amp; D$24 &amp; ""') label Count(A) ''""),0)"),1.0)</f>
        <v>1</v>
      </c>
      <c r="E26" s="118">
        <f>IFERROR(__xludf.DUMMYFUNCTION("IFNA(QUERY('Extended Card Stats'!$A:$K,""select count(A) where (C="" &amp; $A$4 &amp; "" AND K LIKE '%"" &amp; $B26 &amp; ""%' AND I='"" &amp; E$24 &amp; ""') label Count(A) ''""),0)"),1.0)</f>
        <v>1</v>
      </c>
      <c r="F26" s="172">
        <f t="shared" si="4"/>
        <v>4</v>
      </c>
      <c r="G26" s="173">
        <f t="shared" si="5"/>
        <v>0.01860465116</v>
      </c>
      <c r="I26" s="174" t="str">
        <f>IFERROR(__xludf.DUMMYFUNCTION("""COMPUTED_VALUE"""),"Wizard")</f>
        <v>Wizard</v>
      </c>
      <c r="J26" s="168">
        <f>IFERROR(__xludf.DUMMYFUNCTION("IFNA(QUERY(Cards!$A:$I,""select count(A) where (C="" &amp; $A$4 &amp; "" AND D LIKE '%"" &amp; $I26 &amp; ""%') label Count(A) ''""),0)"),26.0)</f>
        <v>26</v>
      </c>
      <c r="K26" s="169">
        <f>IFERROR(__xludf.DUMMYFUNCTION("IFNA(QUERY(Cards!$A:$I,""select count(A) where (C="" &amp; $A$4 &amp; "" AND D LIKE '%"" &amp; $I26 &amp; ""%' AND B LIKE '%"" &amp; REGEXEXTRACT(K$20,""[^#\s]+"") &amp; ""%') label Count(A) ''""),0)"),6.0)</f>
        <v>6</v>
      </c>
      <c r="L26" s="169">
        <f>IFERROR(__xludf.DUMMYFUNCTION("IFNA(QUERY(Cards!$A:$I,""select count(A) where (C="" &amp; $A$4 &amp; "" AND D LIKE '%"" &amp; $I26 &amp; ""%' AND B LIKE '%"" &amp; REGEXEXTRACT(L$20,""[^#\s]+"") &amp; ""%') label Count(A) ''""),0)"),3.0)</f>
        <v>3</v>
      </c>
      <c r="M26" s="169">
        <f>IFERROR(__xludf.DUMMYFUNCTION("IFNA(QUERY(Cards!$A:$I,""select count(A) where (C="" &amp; $A$4 &amp; "" AND D LIKE '%"" &amp; $I26 &amp; ""%' AND B LIKE '%"" &amp; REGEXEXTRACT(M$20,""[^#\s]+"") &amp; ""%') label Count(A) ''""),0)"),8.0)</f>
        <v>8</v>
      </c>
      <c r="N26" s="169">
        <f>IFERROR(__xludf.DUMMYFUNCTION("IFNA(QUERY(Cards!$A:$I,""select count(A) where (C="" &amp; $A$4 &amp; "" AND D LIKE '%"" &amp; $I26 &amp; ""%' AND B LIKE '%"" &amp; REGEXEXTRACT(N$20,""[^#\s]+"") &amp; ""%') label Count(A) ''""),0)"),8.0)</f>
        <v>8</v>
      </c>
      <c r="O26" s="170">
        <f>IFERROR(__xludf.DUMMYFUNCTION("IFNA(QUERY(Cards!$A:$I,""select count(A) where (C="" &amp; $A$4 &amp; "" AND D LIKE '%"" &amp; $I26 &amp; ""%' AND B LIKE '%"" &amp; REGEXEXTRACT(O$20,""[^#\s]+"") &amp; ""%') label Count(A) ''""),0)"),6.0)</f>
        <v>6</v>
      </c>
      <c r="Q26" s="171" t="str">
        <f>IFERROR(__xludf.DUMMYFUNCTION("""COMPUTED_VALUE"""),"Wizard")</f>
        <v>Wizard</v>
      </c>
      <c r="R26" s="118">
        <f>IFERROR(__xludf.DUMMYFUNCTION("IF(ISBLANK($Q26),"""",IFNA(QUERY(Cards!$A:$I,""select count(A) where (C="" &amp; $A$4 &amp; "" AND D LIKE '%"" &amp; $Q26 &amp; ""%' AND I='"" &amp; R$20 &amp; ""') label Count(A) ''""),0))"),8.0)</f>
        <v>8</v>
      </c>
      <c r="S26" s="118">
        <f>IFERROR(__xludf.DUMMYFUNCTION("IF(ISBLANK($Q26),"""",IFNA(QUERY(Cards!$A:$I,""select count(A) where (C="" &amp; $A$4 &amp; "" AND D LIKE '%"" &amp; $Q26 &amp; ""%' AND I='"" &amp; S$20 &amp; ""') label Count(A) ''""),0))"),11.0)</f>
        <v>11</v>
      </c>
      <c r="T26" s="118">
        <f>IFERROR(__xludf.DUMMYFUNCTION("IF(ISBLANK($Q26),"""",IFNA(QUERY(Cards!$A:$I,""select count(A) where (C="" &amp; $A$4 &amp; "" AND D LIKE '%"" &amp; $Q26 &amp; ""%' AND I='"" &amp; T$20 &amp; ""') label Count(A) ''""),0))"),7.0)</f>
        <v>7</v>
      </c>
      <c r="U26" s="172">
        <f t="shared" si="2"/>
        <v>26</v>
      </c>
      <c r="V26" s="173">
        <f t="shared" si="3"/>
        <v>0.1209302326</v>
      </c>
    </row>
    <row r="27">
      <c r="B27" s="127" t="str">
        <f>IFERROR(__xludf.DUMMYFUNCTION("""COMPUTED_VALUE"""),"Mortal")</f>
        <v>Mortal</v>
      </c>
      <c r="C27" s="118">
        <f>IFERROR(__xludf.DUMMYFUNCTION("IFNA(QUERY('Extended Card Stats'!$A:$K,""select count(A) where (C="" &amp; $A$4 &amp; "" AND K LIKE '%"" &amp; $B27 &amp; ""%' AND I='"" &amp; C$24 &amp; ""') label Count(A) ''""),0)"),2.0)</f>
        <v>2</v>
      </c>
      <c r="D27" s="118">
        <f>IFERROR(__xludf.DUMMYFUNCTION("IFNA(QUERY('Extended Card Stats'!$A:$K,""select count(A) where (C="" &amp; $A$4 &amp; "" AND K LIKE '%"" &amp; $B27 &amp; ""%' AND I='"" &amp; D$24 &amp; ""') label Count(A) ''""),0)"),2.0)</f>
        <v>2</v>
      </c>
      <c r="E27" s="118">
        <f>IFERROR(__xludf.DUMMYFUNCTION("IFNA(QUERY('Extended Card Stats'!$A:$K,""select count(A) where (C="" &amp; $A$4 &amp; "" AND K LIKE '%"" &amp; $B27 &amp; ""%' AND I='"" &amp; E$24 &amp; ""') label Count(A) ''""),0)"),1.0)</f>
        <v>1</v>
      </c>
      <c r="F27" s="172">
        <f t="shared" si="4"/>
        <v>5</v>
      </c>
      <c r="G27" s="173">
        <f t="shared" si="5"/>
        <v>0.02325581395</v>
      </c>
      <c r="I27" s="174" t="str">
        <f>IFERROR(__xludf.DUMMYFUNCTION("""COMPUTED_VALUE"""),"Animal")</f>
        <v>Animal</v>
      </c>
      <c r="J27" s="168">
        <f>IFERROR(__xludf.DUMMYFUNCTION("IFNA(QUERY(Cards!$A:$I,""select count(A) where (C="" &amp; $A$4 &amp; "" AND D LIKE '%"" &amp; $I27 &amp; ""%') label Count(A) ''""),0)"),36.0)</f>
        <v>36</v>
      </c>
      <c r="K27" s="169">
        <f>IFERROR(__xludf.DUMMYFUNCTION("IFNA(QUERY(Cards!$A:$I,""select count(A) where (C="" &amp; $A$4 &amp; "" AND D LIKE '%"" &amp; $I27 &amp; ""%' AND B LIKE '%"" &amp; REGEXEXTRACT(K$20,""[^#\s]+"") &amp; ""%') label Count(A) ''""),0)"),12.0)</f>
        <v>12</v>
      </c>
      <c r="L27" s="169">
        <f>IFERROR(__xludf.DUMMYFUNCTION("IFNA(QUERY(Cards!$A:$I,""select count(A) where (C="" &amp; $A$4 &amp; "" AND D LIKE '%"" &amp; $I27 &amp; ""%' AND B LIKE '%"" &amp; REGEXEXTRACT(L$20,""[^#\s]+"") &amp; ""%') label Count(A) ''""),0)"),13.0)</f>
        <v>13</v>
      </c>
      <c r="M27" s="169">
        <f>IFERROR(__xludf.DUMMYFUNCTION("IFNA(QUERY(Cards!$A:$I,""select count(A) where (C="" &amp; $A$4 &amp; "" AND D LIKE '%"" &amp; $I27 &amp; ""%' AND B LIKE '%"" &amp; REGEXEXTRACT(M$20,""[^#\s]+"") &amp; ""%') label Count(A) ''""),0)"),4.0)</f>
        <v>4</v>
      </c>
      <c r="N27" s="169">
        <f>IFERROR(__xludf.DUMMYFUNCTION("IFNA(QUERY(Cards!$A:$I,""select count(A) where (C="" &amp; $A$4 &amp; "" AND D LIKE '%"" &amp; $I27 &amp; ""%' AND B LIKE '%"" &amp; REGEXEXTRACT(N$20,""[^#\s]+"") &amp; ""%') label Count(A) ''""),0)"),8.0)</f>
        <v>8</v>
      </c>
      <c r="O27" s="170">
        <f>IFERROR(__xludf.DUMMYFUNCTION("IFNA(QUERY(Cards!$A:$I,""select count(A) where (C="" &amp; $A$4 &amp; "" AND D LIKE '%"" &amp; $I27 &amp; ""%' AND B LIKE '%"" &amp; REGEXEXTRACT(O$20,""[^#\s]+"") &amp; ""%') label Count(A) ''""),0)"),6.0)</f>
        <v>6</v>
      </c>
      <c r="Q27" s="171" t="str">
        <f>IFERROR(__xludf.DUMMYFUNCTION("""COMPUTED_VALUE"""),"Animal")</f>
        <v>Animal</v>
      </c>
      <c r="R27" s="118">
        <f>IFERROR(__xludf.DUMMYFUNCTION("IF(ISBLANK($Q27),"""",IFNA(QUERY(Cards!$A:$I,""select count(A) where (C="" &amp; $A$4 &amp; "" AND D LIKE '%"" &amp; $Q27 &amp; ""%' AND I='"" &amp; R$20 &amp; ""') label Count(A) ''""),0))"),20.0)</f>
        <v>20</v>
      </c>
      <c r="S27" s="118">
        <f>IFERROR(__xludf.DUMMYFUNCTION("IF(ISBLANK($Q27),"""",IFNA(QUERY(Cards!$A:$I,""select count(A) where (C="" &amp; $A$4 &amp; "" AND D LIKE '%"" &amp; $Q27 &amp; ""%' AND I='"" &amp; S$20 &amp; ""') label Count(A) ''""),0))"),9.0)</f>
        <v>9</v>
      </c>
      <c r="T27" s="118">
        <f>IFERROR(__xludf.DUMMYFUNCTION("IF(ISBLANK($Q27),"""",IFNA(QUERY(Cards!$A:$I,""select count(A) where (C="" &amp; $A$4 &amp; "" AND D LIKE '%"" &amp; $Q27 &amp; ""%' AND I='"" &amp; T$20 &amp; ""') label Count(A) ''""),0))"),7.0)</f>
        <v>7</v>
      </c>
      <c r="U27" s="172">
        <f t="shared" si="2"/>
        <v>36</v>
      </c>
      <c r="V27" s="173">
        <f t="shared" si="3"/>
        <v>0.1674418605</v>
      </c>
    </row>
    <row r="28">
      <c r="B28" s="127" t="str">
        <f>IFERROR(__xludf.DUMMYFUNCTION("""COMPUTED_VALUE"""),"Nature")</f>
        <v>Nature</v>
      </c>
      <c r="C28" s="118">
        <f>IFERROR(__xludf.DUMMYFUNCTION("IFNA(QUERY('Extended Card Stats'!$A:$K,""select count(A) where (C="" &amp; $A$4 &amp; "" AND K LIKE '%"" &amp; $B28 &amp; ""%' AND I='"" &amp; C$24 &amp; ""') label Count(A) ''""),0)"),2.0)</f>
        <v>2</v>
      </c>
      <c r="D28" s="118">
        <f>IFERROR(__xludf.DUMMYFUNCTION("IFNA(QUERY('Extended Card Stats'!$A:$K,""select count(A) where (C="" &amp; $A$4 &amp; "" AND K LIKE '%"" &amp; $B28 &amp; ""%' AND I='"" &amp; D$24 &amp; ""') label Count(A) ''""),0)"),0.0)</f>
        <v>0</v>
      </c>
      <c r="E28" s="118">
        <f>IFERROR(__xludf.DUMMYFUNCTION("IFNA(QUERY('Extended Card Stats'!$A:$K,""select count(A) where (C="" &amp; $A$4 &amp; "" AND K LIKE '%"" &amp; $B28 &amp; ""%' AND I='"" &amp; E$24 &amp; ""') label Count(A) ''""),0)"),1.0)</f>
        <v>1</v>
      </c>
      <c r="F28" s="172">
        <f t="shared" si="4"/>
        <v>3</v>
      </c>
      <c r="G28" s="173">
        <f t="shared" si="5"/>
        <v>0.01395348837</v>
      </c>
      <c r="I28" s="174" t="str">
        <f>IFERROR(__xludf.DUMMYFUNCTION("""COMPUTED_VALUE"""),"Human")</f>
        <v>Human</v>
      </c>
      <c r="J28" s="168">
        <f>IFERROR(__xludf.DUMMYFUNCTION("IFNA(QUERY(Cards!$A:$I,""select count(A) where (C="" &amp; $A$4 &amp; "" AND D LIKE '%"" &amp; $I28 &amp; ""%') label Count(A) ''""),0)"),33.0)</f>
        <v>33</v>
      </c>
      <c r="K28" s="169">
        <f>IFERROR(__xludf.DUMMYFUNCTION("IFNA(QUERY(Cards!$A:$I,""select count(A) where (C="" &amp; $A$4 &amp; "" AND D LIKE '%"" &amp; $I28 &amp; ""%' AND B LIKE '%"" &amp; REGEXEXTRACT(K$20,""[^#\s]+"") &amp; ""%') label Count(A) ''""),0)"),4.0)</f>
        <v>4</v>
      </c>
      <c r="L28" s="169">
        <f>IFERROR(__xludf.DUMMYFUNCTION("IFNA(QUERY(Cards!$A:$I,""select count(A) where (C="" &amp; $A$4 &amp; "" AND D LIKE '%"" &amp; $I28 &amp; ""%' AND B LIKE '%"" &amp; REGEXEXTRACT(L$20,""[^#\s]+"") &amp; ""%') label Count(A) ''""),0)"),2.0)</f>
        <v>2</v>
      </c>
      <c r="M28" s="169">
        <f>IFERROR(__xludf.DUMMYFUNCTION("IFNA(QUERY(Cards!$A:$I,""select count(A) where (C="" &amp; $A$4 &amp; "" AND D LIKE '%"" &amp; $I28 &amp; ""%' AND B LIKE '%"" &amp; REGEXEXTRACT(M$20,""[^#\s]+"") &amp; ""%') label Count(A) ''""),0)"),10.0)</f>
        <v>10</v>
      </c>
      <c r="N28" s="169">
        <f>IFERROR(__xludf.DUMMYFUNCTION("IFNA(QUERY(Cards!$A:$I,""select count(A) where (C="" &amp; $A$4 &amp; "" AND D LIKE '%"" &amp; $I28 &amp; ""%' AND B LIKE '%"" &amp; REGEXEXTRACT(N$20,""[^#\s]+"") &amp; ""%') label Count(A) ''""),0)"),20.0)</f>
        <v>20</v>
      </c>
      <c r="O28" s="170">
        <f>IFERROR(__xludf.DUMMYFUNCTION("IFNA(QUERY(Cards!$A:$I,""select count(A) where (C="" &amp; $A$4 &amp; "" AND D LIKE '%"" &amp; $I28 &amp; ""%' AND B LIKE '%"" &amp; REGEXEXTRACT(O$20,""[^#\s]+"") &amp; ""%') label Count(A) ''""),0)"),3.0)</f>
        <v>3</v>
      </c>
      <c r="Q28" s="171" t="str">
        <f>IFERROR(__xludf.DUMMYFUNCTION("""COMPUTED_VALUE"""),"Human")</f>
        <v>Human</v>
      </c>
      <c r="R28" s="118">
        <f>IFERROR(__xludf.DUMMYFUNCTION("IF(ISBLANK($Q28),"""",IFNA(QUERY(Cards!$A:$I,""select count(A) where (C="" &amp; $A$4 &amp; "" AND D LIKE '%"" &amp; $Q28 &amp; ""%' AND I='"" &amp; R$20 &amp; ""') label Count(A) ''""),0))"),15.0)</f>
        <v>15</v>
      </c>
      <c r="S28" s="118">
        <f>IFERROR(__xludf.DUMMYFUNCTION("IF(ISBLANK($Q28),"""",IFNA(QUERY(Cards!$A:$I,""select count(A) where (C="" &amp; $A$4 &amp; "" AND D LIKE '%"" &amp; $Q28 &amp; ""%' AND I='"" &amp; S$20 &amp; ""') label Count(A) ''""),0))"),10.0)</f>
        <v>10</v>
      </c>
      <c r="T28" s="118">
        <f>IFERROR(__xludf.DUMMYFUNCTION("IF(ISBLANK($Q28),"""",IFNA(QUERY(Cards!$A:$I,""select count(A) where (C="" &amp; $A$4 &amp; "" AND D LIKE '%"" &amp; $Q28 &amp; ""%' AND I='"" &amp; T$20 &amp; ""') label Count(A) ''""),0))"),8.0)</f>
        <v>8</v>
      </c>
      <c r="U28" s="172">
        <f t="shared" si="2"/>
        <v>33</v>
      </c>
      <c r="V28" s="173">
        <f t="shared" si="3"/>
        <v>0.1534883721</v>
      </c>
    </row>
    <row r="29">
      <c r="B29" s="127" t="str">
        <f>IFERROR(__xludf.DUMMYFUNCTION("""COMPUTED_VALUE"""),"Void")</f>
        <v>Void</v>
      </c>
      <c r="C29" s="118">
        <f>IFERROR(__xludf.DUMMYFUNCTION("IFNA(QUERY('Extended Card Stats'!$A:$K,""select count(A) where (C="" &amp; $A$4 &amp; "" AND K LIKE '%"" &amp; $B29 &amp; ""%' AND I='"" &amp; C$24 &amp; ""') label Count(A) ''""),0)"),4.0)</f>
        <v>4</v>
      </c>
      <c r="D29" s="118">
        <f>IFERROR(__xludf.DUMMYFUNCTION("IFNA(QUERY('Extended Card Stats'!$A:$K,""select count(A) where (C="" &amp; $A$4 &amp; "" AND K LIKE '%"" &amp; $B29 &amp; ""%' AND I='"" &amp; D$24 &amp; ""') label Count(A) ''""),0)"),4.0)</f>
        <v>4</v>
      </c>
      <c r="E29" s="118">
        <f>IFERROR(__xludf.DUMMYFUNCTION("IFNA(QUERY('Extended Card Stats'!$A:$K,""select count(A) where (C="" &amp; $A$4 &amp; "" AND K LIKE '%"" &amp; $B29 &amp; ""%' AND I='"" &amp; E$24 &amp; ""') label Count(A) ''""),0)"),1.0)</f>
        <v>1</v>
      </c>
      <c r="F29" s="172">
        <f t="shared" si="4"/>
        <v>9</v>
      </c>
      <c r="G29" s="173">
        <f t="shared" si="5"/>
        <v>0.04186046512</v>
      </c>
      <c r="I29" s="174" t="str">
        <f>IFERROR(__xludf.DUMMYFUNCTION("""COMPUTED_VALUE"""),"Hunter")</f>
        <v>Hunter</v>
      </c>
      <c r="J29" s="168">
        <f>IFERROR(__xludf.DUMMYFUNCTION("IFNA(QUERY(Cards!$A:$I,""select count(A) where (C="" &amp; $A$4 &amp; "" AND D LIKE '%"" &amp; $I29 &amp; ""%') label Count(A) ''""),0)"),25.0)</f>
        <v>25</v>
      </c>
      <c r="K29" s="169">
        <f>IFERROR(__xludf.DUMMYFUNCTION("IFNA(QUERY(Cards!$A:$I,""select count(A) where (C="" &amp; $A$4 &amp; "" AND D LIKE '%"" &amp; $I29 &amp; ""%' AND B LIKE '%"" &amp; REGEXEXTRACT(K$20,""[^#\s]+"") &amp; ""%') label Count(A) ''""),0)"),3.0)</f>
        <v>3</v>
      </c>
      <c r="L29" s="169">
        <f>IFERROR(__xludf.DUMMYFUNCTION("IFNA(QUERY(Cards!$A:$I,""select count(A) where (C="" &amp; $A$4 &amp; "" AND D LIKE '%"" &amp; $I29 &amp; ""%' AND B LIKE '%"" &amp; REGEXEXTRACT(L$20,""[^#\s]+"") &amp; ""%') label Count(A) ''""),0)"),10.0)</f>
        <v>10</v>
      </c>
      <c r="M29" s="169">
        <f>IFERROR(__xludf.DUMMYFUNCTION("IFNA(QUERY(Cards!$A:$I,""select count(A) where (C="" &amp; $A$4 &amp; "" AND D LIKE '%"" &amp; $I29 &amp; ""%' AND B LIKE '%"" &amp; REGEXEXTRACT(M$20,""[^#\s]+"") &amp; ""%') label Count(A) ''""),0)"),3.0)</f>
        <v>3</v>
      </c>
      <c r="N29" s="169">
        <f>IFERROR(__xludf.DUMMYFUNCTION("IFNA(QUERY(Cards!$A:$I,""select count(A) where (C="" &amp; $A$4 &amp; "" AND D LIKE '%"" &amp; $I29 &amp; ""%' AND B LIKE '%"" &amp; REGEXEXTRACT(N$20,""[^#\s]+"") &amp; ""%') label Count(A) ''""),0)"),6.0)</f>
        <v>6</v>
      </c>
      <c r="O29" s="170">
        <f>IFERROR(__xludf.DUMMYFUNCTION("IFNA(QUERY(Cards!$A:$I,""select count(A) where (C="" &amp; $A$4 &amp; "" AND D LIKE '%"" &amp; $I29 &amp; ""%' AND B LIKE '%"" &amp; REGEXEXTRACT(O$20,""[^#\s]+"") &amp; ""%') label Count(A) ''""),0)"),5.0)</f>
        <v>5</v>
      </c>
      <c r="Q29" s="171" t="str">
        <f>IFERROR(__xludf.DUMMYFUNCTION("""COMPUTED_VALUE"""),"Hunter")</f>
        <v>Hunter</v>
      </c>
      <c r="R29" s="118">
        <f>IFERROR(__xludf.DUMMYFUNCTION("IF(ISBLANK($Q29),"""",IFNA(QUERY(Cards!$A:$I,""select count(A) where (C="" &amp; $A$4 &amp; "" AND D LIKE '%"" &amp; $Q29 &amp; ""%' AND I='"" &amp; R$20 &amp; ""') label Count(A) ''""),0))"),11.0)</f>
        <v>11</v>
      </c>
      <c r="S29" s="118">
        <f>IFERROR(__xludf.DUMMYFUNCTION("IF(ISBLANK($Q29),"""",IFNA(QUERY(Cards!$A:$I,""select count(A) where (C="" &amp; $A$4 &amp; "" AND D LIKE '%"" &amp; $Q29 &amp; ""%' AND I='"" &amp; S$20 &amp; ""') label Count(A) ''""),0))"),9.0)</f>
        <v>9</v>
      </c>
      <c r="T29" s="118">
        <f>IFERROR(__xludf.DUMMYFUNCTION("IF(ISBLANK($Q29),"""",IFNA(QUERY(Cards!$A:$I,""select count(A) where (C="" &amp; $A$4 &amp; "" AND D LIKE '%"" &amp; $Q29 &amp; ""%' AND I='"" &amp; T$20 &amp; ""') label Count(A) ''""),0))"),5.0)</f>
        <v>5</v>
      </c>
      <c r="U29" s="172">
        <f t="shared" si="2"/>
        <v>25</v>
      </c>
      <c r="V29" s="173">
        <f t="shared" si="3"/>
        <v>0.1162790698</v>
      </c>
    </row>
    <row r="30">
      <c r="B30" s="127" t="str">
        <f>IFERROR(__xludf.DUMMYFUNCTION("""COMPUTED_VALUE"""),"Unearth")</f>
        <v>Unearth</v>
      </c>
      <c r="C30" s="118">
        <f>IFERROR(__xludf.DUMMYFUNCTION("IFNA(QUERY('Extended Card Stats'!$A:$K,""select count(A) where (C="" &amp; $A$4 &amp; "" AND K LIKE '%"" &amp; $B30 &amp; ""%' AND I='"" &amp; C$24 &amp; ""') label Count(A) ''""),0)"),6.0)</f>
        <v>6</v>
      </c>
      <c r="D30" s="118">
        <f>IFERROR(__xludf.DUMMYFUNCTION("IFNA(QUERY('Extended Card Stats'!$A:$K,""select count(A) where (C="" &amp; $A$4 &amp; "" AND K LIKE '%"" &amp; $B30 &amp; ""%' AND I='"" &amp; D$24 &amp; ""') label Count(A) ''""),0)"),9.0)</f>
        <v>9</v>
      </c>
      <c r="E30" s="118">
        <f>IFERROR(__xludf.DUMMYFUNCTION("IFNA(QUERY('Extended Card Stats'!$A:$K,""select count(A) where (C="" &amp; $A$4 &amp; "" AND K LIKE '%"" &amp; $B30 &amp; ""%' AND I='"" &amp; E$24 &amp; ""') label Count(A) ''""),0)"),5.0)</f>
        <v>5</v>
      </c>
      <c r="F30" s="172">
        <f t="shared" si="4"/>
        <v>20</v>
      </c>
      <c r="G30" s="176">
        <f t="shared" si="5"/>
        <v>0.09302325581</v>
      </c>
      <c r="I30" s="174" t="str">
        <f>IFERROR(__xludf.DUMMYFUNCTION("""COMPUTED_VALUE"""),"Spirit")</f>
        <v>Spirit</v>
      </c>
      <c r="J30" s="168">
        <f>IFERROR(__xludf.DUMMYFUNCTION("IFNA(QUERY(Cards!$A:$I,""select count(A) where (C="" &amp; $A$4 &amp; "" AND D LIKE '%"" &amp; $I30 &amp; ""%') label Count(A) ''""),0)"),29.0)</f>
        <v>29</v>
      </c>
      <c r="K30" s="169">
        <f>IFERROR(__xludf.DUMMYFUNCTION("IFNA(QUERY(Cards!$A:$I,""select count(A) where (C="" &amp; $A$4 &amp; "" AND D LIKE '%"" &amp; $I30 &amp; ""%' AND B LIKE '%"" &amp; REGEXEXTRACT(K$20,""[^#\s]+"") &amp; ""%') label Count(A) ''""),0)"),5.0)</f>
        <v>5</v>
      </c>
      <c r="L30" s="169">
        <f>IFERROR(__xludf.DUMMYFUNCTION("IFNA(QUERY(Cards!$A:$I,""select count(A) where (C="" &amp; $A$4 &amp; "" AND D LIKE '%"" &amp; $I30 &amp; ""%' AND B LIKE '%"" &amp; REGEXEXTRACT(L$20,""[^#\s]+"") &amp; ""%') label Count(A) ''""),0)"),5.0)</f>
        <v>5</v>
      </c>
      <c r="M30" s="169">
        <f>IFERROR(__xludf.DUMMYFUNCTION("IFNA(QUERY(Cards!$A:$I,""select count(A) where (C="" &amp; $A$4 &amp; "" AND D LIKE '%"" &amp; $I30 &amp; ""%' AND B LIKE '%"" &amp; REGEXEXTRACT(M$20,""[^#\s]+"") &amp; ""%') label Count(A) ''""),0)"),17.0)</f>
        <v>17</v>
      </c>
      <c r="N30" s="169">
        <f>IFERROR(__xludf.DUMMYFUNCTION("IFNA(QUERY(Cards!$A:$I,""select count(A) where (C="" &amp; $A$4 &amp; "" AND D LIKE '%"" &amp; $I30 &amp; ""%' AND B LIKE '%"" &amp; REGEXEXTRACT(N$20,""[^#\s]+"") &amp; ""%') label Count(A) ''""),0)"),2.0)</f>
        <v>2</v>
      </c>
      <c r="O30" s="170">
        <f>IFERROR(__xludf.DUMMYFUNCTION("IFNA(QUERY(Cards!$A:$I,""select count(A) where (C="" &amp; $A$4 &amp; "" AND D LIKE '%"" &amp; $I30 &amp; ""%' AND B LIKE '%"" &amp; REGEXEXTRACT(O$20,""[^#\s]+"") &amp; ""%') label Count(A) ''""),0)"),4.0)</f>
        <v>4</v>
      </c>
      <c r="Q30" s="171" t="str">
        <f>IFERROR(__xludf.DUMMYFUNCTION("""COMPUTED_VALUE"""),"Spirit")</f>
        <v>Spirit</v>
      </c>
      <c r="R30" s="118">
        <f>IFERROR(__xludf.DUMMYFUNCTION("IF(ISBLANK($Q30),"""",IFNA(QUERY(Cards!$A:$I,""select count(A) where (C="" &amp; $A$4 &amp; "" AND D LIKE '%"" &amp; $Q30 &amp; ""%' AND I='"" &amp; R$20 &amp; ""') label Count(A) ''""),0))"),15.0)</f>
        <v>15</v>
      </c>
      <c r="S30" s="118">
        <f>IFERROR(__xludf.DUMMYFUNCTION("IF(ISBLANK($Q30),"""",IFNA(QUERY(Cards!$A:$I,""select count(A) where (C="" &amp; $A$4 &amp; "" AND D LIKE '%"" &amp; $Q30 &amp; ""%' AND I='"" &amp; S$20 &amp; ""') label Count(A) ''""),0))"),9.0)</f>
        <v>9</v>
      </c>
      <c r="T30" s="118">
        <f>IFERROR(__xludf.DUMMYFUNCTION("IF(ISBLANK($Q30),"""",IFNA(QUERY(Cards!$A:$I,""select count(A) where (C="" &amp; $A$4 &amp; "" AND D LIKE '%"" &amp; $Q30 &amp; ""%' AND I='"" &amp; T$20 &amp; ""') label Count(A) ''""),0))"),5.0)</f>
        <v>5</v>
      </c>
      <c r="U30" s="172">
        <f t="shared" si="2"/>
        <v>29</v>
      </c>
      <c r="V30" s="173">
        <f t="shared" si="3"/>
        <v>0.1348837209</v>
      </c>
    </row>
    <row r="31">
      <c r="B31" s="127" t="str">
        <f>IFERROR(__xludf.DUMMYFUNCTION("""COMPUTED_VALUE"""),"Ramp")</f>
        <v>Ramp</v>
      </c>
      <c r="C31" s="118">
        <f>IFERROR(__xludf.DUMMYFUNCTION("IFNA(QUERY('Extended Card Stats'!$A:$K,""select count(A) where (C="" &amp; $A$4 &amp; "" AND K LIKE '%"" &amp; $B31 &amp; ""%' AND I='"" &amp; C$24 &amp; ""') label Count(A) ''""),0)"),7.0)</f>
        <v>7</v>
      </c>
      <c r="D31" s="118">
        <f>IFERROR(__xludf.DUMMYFUNCTION("IFNA(QUERY('Extended Card Stats'!$A:$K,""select count(A) where (C="" &amp; $A$4 &amp; "" AND K LIKE '%"" &amp; $B31 &amp; ""%' AND I='"" &amp; D$24 &amp; ""') label Count(A) ''""),0)"),12.0)</f>
        <v>12</v>
      </c>
      <c r="E31" s="118">
        <f>IFERROR(__xludf.DUMMYFUNCTION("IFNA(QUERY('Extended Card Stats'!$A:$K,""select count(A) where (C="" &amp; $A$4 &amp; "" AND K LIKE '%"" &amp; $B31 &amp; ""%' AND I='"" &amp; E$24 &amp; ""') label Count(A) ''""),0)"),11.0)</f>
        <v>11</v>
      </c>
      <c r="F31" s="177">
        <f t="shared" si="4"/>
        <v>30</v>
      </c>
      <c r="G31" s="178">
        <f t="shared" si="5"/>
        <v>0.1395348837</v>
      </c>
      <c r="I31" s="174" t="str">
        <f>IFERROR(__xludf.DUMMYFUNCTION("""COMPUTED_VALUE"""),"Plant")</f>
        <v>Plant</v>
      </c>
      <c r="J31" s="168">
        <f>IFERROR(__xludf.DUMMYFUNCTION("IFNA(QUERY(Cards!$A:$I,""select count(A) where (C="" &amp; $A$4 &amp; "" AND D LIKE '%"" &amp; $I31 &amp; ""%') label Count(A) ''""),0)"),23.0)</f>
        <v>23</v>
      </c>
      <c r="K31" s="169">
        <f>IFERROR(__xludf.DUMMYFUNCTION("IFNA(QUERY(Cards!$A:$I,""select count(A) where (C="" &amp; $A$4 &amp; "" AND D LIKE '%"" &amp; $I31 &amp; ""%' AND B LIKE '%"" &amp; REGEXEXTRACT(K$20,""[^#\s]+"") &amp; ""%') label Count(A) ''""),0)"),2.0)</f>
        <v>2</v>
      </c>
      <c r="L31" s="169">
        <f>IFERROR(__xludf.DUMMYFUNCTION("IFNA(QUERY(Cards!$A:$I,""select count(A) where (C="" &amp; $A$4 &amp; "" AND D LIKE '%"" &amp; $I31 &amp; ""%' AND B LIKE '%"" &amp; REGEXEXTRACT(L$20,""[^#\s]+"") &amp; ""%') label Count(A) ''""),0)"),15.0)</f>
        <v>15</v>
      </c>
      <c r="M31" s="169">
        <f>IFERROR(__xludf.DUMMYFUNCTION("IFNA(QUERY(Cards!$A:$I,""select count(A) where (C="" &amp; $A$4 &amp; "" AND D LIKE '%"" &amp; $I31 &amp; ""%' AND B LIKE '%"" &amp; REGEXEXTRACT(M$20,""[^#\s]+"") &amp; ""%') label Count(A) ''""),0)"),1.0)</f>
        <v>1</v>
      </c>
      <c r="N31" s="169">
        <f>IFERROR(__xludf.DUMMYFUNCTION("IFNA(QUERY(Cards!$A:$I,""select count(A) where (C="" &amp; $A$4 &amp; "" AND D LIKE '%"" &amp; $I31 &amp; ""%' AND B LIKE '%"" &amp; REGEXEXTRACT(N$20,""[^#\s]+"") &amp; ""%') label Count(A) ''""),0)"),3.0)</f>
        <v>3</v>
      </c>
      <c r="O31" s="170">
        <f>IFERROR(__xludf.DUMMYFUNCTION("IFNA(QUERY(Cards!$A:$I,""select count(A) where (C="" &amp; $A$4 &amp; "" AND D LIKE '%"" &amp; $I31 &amp; ""%' AND B LIKE '%"" &amp; REGEXEXTRACT(O$20,""[^#\s]+"") &amp; ""%') label Count(A) ''""),0)"),4.0)</f>
        <v>4</v>
      </c>
      <c r="Q31" s="171" t="str">
        <f>IFERROR(__xludf.DUMMYFUNCTION("""COMPUTED_VALUE"""),"Plant")</f>
        <v>Plant</v>
      </c>
      <c r="R31" s="118">
        <f>IFERROR(__xludf.DUMMYFUNCTION("IF(ISBLANK($Q31),"""",IFNA(QUERY(Cards!$A:$I,""select count(A) where (C="" &amp; $A$4 &amp; "" AND D LIKE '%"" &amp; $Q31 &amp; ""%' AND I='"" &amp; R$20 &amp; ""') label Count(A) ''""),0))"),15.0)</f>
        <v>15</v>
      </c>
      <c r="S31" s="118">
        <f>IFERROR(__xludf.DUMMYFUNCTION("IF(ISBLANK($Q31),"""",IFNA(QUERY(Cards!$A:$I,""select count(A) where (C="" &amp; $A$4 &amp; "" AND D LIKE '%"" &amp; $Q31 &amp; ""%' AND I='"" &amp; S$20 &amp; ""') label Count(A) ''""),0))"),4.0)</f>
        <v>4</v>
      </c>
      <c r="T31" s="118">
        <f>IFERROR(__xludf.DUMMYFUNCTION("IF(ISBLANK($Q31),"""",IFNA(QUERY(Cards!$A:$I,""select count(A) where (C="" &amp; $A$4 &amp; "" AND D LIKE '%"" &amp; $Q31 &amp; ""%' AND I='"" &amp; T$20 &amp; ""') label Count(A) ''""),0))"),4.0)</f>
        <v>4</v>
      </c>
      <c r="U31" s="172">
        <f t="shared" si="2"/>
        <v>23</v>
      </c>
      <c r="V31" s="173">
        <f t="shared" si="3"/>
        <v>0.1069767442</v>
      </c>
    </row>
    <row r="32">
      <c r="B32" s="127" t="str">
        <f>IFERROR(__xludf.DUMMYFUNCTION("""COMPUTED_VALUE"""),"Control")</f>
        <v>Control</v>
      </c>
      <c r="C32" s="118">
        <f>IFERROR(__xludf.DUMMYFUNCTION("IFNA(QUERY('Extended Card Stats'!$A:$K,""select count(A) where (C="" &amp; $A$4 &amp; "" AND K LIKE '%"" &amp; $B32 &amp; ""%' AND I='"" &amp; C$24 &amp; ""') label Count(A) ''""),0)"),1.0)</f>
        <v>1</v>
      </c>
      <c r="D32" s="118">
        <f>IFERROR(__xludf.DUMMYFUNCTION("IFNA(QUERY('Extended Card Stats'!$A:$K,""select count(A) where (C="" &amp; $A$4 &amp; "" AND K LIKE '%"" &amp; $B32 &amp; ""%' AND I='"" &amp; D$24 &amp; ""') label Count(A) ''""),0)"),12.0)</f>
        <v>12</v>
      </c>
      <c r="E32" s="118">
        <f>IFERROR(__xludf.DUMMYFUNCTION("IFNA(QUERY('Extended Card Stats'!$A:$K,""select count(A) where (C="" &amp; $A$4 &amp; "" AND K LIKE '%"" &amp; $B32 &amp; ""%' AND I='"" &amp; E$24 &amp; ""') label Count(A) ''""),0)"),8.0)</f>
        <v>8</v>
      </c>
      <c r="F32" s="179">
        <f t="shared" si="4"/>
        <v>21</v>
      </c>
      <c r="G32" s="180">
        <f t="shared" si="5"/>
        <v>0.0976744186</v>
      </c>
      <c r="I32" s="174" t="str">
        <f>IFERROR(__xludf.DUMMYFUNCTION("""COMPUTED_VALUE"""),"Insect")</f>
        <v>Insect</v>
      </c>
      <c r="J32" s="168">
        <f>IFERROR(__xludf.DUMMYFUNCTION("IFNA(QUERY(Cards!$A:$I,""select count(A) where (C="" &amp; $A$4 &amp; "" AND D LIKE '%"" &amp; $I32 &amp; ""%') label Count(A) ''""),0)"),17.0)</f>
        <v>17</v>
      </c>
      <c r="K32" s="169">
        <f>IFERROR(__xludf.DUMMYFUNCTION("IFNA(QUERY(Cards!$A:$I,""select count(A) where (C="" &amp; $A$4 &amp; "" AND D LIKE '%"" &amp; $I32 &amp; ""%' AND B LIKE '%"" &amp; REGEXEXTRACT(K$20,""[^#\s]+"") &amp; ""%') label Count(A) ''""),0)"),2.0)</f>
        <v>2</v>
      </c>
      <c r="L32" s="169">
        <f>IFERROR(__xludf.DUMMYFUNCTION("IFNA(QUERY(Cards!$A:$I,""select count(A) where (C="" &amp; $A$4 &amp; "" AND D LIKE '%"" &amp; $I32 &amp; ""%' AND B LIKE '%"" &amp; REGEXEXTRACT(L$20,""[^#\s]+"") &amp; ""%') label Count(A) ''""),0)"),4.0)</f>
        <v>4</v>
      </c>
      <c r="M32" s="169">
        <f>IFERROR(__xludf.DUMMYFUNCTION("IFNA(QUERY(Cards!$A:$I,""select count(A) where (C="" &amp; $A$4 &amp; "" AND D LIKE '%"" &amp; $I32 &amp; ""%' AND B LIKE '%"" &amp; REGEXEXTRACT(M$20,""[^#\s]+"") &amp; ""%') label Count(A) ''""),0)"),3.0)</f>
        <v>3</v>
      </c>
      <c r="N32" s="169">
        <f>IFERROR(__xludf.DUMMYFUNCTION("IFNA(QUERY(Cards!$A:$I,""select count(A) where (C="" &amp; $A$4 &amp; "" AND D LIKE '%"" &amp; $I32 &amp; ""%' AND B LIKE '%"" &amp; REGEXEXTRACT(N$20,""[^#\s]+"") &amp; ""%') label Count(A) ''""),0)"),3.0)</f>
        <v>3</v>
      </c>
      <c r="O32" s="170">
        <f>IFERROR(__xludf.DUMMYFUNCTION("IFNA(QUERY(Cards!$A:$I,""select count(A) where (C="" &amp; $A$4 &amp; "" AND D LIKE '%"" &amp; $I32 &amp; ""%' AND B LIKE '%"" &amp; REGEXEXTRACT(O$20,""[^#\s]+"") &amp; ""%') label Count(A) ''""),0)"),6.0)</f>
        <v>6</v>
      </c>
      <c r="Q32" s="171" t="str">
        <f>IFERROR(__xludf.DUMMYFUNCTION("""COMPUTED_VALUE"""),"Insect")</f>
        <v>Insect</v>
      </c>
      <c r="R32" s="118">
        <f>IFERROR(__xludf.DUMMYFUNCTION("IF(ISBLANK($Q32),"""",IFNA(QUERY(Cards!$A:$I,""select count(A) where (C="" &amp; $A$4 &amp; "" AND D LIKE '%"" &amp; $Q32 &amp; ""%' AND I='"" &amp; R$20 &amp; ""') label Count(A) ''""),0))"),5.0)</f>
        <v>5</v>
      </c>
      <c r="S32" s="118">
        <f>IFERROR(__xludf.DUMMYFUNCTION("IF(ISBLANK($Q32),"""",IFNA(QUERY(Cards!$A:$I,""select count(A) where (C="" &amp; $A$4 &amp; "" AND D LIKE '%"" &amp; $Q32 &amp; ""%' AND I='"" &amp; S$20 &amp; ""') label Count(A) ''""),0))"),7.0)</f>
        <v>7</v>
      </c>
      <c r="T32" s="118">
        <f>IFERROR(__xludf.DUMMYFUNCTION("IF(ISBLANK($Q32),"""",IFNA(QUERY(Cards!$A:$I,""select count(A) where (C="" &amp; $A$4 &amp; "" AND D LIKE '%"" &amp; $Q32 &amp; ""%' AND I='"" &amp; T$20 &amp; ""') label Count(A) ''""),0))"),5.0)</f>
        <v>5</v>
      </c>
      <c r="U32" s="172">
        <f t="shared" si="2"/>
        <v>17</v>
      </c>
      <c r="V32" s="173">
        <f t="shared" si="3"/>
        <v>0.07906976744</v>
      </c>
    </row>
    <row r="33">
      <c r="B33" s="127" t="str">
        <f>IFERROR(__xludf.DUMMYFUNCTION("""COMPUTED_VALUE"""),"Copy")</f>
        <v>Copy</v>
      </c>
      <c r="C33" s="118">
        <f>IFERROR(__xludf.DUMMYFUNCTION("IFNA(QUERY('Extended Card Stats'!$A:$K,""select count(A) where (C="" &amp; $A$4 &amp; "" AND K LIKE '%"" &amp; $B33 &amp; ""%' AND I='"" &amp; C$24 &amp; ""') label Count(A) ''""),0)"),0.0)</f>
        <v>0</v>
      </c>
      <c r="D33" s="118">
        <f>IFERROR(__xludf.DUMMYFUNCTION("IFNA(QUERY('Extended Card Stats'!$A:$K,""select count(A) where (C="" &amp; $A$4 &amp; "" AND K LIKE '%"" &amp; $B33 &amp; ""%' AND I='"" &amp; D$24 &amp; ""') label Count(A) ''""),0)"),2.0)</f>
        <v>2</v>
      </c>
      <c r="E33" s="118">
        <f>IFERROR(__xludf.DUMMYFUNCTION("IFNA(QUERY('Extended Card Stats'!$A:$K,""select count(A) where (C="" &amp; $A$4 &amp; "" AND K LIKE '%"" &amp; $B33 &amp; ""%' AND I='"" &amp; E$24 &amp; ""') label Count(A) ''""),0)"),3.0)</f>
        <v>3</v>
      </c>
      <c r="F33" s="172">
        <f t="shared" si="4"/>
        <v>5</v>
      </c>
      <c r="G33" s="173">
        <f t="shared" si="5"/>
        <v>0.02325581395</v>
      </c>
      <c r="I33" s="174" t="str">
        <f>IFERROR(__xludf.DUMMYFUNCTION("""COMPUTED_VALUE"""),"Bannerbearer")</f>
        <v>Bannerbearer</v>
      </c>
      <c r="J33" s="168">
        <f>IFERROR(__xludf.DUMMYFUNCTION("IFNA(QUERY(Cards!$A:$I,""select count(A) where (C="" &amp; $A$4 &amp; "" AND D LIKE '%"" &amp; $I33 &amp; ""%') label Count(A) ''""),0)"),10.0)</f>
        <v>10</v>
      </c>
      <c r="K33" s="169">
        <f>IFERROR(__xludf.DUMMYFUNCTION("IFNA(QUERY(Cards!$A:$I,""select count(A) where (C="" &amp; $A$4 &amp; "" AND D LIKE '%"" &amp; $I33 &amp; ""%' AND B LIKE '%"" &amp; REGEXEXTRACT(K$20,""[^#\s]+"") &amp; ""%') label Count(A) ''""),0)"),4.0)</f>
        <v>4</v>
      </c>
      <c r="L33" s="169">
        <f>IFERROR(__xludf.DUMMYFUNCTION("IFNA(QUERY(Cards!$A:$I,""select count(A) where (C="" &amp; $A$4 &amp; "" AND D LIKE '%"" &amp; $I33 &amp; ""%' AND B LIKE '%"" &amp; REGEXEXTRACT(L$20,""[^#\s]+"") &amp; ""%') label Count(A) ''""),0)"),4.0)</f>
        <v>4</v>
      </c>
      <c r="M33" s="169">
        <f>IFERROR(__xludf.DUMMYFUNCTION("IFNA(QUERY(Cards!$A:$I,""select count(A) where (C="" &amp; $A$4 &amp; "" AND D LIKE '%"" &amp; $I33 &amp; ""%' AND B LIKE '%"" &amp; REGEXEXTRACT(M$20,""[^#\s]+"") &amp; ""%') label Count(A) ''""),0)"),4.0)</f>
        <v>4</v>
      </c>
      <c r="N33" s="169">
        <f>IFERROR(__xludf.DUMMYFUNCTION("IFNA(QUERY(Cards!$A:$I,""select count(A) where (C="" &amp; $A$4 &amp; "" AND D LIKE '%"" &amp; $I33 &amp; ""%' AND B LIKE '%"" &amp; REGEXEXTRACT(N$20,""[^#\s]+"") &amp; ""%') label Count(A) ''""),0)"),4.0)</f>
        <v>4</v>
      </c>
      <c r="O33" s="170">
        <f>IFERROR(__xludf.DUMMYFUNCTION("IFNA(QUERY(Cards!$A:$I,""select count(A) where (C="" &amp; $A$4 &amp; "" AND D LIKE '%"" &amp; $I33 &amp; ""%' AND B LIKE '%"" &amp; REGEXEXTRACT(O$20,""[^#\s]+"") &amp; ""%') label Count(A) ''""),0)"),4.0)</f>
        <v>4</v>
      </c>
      <c r="Q33" s="171" t="str">
        <f>IFERROR(__xludf.DUMMYFUNCTION("""COMPUTED_VALUE"""),"Bannerbearer")</f>
        <v>Bannerbearer</v>
      </c>
      <c r="R33" s="118">
        <f>IFERROR(__xludf.DUMMYFUNCTION("IF(ISBLANK($Q33),"""",IFNA(QUERY(Cards!$A:$I,""select count(A) where (C="" &amp; $A$4 &amp; "" AND D LIKE '%"" &amp; $Q33 &amp; ""%' AND I='"" &amp; R$20 &amp; ""') label Count(A) ''""),0))"),10.0)</f>
        <v>10</v>
      </c>
      <c r="S33" s="118">
        <f>IFERROR(__xludf.DUMMYFUNCTION("IF(ISBLANK($Q33),"""",IFNA(QUERY(Cards!$A:$I,""select count(A) where (C="" &amp; $A$4 &amp; "" AND D LIKE '%"" &amp; $Q33 &amp; ""%' AND I='"" &amp; S$20 &amp; ""') label Count(A) ''""),0))"),0.0)</f>
        <v>0</v>
      </c>
      <c r="T33" s="118">
        <f>IFERROR(__xludf.DUMMYFUNCTION("IF(ISBLANK($Q33),"""",IFNA(QUERY(Cards!$A:$I,""select count(A) where (C="" &amp; $A$4 &amp; "" AND D LIKE '%"" &amp; $Q33 &amp; ""%' AND I='"" &amp; T$20 &amp; ""') label Count(A) ''""),0))"),0.0)</f>
        <v>0</v>
      </c>
      <c r="U33" s="172">
        <f t="shared" si="2"/>
        <v>10</v>
      </c>
      <c r="V33" s="173">
        <f t="shared" si="3"/>
        <v>0.04651162791</v>
      </c>
    </row>
    <row r="34">
      <c r="B34" s="127" t="str">
        <f>IFERROR(__xludf.DUMMYFUNCTION("""COMPUTED_VALUE"""),"Aggro")</f>
        <v>Aggro</v>
      </c>
      <c r="C34" s="118">
        <f>IFERROR(__xludf.DUMMYFUNCTION("IFNA(QUERY('Extended Card Stats'!$A:$K,""select count(A) where (C="" &amp; $A$4 &amp; "" AND K LIKE '%"" &amp; $B34 &amp; ""%' AND I='"" &amp; C$24 &amp; ""') label Count(A) ''""),0)"),2.0)</f>
        <v>2</v>
      </c>
      <c r="D34" s="118">
        <f>IFERROR(__xludf.DUMMYFUNCTION("IFNA(QUERY('Extended Card Stats'!$A:$K,""select count(A) where (C="" &amp; $A$4 &amp; "" AND K LIKE '%"" &amp; $B34 &amp; ""%' AND I='"" &amp; D$24 &amp; ""') label Count(A) ''""),0)"),7.0)</f>
        <v>7</v>
      </c>
      <c r="E34" s="118">
        <f>IFERROR(__xludf.DUMMYFUNCTION("IFNA(QUERY('Extended Card Stats'!$A:$K,""select count(A) where (C="" &amp; $A$4 &amp; "" AND K LIKE '%"" &amp; $B34 &amp; ""%' AND I='"" &amp; E$24 &amp; ""') label Count(A) ''""),0)"),12.0)</f>
        <v>12</v>
      </c>
      <c r="F34" s="181">
        <f t="shared" si="4"/>
        <v>21</v>
      </c>
      <c r="G34" s="182">
        <f t="shared" si="5"/>
        <v>0.0976744186</v>
      </c>
      <c r="I34" s="174" t="str">
        <f>IFERROR(__xludf.DUMMYFUNCTION("""COMPUTED_VALUE"""),"Dinosaur")</f>
        <v>Dinosaur</v>
      </c>
      <c r="J34" s="168">
        <f>IFERROR(__xludf.DUMMYFUNCTION("IFNA(QUERY(Cards!$A:$I,""select count(A) where (C="" &amp; $A$4 &amp; "" AND D LIKE '%"" &amp; $I34 &amp; ""%') label Count(A) ''""),0)"),22.0)</f>
        <v>22</v>
      </c>
      <c r="K34" s="169">
        <f>IFERROR(__xludf.DUMMYFUNCTION("IFNA(QUERY(Cards!$A:$I,""select count(A) where (C="" &amp; $A$4 &amp; "" AND D LIKE '%"" &amp; $I34 &amp; ""%' AND B LIKE '%"" &amp; REGEXEXTRACT(K$20,""[^#\s]+"") &amp; ""%') label Count(A) ''""),0)"),2.0)</f>
        <v>2</v>
      </c>
      <c r="L34" s="169">
        <f>IFERROR(__xludf.DUMMYFUNCTION("IFNA(QUERY(Cards!$A:$I,""select count(A) where (C="" &amp; $A$4 &amp; "" AND D LIKE '%"" &amp; $I34 &amp; ""%' AND B LIKE '%"" &amp; REGEXEXTRACT(L$20,""[^#\s]+"") &amp; ""%') label Count(A) ''""),0)"),16.0)</f>
        <v>16</v>
      </c>
      <c r="M34" s="169">
        <f>IFERROR(__xludf.DUMMYFUNCTION("IFNA(QUERY(Cards!$A:$I,""select count(A) where (C="" &amp; $A$4 &amp; "" AND D LIKE '%"" &amp; $I34 &amp; ""%' AND B LIKE '%"" &amp; REGEXEXTRACT(M$20,""[^#\s]+"") &amp; ""%') label Count(A) ''""),0)"),2.0)</f>
        <v>2</v>
      </c>
      <c r="N34" s="169">
        <f>IFERROR(__xludf.DUMMYFUNCTION("IFNA(QUERY(Cards!$A:$I,""select count(A) where (C="" &amp; $A$4 &amp; "" AND D LIKE '%"" &amp; $I34 &amp; ""%' AND B LIKE '%"" &amp; REGEXEXTRACT(N$20,""[^#\s]+"") &amp; ""%') label Count(A) ''""),0)"),2.0)</f>
        <v>2</v>
      </c>
      <c r="O34" s="170">
        <f>IFERROR(__xludf.DUMMYFUNCTION("IFNA(QUERY(Cards!$A:$I,""select count(A) where (C="" &amp; $A$4 &amp; "" AND D LIKE '%"" &amp; $I34 &amp; ""%' AND B LIKE '%"" &amp; REGEXEXTRACT(O$20,""[^#\s]+"") &amp; ""%') label Count(A) ''""),0)"),2.0)</f>
        <v>2</v>
      </c>
      <c r="Q34" s="171" t="str">
        <f>IFERROR(__xludf.DUMMYFUNCTION("""COMPUTED_VALUE"""),"Dinosaur")</f>
        <v>Dinosaur</v>
      </c>
      <c r="R34" s="118">
        <f>IFERROR(__xludf.DUMMYFUNCTION("IF(ISBLANK($Q34),"""",IFNA(QUERY(Cards!$A:$I,""select count(A) where (C="" &amp; $A$4 &amp; "" AND D LIKE '%"" &amp; $Q34 &amp; ""%' AND I='"" &amp; R$20 &amp; ""') label Count(A) ''""),0))"),8.0)</f>
        <v>8</v>
      </c>
      <c r="S34" s="118">
        <f>IFERROR(__xludf.DUMMYFUNCTION("IF(ISBLANK($Q34),"""",IFNA(QUERY(Cards!$A:$I,""select count(A) where (C="" &amp; $A$4 &amp; "" AND D LIKE '%"" &amp; $Q34 &amp; ""%' AND I='"" &amp; S$20 &amp; ""') label Count(A) ''""),0))"),7.0)</f>
        <v>7</v>
      </c>
      <c r="T34" s="118">
        <f>IFERROR(__xludf.DUMMYFUNCTION("IF(ISBLANK($Q34),"""",IFNA(QUERY(Cards!$A:$I,""select count(A) where (C="" &amp; $A$4 &amp; "" AND D LIKE '%"" &amp; $Q34 &amp; ""%' AND I='"" &amp; T$20 &amp; ""') label Count(A) ''""),0))"),7.0)</f>
        <v>7</v>
      </c>
      <c r="U34" s="172">
        <f t="shared" si="2"/>
        <v>22</v>
      </c>
      <c r="V34" s="173">
        <f t="shared" si="3"/>
        <v>0.1023255814</v>
      </c>
    </row>
    <row r="35">
      <c r="B35" s="127" t="str">
        <f>IFERROR(__xludf.DUMMYFUNCTION("""COMPUTED_VALUE"""),"Empty-Crystal")</f>
        <v>Empty-Crystal</v>
      </c>
      <c r="C35" s="118">
        <f>IFERROR(__xludf.DUMMYFUNCTION("IFNA(QUERY('Extended Card Stats'!$A:$K,""select count(A) where (C="" &amp; $A$4 &amp; "" AND K LIKE '%"" &amp; $B35 &amp; ""%' AND I='"" &amp; C$24 &amp; ""') label Count(A) ''""),0)"),0.0)</f>
        <v>0</v>
      </c>
      <c r="D35" s="118">
        <f>IFERROR(__xludf.DUMMYFUNCTION("IFNA(QUERY('Extended Card Stats'!$A:$K,""select count(A) where (C="" &amp; $A$4 &amp; "" AND K LIKE '%"" &amp; $B35 &amp; ""%' AND I='"" &amp; D$24 &amp; ""') label Count(A) ''""),0)"),5.0)</f>
        <v>5</v>
      </c>
      <c r="E35" s="118">
        <f>IFERROR(__xludf.DUMMYFUNCTION("IFNA(QUERY('Extended Card Stats'!$A:$K,""select count(A) where (C="" &amp; $A$4 &amp; "" AND K LIKE '%"" &amp; $B35 &amp; ""%' AND I='"" &amp; E$24 &amp; ""') label Count(A) ''""),0)"),2.0)</f>
        <v>2</v>
      </c>
      <c r="F35" s="172">
        <f t="shared" si="4"/>
        <v>7</v>
      </c>
      <c r="G35" s="173">
        <f t="shared" si="5"/>
        <v>0.03255813953</v>
      </c>
      <c r="I35" s="183" t="str">
        <f>IFERROR(__xludf.DUMMYFUNCTION("""COMPUTED_VALUE"""),"Demon")</f>
        <v>Demon</v>
      </c>
      <c r="J35" s="168">
        <f>IFERROR(__xludf.DUMMYFUNCTION("IFNA(QUERY(Cards!$A:$I,""select count(A) where (C="" &amp; $A$4 &amp; "" AND D LIKE '%"" &amp; $I35 &amp; ""%') label Count(A) ''""),0)"),25.0)</f>
        <v>25</v>
      </c>
      <c r="K35" s="169">
        <f>IFERROR(__xludf.DUMMYFUNCTION("IFNA(QUERY(Cards!$A:$I,""select count(A) where (C="" &amp; $A$4 &amp; "" AND D LIKE '%"" &amp; $I35 &amp; ""%' AND B LIKE '%"" &amp; REGEXEXTRACT(K$20,""[^#\s]+"") &amp; ""%') label Count(A) ''""),0)"),1.0)</f>
        <v>1</v>
      </c>
      <c r="L35" s="169">
        <f>IFERROR(__xludf.DUMMYFUNCTION("IFNA(QUERY(Cards!$A:$I,""select count(A) where (C="" &amp; $A$4 &amp; "" AND D LIKE '%"" &amp; $I35 &amp; ""%' AND B LIKE '%"" &amp; REGEXEXTRACT(L$20,""[^#\s]+"") &amp; ""%') label Count(A) ''""),0)"),4.0)</f>
        <v>4</v>
      </c>
      <c r="M35" s="169">
        <f>IFERROR(__xludf.DUMMYFUNCTION("IFNA(QUERY(Cards!$A:$I,""select count(A) where (C="" &amp; $A$4 &amp; "" AND D LIKE '%"" &amp; $I35 &amp; ""%' AND B LIKE '%"" &amp; REGEXEXTRACT(M$20,""[^#\s]+"") &amp; ""%') label Count(A) ''""),0)"),2.0)</f>
        <v>2</v>
      </c>
      <c r="N35" s="169">
        <f>IFERROR(__xludf.DUMMYFUNCTION("IFNA(QUERY(Cards!$A:$I,""select count(A) where (C="" &amp; $A$4 &amp; "" AND D LIKE '%"" &amp; $I35 &amp; ""%' AND B LIKE '%"" &amp; REGEXEXTRACT(N$20,""[^#\s]+"") &amp; ""%') label Count(A) ''""),0)"),1.0)</f>
        <v>1</v>
      </c>
      <c r="O35" s="170">
        <f>IFERROR(__xludf.DUMMYFUNCTION("IFNA(QUERY(Cards!$A:$I,""select count(A) where (C="" &amp; $A$4 &amp; "" AND D LIKE '%"" &amp; $I35 &amp; ""%' AND B LIKE '%"" &amp; REGEXEXTRACT(O$20,""[^#\s]+"") &amp; ""%') label Count(A) ''""),0)"),22.0)</f>
        <v>22</v>
      </c>
      <c r="Q35" s="184" t="str">
        <f>IFERROR(__xludf.DUMMYFUNCTION("""COMPUTED_VALUE"""),"Demon")</f>
        <v>Demon</v>
      </c>
      <c r="R35" s="118">
        <f>IFERROR(__xludf.DUMMYFUNCTION("IF(ISBLANK($Q35),"""",IFNA(QUERY(Cards!$A:$I,""select count(A) where (C="" &amp; $A$4 &amp; "" AND D LIKE '%"" &amp; $Q35 &amp; ""%' AND I='"" &amp; R$20 &amp; ""') label Count(A) ''""),0))"),10.0)</f>
        <v>10</v>
      </c>
      <c r="S35" s="118">
        <f>IFERROR(__xludf.DUMMYFUNCTION("IF(ISBLANK($Q35),"""",IFNA(QUERY(Cards!$A:$I,""select count(A) where (C="" &amp; $A$4 &amp; "" AND D LIKE '%"" &amp; $Q35 &amp; ""%' AND I='"" &amp; S$20 &amp; ""') label Count(A) ''""),0))"),6.0)</f>
        <v>6</v>
      </c>
      <c r="T35" s="118">
        <f>IFERROR(__xludf.DUMMYFUNCTION("IF(ISBLANK($Q35),"""",IFNA(QUERY(Cards!$A:$I,""select count(A) where (C="" &amp; $A$4 &amp; "" AND D LIKE '%"" &amp; $Q35 &amp; ""%' AND I='"" &amp; T$20 &amp; ""') label Count(A) ''""),0))"),9.0)</f>
        <v>9</v>
      </c>
      <c r="U35" s="172">
        <f t="shared" si="2"/>
        <v>25</v>
      </c>
      <c r="V35" s="173">
        <f t="shared" si="3"/>
        <v>0.1162790698</v>
      </c>
    </row>
    <row r="36">
      <c r="B36" s="127" t="str">
        <f>IFERROR(__xludf.DUMMYFUNCTION("""COMPUTED_VALUE"""),"Move")</f>
        <v>Move</v>
      </c>
      <c r="C36" s="118">
        <f>IFERROR(__xludf.DUMMYFUNCTION("IFNA(QUERY('Extended Card Stats'!$A:$K,""select count(A) where (C="" &amp; $A$4 &amp; "" AND K LIKE '%"" &amp; $B36 &amp; ""%' AND I='"" &amp; C$24 &amp; ""') label Count(A) ''""),0)"),8.0)</f>
        <v>8</v>
      </c>
      <c r="D36" s="118">
        <f>IFERROR(__xludf.DUMMYFUNCTION("IFNA(QUERY('Extended Card Stats'!$A:$K,""select count(A) where (C="" &amp; $A$4 &amp; "" AND K LIKE '%"" &amp; $B36 &amp; ""%' AND I='"" &amp; D$24 &amp; ""') label Count(A) ''""),0)"),5.0)</f>
        <v>5</v>
      </c>
      <c r="E36" s="118">
        <f>IFERROR(__xludf.DUMMYFUNCTION("IFNA(QUERY('Extended Card Stats'!$A:$K,""select count(A) where (C="" &amp; $A$4 &amp; "" AND K LIKE '%"" &amp; $B36 &amp; ""%' AND I='"" &amp; E$24 &amp; ""') label Count(A) ''""),0)"),3.0)</f>
        <v>3</v>
      </c>
      <c r="F36" s="172">
        <f t="shared" si="4"/>
        <v>16</v>
      </c>
      <c r="G36" s="173">
        <f t="shared" si="5"/>
        <v>0.07441860465</v>
      </c>
      <c r="I36" s="185"/>
      <c r="J36" s="186">
        <f>IFERROR(__xludf.DUMMYFUNCTION("IFNA(QUERY(Cards!$A:$I,""select count(A) where (C="" &amp; $A$4 &amp; "" AND D LIKE '%"" &amp; $I36 &amp; ""%') label Count(A) ''""),0)"),215.0)</f>
        <v>215</v>
      </c>
      <c r="K36" s="187">
        <f>IFERROR(__xludf.DUMMYFUNCTION("IFNA(QUERY(Cards!$A:$I,""select count(A) where (C="" &amp; $A$4 &amp; "" AND D LIKE '%"" &amp; $I36 &amp; ""%' AND B LIKE '%"" &amp; REGEXEXTRACT(K$20,""[^#\s]+"") &amp; ""%') label Count(A) ''""),0)"),48.0)</f>
        <v>48</v>
      </c>
      <c r="L36" s="187">
        <f>IFERROR(__xludf.DUMMYFUNCTION("IFNA(QUERY(Cards!$A:$I,""select count(A) where (C="" &amp; $A$4 &amp; "" AND D LIKE '%"" &amp; $I36 &amp; ""%' AND B LIKE '%"" &amp; REGEXEXTRACT(L$20,""[^#\s]+"") &amp; ""%') label Count(A) ''""),0)"),48.0)</f>
        <v>48</v>
      </c>
      <c r="M36" s="187">
        <f>IFERROR(__xludf.DUMMYFUNCTION("IFNA(QUERY(Cards!$A:$I,""select count(A) where (C="" &amp; $A$4 &amp; "" AND D LIKE '%"" &amp; $I36 &amp; ""%' AND B LIKE '%"" &amp; REGEXEXTRACT(M$20,""[^#\s]+"") &amp; ""%') label Count(A) ''""),0)"),48.0)</f>
        <v>48</v>
      </c>
      <c r="N36" s="187">
        <f>IFERROR(__xludf.DUMMYFUNCTION("IFNA(QUERY(Cards!$A:$I,""select count(A) where (C="" &amp; $A$4 &amp; "" AND D LIKE '%"" &amp; $I36 &amp; ""%' AND B LIKE '%"" &amp; REGEXEXTRACT(N$20,""[^#\s]+"") &amp; ""%') label Count(A) ''""),0)"),48.0)</f>
        <v>48</v>
      </c>
      <c r="O36" s="188">
        <f>IFERROR(__xludf.DUMMYFUNCTION("IFNA(QUERY(Cards!$A:$I,""select count(A) where (C="" &amp; $A$4 &amp; "" AND D LIKE '%"" &amp; $I36 &amp; ""%' AND B LIKE '%"" &amp; REGEXEXTRACT(O$20,""[^#\s]+"") &amp; ""%') label Count(A) ''""),0)"),48.0)</f>
        <v>48</v>
      </c>
      <c r="Q36" s="127"/>
      <c r="V36" s="189"/>
    </row>
    <row r="37">
      <c r="B37" s="127" t="str">
        <f>IFERROR(__xludf.DUMMYFUNCTION("""COMPUTED_VALUE"""),"Ambush")</f>
        <v>Ambush</v>
      </c>
      <c r="C37" s="118">
        <f>IFERROR(__xludf.DUMMYFUNCTION("IFNA(QUERY('Extended Card Stats'!$A:$K,""select count(A) where (C="" &amp; $A$4 &amp; "" AND K LIKE '%"" &amp; $B37 &amp; ""%' AND I='"" &amp; C$24 &amp; ""') label Count(A) ''""),0)"),11.0)</f>
        <v>11</v>
      </c>
      <c r="D37" s="118">
        <f>IFERROR(__xludf.DUMMYFUNCTION("IFNA(QUERY('Extended Card Stats'!$A:$K,""select count(A) where (C="" &amp; $A$4 &amp; "" AND K LIKE '%"" &amp; $B37 &amp; ""%' AND I='"" &amp; D$24 &amp; ""') label Count(A) ''""),0)"),18.0)</f>
        <v>18</v>
      </c>
      <c r="E37" s="118">
        <f>IFERROR(__xludf.DUMMYFUNCTION("IFNA(QUERY('Extended Card Stats'!$A:$K,""select count(A) where (C="" &amp; $A$4 &amp; "" AND K LIKE '%"" &amp; $B37 &amp; ""%' AND I='"" &amp; E$24 &amp; ""') label Count(A) ''""),0)"),11.0)</f>
        <v>11</v>
      </c>
      <c r="F37" s="177">
        <f t="shared" si="4"/>
        <v>40</v>
      </c>
      <c r="G37" s="173">
        <f t="shared" si="5"/>
        <v>0.1860465116</v>
      </c>
      <c r="H37" s="190"/>
      <c r="Q37" s="127"/>
      <c r="V37" s="189"/>
    </row>
    <row r="38">
      <c r="B38" s="127"/>
      <c r="G38" s="189"/>
      <c r="Q38" s="127"/>
      <c r="V38" s="189"/>
    </row>
    <row r="39">
      <c r="B39" s="127"/>
      <c r="G39" s="189"/>
      <c r="Q39" s="191"/>
      <c r="R39" s="163"/>
      <c r="S39" s="163"/>
      <c r="T39" s="163"/>
      <c r="U39" s="163"/>
      <c r="V39" s="192"/>
    </row>
    <row r="40">
      <c r="B40" s="127"/>
      <c r="G40" s="189"/>
    </row>
    <row r="41">
      <c r="B41" s="127"/>
      <c r="G41" s="189"/>
    </row>
    <row r="42">
      <c r="B42" s="191"/>
      <c r="C42" s="163"/>
      <c r="D42" s="163"/>
      <c r="E42" s="163"/>
      <c r="F42" s="163"/>
      <c r="G42" s="192"/>
    </row>
    <row r="53">
      <c r="B53" s="118"/>
      <c r="C53" s="118"/>
    </row>
    <row r="54">
      <c r="B54" s="118"/>
      <c r="C54" s="118"/>
    </row>
    <row r="55">
      <c r="B55" s="118"/>
      <c r="C55" s="118"/>
    </row>
    <row r="56">
      <c r="B56" s="118"/>
      <c r="C56" s="118"/>
    </row>
    <row r="57">
      <c r="B57" s="118"/>
      <c r="C57" s="118"/>
    </row>
    <row r="58">
      <c r="B58" s="118"/>
      <c r="C58" s="118"/>
    </row>
    <row r="59">
      <c r="B59" s="118"/>
      <c r="C59" s="118"/>
    </row>
    <row r="60">
      <c r="B60" s="118"/>
      <c r="C60" s="118"/>
    </row>
    <row r="61">
      <c r="B61" s="118"/>
      <c r="C61" s="118"/>
    </row>
    <row r="62">
      <c r="B62" s="118"/>
      <c r="C62" s="118"/>
    </row>
    <row r="63">
      <c r="B63" s="118"/>
      <c r="C63" s="118"/>
    </row>
  </sheetData>
  <conditionalFormatting sqref="J21:J36">
    <cfRule type="colorScale" priority="1">
      <colorScale>
        <cfvo type="min"/>
        <cfvo type="percentile" val="50"/>
        <cfvo type="max"/>
        <color rgb="FFE06666"/>
        <color rgb="FFFFD666"/>
        <color rgb="FF6AA84F"/>
      </colorScale>
    </cfRule>
  </conditionalFormatting>
  <conditionalFormatting sqref="B22:B36 C22:D37 E23:E37">
    <cfRule type="colorScale" priority="2">
      <colorScale>
        <cfvo type="min"/>
        <cfvo type="percentile" val="50"/>
        <cfvo type="max"/>
        <color rgb="FFE06666"/>
        <color rgb="FFFFD666"/>
        <color rgb="FF38761D"/>
      </colorScale>
    </cfRule>
  </conditionalFormatting>
  <conditionalFormatting sqref="Q20:T35 B53:C63">
    <cfRule type="colorScale" priority="3">
      <colorScale>
        <cfvo type="min"/>
        <cfvo type="percentile" val="50"/>
        <cfvo type="max"/>
        <color rgb="FFE06666"/>
        <color rgb="FFFFD666"/>
        <color rgb="FF6AA84F"/>
      </colorScale>
    </cfRule>
  </conditionalFormatting>
  <conditionalFormatting sqref="F23:F37">
    <cfRule type="colorScale" priority="4">
      <colorScale>
        <cfvo type="min"/>
        <cfvo type="percentile" val="50"/>
        <cfvo type="max"/>
        <color rgb="FFE06666"/>
        <color rgb="FFFFD666"/>
        <color rgb="FF6AA84F"/>
      </colorScale>
    </cfRule>
  </conditionalFormatting>
  <conditionalFormatting sqref="U20:U35">
    <cfRule type="colorScale" priority="5">
      <colorScale>
        <cfvo type="min"/>
        <cfvo type="percentile" val="50"/>
        <cfvo type="max"/>
        <color rgb="FFE06666"/>
        <color rgb="FFFFD666"/>
        <color rgb="FF6AA84F"/>
      </colorScale>
    </cfRule>
  </conditionalFormatting>
  <conditionalFormatting sqref="C2:G8">
    <cfRule type="colorScale" priority="6">
      <colorScale>
        <cfvo type="min"/>
        <cfvo type="percentile" val="50"/>
        <cfvo type="max"/>
        <color rgb="FFE06666"/>
        <color rgb="FFFFD666"/>
        <color rgb="FF93C47D"/>
      </colorScale>
    </cfRule>
  </conditionalFormatting>
  <conditionalFormatting sqref="D9:G18">
    <cfRule type="colorScale" priority="7">
      <colorScale>
        <cfvo type="min"/>
        <cfvo type="percentile" val="50"/>
        <cfvo type="max"/>
        <color rgb="FFE06666"/>
        <color rgb="FFFFD666"/>
        <color rgb="FF93C47D"/>
      </colorScale>
    </cfRule>
  </conditionalFormatting>
  <conditionalFormatting sqref="D9:D18">
    <cfRule type="colorScale" priority="8">
      <colorScale>
        <cfvo type="min"/>
        <cfvo type="percentile" val="50"/>
        <cfvo type="max"/>
        <color rgb="FFE06666"/>
        <color rgb="FFFFD666"/>
        <color rgb="FF93C47D"/>
      </colorScale>
    </cfRule>
  </conditionalFormatting>
  <conditionalFormatting sqref="J21:O36">
    <cfRule type="colorScale" priority="9">
      <colorScale>
        <cfvo type="min"/>
        <cfvo type="percentile" val="50"/>
        <cfvo type="max"/>
        <color rgb="FFE06666"/>
        <color rgb="FFFFD666"/>
        <color rgb="FF93C47D"/>
      </colorScale>
    </cfRule>
  </conditionalFormatting>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24.14"/>
    <col customWidth="1" min="4" max="4" width="19.71"/>
  </cols>
  <sheetData>
    <row r="1">
      <c r="A1" s="193" t="s">
        <v>2141</v>
      </c>
      <c r="B1" s="194" t="s">
        <v>2142</v>
      </c>
      <c r="C1" s="194" t="s">
        <v>2143</v>
      </c>
      <c r="D1" s="195" t="s">
        <v>2144</v>
      </c>
      <c r="E1" s="195" t="s">
        <v>2143</v>
      </c>
    </row>
    <row r="2">
      <c r="A2" s="196" t="str">
        <f>IFERROR(__xludf.DUMMYFUNCTION("FLATTEN(UNIQUE(MAP(QUERY(Cards!$A$2:A3136,""select A""),LAMBDA(x,SPLIT(x,"" "")))))"),"Aethergolem")</f>
        <v>Aethergolem</v>
      </c>
      <c r="B2" s="197" t="str">
        <f>IFERROR(__xludf.DUMMYFUNCTION("UNIQUE($A$2:$A3136)"),"Aethergolem")</f>
        <v>Aethergolem</v>
      </c>
      <c r="C2" s="197">
        <f t="shared" ref="C2:C826" si="1">COUNTIF($A$2:A3136,$B2)</f>
        <v>1</v>
      </c>
      <c r="D2" s="20" t="str">
        <f t="array" ref="D2:E3136">SORT($B$2:$C3136,2,FALSE)</f>
        <v>of</v>
      </c>
      <c r="E2" s="20">
        <v>33.0</v>
      </c>
    </row>
    <row r="3">
      <c r="A3" s="196"/>
      <c r="B3" s="197"/>
      <c r="C3" s="197">
        <f t="shared" si="1"/>
        <v>0</v>
      </c>
      <c r="D3" s="20" t="s">
        <v>2145</v>
      </c>
      <c r="E3" s="20">
        <v>29.0</v>
      </c>
    </row>
    <row r="4">
      <c r="A4" s="196"/>
      <c r="B4" s="197" t="str">
        <f>IFERROR(__xludf.DUMMYFUNCTION("""COMPUTED_VALUE"""),"Alabaster")</f>
        <v>Alabaster</v>
      </c>
      <c r="C4" s="197">
        <f t="shared" si="1"/>
        <v>1</v>
      </c>
      <c r="D4" s="20" t="s">
        <v>2146</v>
      </c>
      <c r="E4" s="20">
        <v>29.0</v>
      </c>
    </row>
    <row r="5">
      <c r="A5" s="196"/>
      <c r="B5" s="197" t="str">
        <f>IFERROR(__xludf.DUMMYFUNCTION("""COMPUTED_VALUE"""),"Exarch")</f>
        <v>Exarch</v>
      </c>
      <c r="C5" s="197">
        <f t="shared" si="1"/>
        <v>1</v>
      </c>
      <c r="D5" s="20" t="s">
        <v>645</v>
      </c>
      <c r="E5" s="20">
        <v>7.0</v>
      </c>
    </row>
    <row r="6">
      <c r="A6" s="196"/>
      <c r="B6" s="197" t="str">
        <f>IFERROR(__xludf.DUMMYFUNCTION("""COMPUTED_VALUE"""),"Ascendant")</f>
        <v>Ascendant</v>
      </c>
      <c r="C6" s="197">
        <f t="shared" si="1"/>
        <v>1</v>
      </c>
      <c r="D6" s="20" t="s">
        <v>380</v>
      </c>
      <c r="E6" s="20">
        <v>7.0</v>
      </c>
    </row>
    <row r="7">
      <c r="A7" s="196" t="str">
        <f>IFERROR(__xludf.DUMMYFUNCTION("""COMPUTED_VALUE"""),"Alabaster")</f>
        <v>Alabaster</v>
      </c>
      <c r="B7" s="197" t="str">
        <f>IFERROR(__xludf.DUMMYFUNCTION("""COMPUTED_VALUE"""),"Faithweaver")</f>
        <v>Faithweaver</v>
      </c>
      <c r="C7" s="197">
        <f t="shared" si="1"/>
        <v>1</v>
      </c>
      <c r="D7" s="20" t="s">
        <v>2121</v>
      </c>
      <c r="E7" s="20">
        <v>5.0</v>
      </c>
    </row>
    <row r="8">
      <c r="A8" s="196" t="str">
        <f>IFERROR(__xludf.DUMMYFUNCTION("""COMPUTED_VALUE"""),"Exarch")</f>
        <v>Exarch</v>
      </c>
      <c r="B8" s="197" t="str">
        <f>IFERROR(__xludf.DUMMYFUNCTION("""COMPUTED_VALUE"""),"Avenging")</f>
        <v>Avenging</v>
      </c>
      <c r="C8" s="197">
        <f t="shared" si="1"/>
        <v>1</v>
      </c>
      <c r="D8" s="20" t="s">
        <v>2129</v>
      </c>
      <c r="E8" s="20">
        <v>5.0</v>
      </c>
    </row>
    <row r="9">
      <c r="A9" s="196"/>
      <c r="B9" s="197" t="str">
        <f>IFERROR(__xludf.DUMMYFUNCTION("""COMPUTED_VALUE"""),"Force")</f>
        <v>Force</v>
      </c>
      <c r="C9" s="197">
        <f t="shared" si="1"/>
        <v>1</v>
      </c>
      <c r="D9" s="20" t="s">
        <v>2147</v>
      </c>
      <c r="E9" s="20">
        <v>5.0</v>
      </c>
    </row>
    <row r="10">
      <c r="A10" s="196"/>
      <c r="B10" s="197" t="str">
        <f>IFERROR(__xludf.DUMMYFUNCTION("""COMPUTED_VALUE"""),"Baby")</f>
        <v>Baby</v>
      </c>
      <c r="C10" s="197">
        <f t="shared" si="1"/>
        <v>1</v>
      </c>
      <c r="D10" s="20" t="s">
        <v>2148</v>
      </c>
      <c r="E10" s="20">
        <v>4.0</v>
      </c>
    </row>
    <row r="11">
      <c r="A11" s="196"/>
      <c r="B11" s="197" t="str">
        <f>IFERROR(__xludf.DUMMYFUNCTION("""COMPUTED_VALUE"""),"Lamassu")</f>
        <v>Lamassu</v>
      </c>
      <c r="C11" s="197">
        <f t="shared" si="1"/>
        <v>1</v>
      </c>
      <c r="D11" s="20" t="s">
        <v>2149</v>
      </c>
      <c r="E11" s="20">
        <v>4.0</v>
      </c>
    </row>
    <row r="12">
      <c r="A12" s="196" t="str">
        <f>IFERROR(__xludf.DUMMYFUNCTION("""COMPUTED_VALUE"""),"Ascendant")</f>
        <v>Ascendant</v>
      </c>
      <c r="B12" s="197" t="str">
        <f>IFERROR(__xludf.DUMMYFUNCTION("""COMPUTED_VALUE"""),"Blackmarble")</f>
        <v>Blackmarble</v>
      </c>
      <c r="C12" s="197">
        <f t="shared" si="1"/>
        <v>1</v>
      </c>
      <c r="D12" s="20" t="s">
        <v>2119</v>
      </c>
      <c r="E12" s="20">
        <v>4.0</v>
      </c>
    </row>
    <row r="13">
      <c r="A13" s="196" t="str">
        <f>IFERROR(__xludf.DUMMYFUNCTION("""COMPUTED_VALUE"""),"Faithweaver")</f>
        <v>Faithweaver</v>
      </c>
      <c r="B13" s="197" t="str">
        <f>IFERROR(__xludf.DUMMYFUNCTION("""COMPUTED_VALUE"""),"Gargoyle")</f>
        <v>Gargoyle</v>
      </c>
      <c r="C13" s="197">
        <f t="shared" si="1"/>
        <v>1</v>
      </c>
      <c r="D13" s="20" t="s">
        <v>2150</v>
      </c>
      <c r="E13" s="20">
        <v>4.0</v>
      </c>
    </row>
    <row r="14">
      <c r="A14" s="196"/>
      <c r="B14" s="197" t="str">
        <f>IFERROR(__xludf.DUMMYFUNCTION("""COMPUTED_VALUE"""),"Chronosand")</f>
        <v>Chronosand</v>
      </c>
      <c r="C14" s="197">
        <f t="shared" si="1"/>
        <v>1</v>
      </c>
      <c r="D14" s="20" t="s">
        <v>2126</v>
      </c>
      <c r="E14" s="20">
        <v>4.0</v>
      </c>
    </row>
    <row r="15">
      <c r="A15" s="196"/>
      <c r="B15" s="197" t="str">
        <f>IFERROR(__xludf.DUMMYFUNCTION("""COMPUTED_VALUE"""),"Sphinx")</f>
        <v>Sphinx</v>
      </c>
      <c r="C15" s="197">
        <f t="shared" si="1"/>
        <v>2</v>
      </c>
      <c r="D15" s="20" t="s">
        <v>2125</v>
      </c>
      <c r="E15" s="20">
        <v>4.0</v>
      </c>
    </row>
    <row r="16">
      <c r="A16" s="196"/>
      <c r="B16" s="197" t="str">
        <f>IFERROR(__xludf.DUMMYFUNCTION("""COMPUTED_VALUE"""),"Crusader")</f>
        <v>Crusader</v>
      </c>
      <c r="C16" s="197">
        <f t="shared" si="1"/>
        <v>7</v>
      </c>
      <c r="D16" s="20" t="s">
        <v>28</v>
      </c>
      <c r="E16" s="20">
        <v>3.0</v>
      </c>
    </row>
    <row r="17">
      <c r="A17" s="196" t="str">
        <f>IFERROR(__xludf.DUMMYFUNCTION("""COMPUTED_VALUE"""),"Avenging")</f>
        <v>Avenging</v>
      </c>
      <c r="B17" s="197" t="str">
        <f>IFERROR(__xludf.DUMMYFUNCTION("""COMPUTED_VALUE"""),"of")</f>
        <v>of</v>
      </c>
      <c r="C17" s="197">
        <f t="shared" si="1"/>
        <v>33</v>
      </c>
      <c r="D17" s="20" t="s">
        <v>2151</v>
      </c>
      <c r="E17" s="20">
        <v>3.0</v>
      </c>
    </row>
    <row r="18">
      <c r="A18" s="196" t="str">
        <f>IFERROR(__xludf.DUMMYFUNCTION("""COMPUTED_VALUE"""),"Force")</f>
        <v>Force</v>
      </c>
      <c r="B18" s="197" t="str">
        <f>IFERROR(__xludf.DUMMYFUNCTION("""COMPUTED_VALUE"""),"the")</f>
        <v>the</v>
      </c>
      <c r="C18" s="197">
        <f t="shared" si="1"/>
        <v>29</v>
      </c>
      <c r="D18" s="20" t="s">
        <v>2152</v>
      </c>
      <c r="E18" s="20">
        <v>3.0</v>
      </c>
    </row>
    <row r="19">
      <c r="A19" s="196"/>
      <c r="B19" s="197" t="str">
        <f>IFERROR(__xludf.DUMMYFUNCTION("""COMPUTED_VALUE"""),"Desert")</f>
        <v>Desert</v>
      </c>
      <c r="C19" s="197">
        <f t="shared" si="1"/>
        <v>2</v>
      </c>
      <c r="D19" s="20" t="s">
        <v>2153</v>
      </c>
      <c r="E19" s="20">
        <v>3.0</v>
      </c>
    </row>
    <row r="20">
      <c r="A20" s="196"/>
      <c r="B20" s="197" t="str">
        <f>IFERROR(__xludf.DUMMYFUNCTION("""COMPUTED_VALUE"""),"Winds")</f>
        <v>Winds</v>
      </c>
      <c r="C20" s="197">
        <f t="shared" si="1"/>
        <v>1</v>
      </c>
      <c r="D20" s="20" t="s">
        <v>2154</v>
      </c>
      <c r="E20" s="20">
        <v>3.0</v>
      </c>
    </row>
    <row r="21">
      <c r="A21" s="196"/>
      <c r="B21" s="197" t="str">
        <f>IFERROR(__xludf.DUMMYFUNCTION("""COMPUTED_VALUE"""),"Cryptosphinx")</f>
        <v>Cryptosphinx</v>
      </c>
      <c r="C21" s="197">
        <f t="shared" si="1"/>
        <v>1</v>
      </c>
      <c r="D21" s="20" t="s">
        <v>2155</v>
      </c>
      <c r="E21" s="20">
        <v>3.0</v>
      </c>
    </row>
    <row r="22">
      <c r="A22" s="196" t="str">
        <f>IFERROR(__xludf.DUMMYFUNCTION("""COMPUTED_VALUE"""),"Baby")</f>
        <v>Baby</v>
      </c>
      <c r="B22" s="197" t="str">
        <f>IFERROR(__xludf.DUMMYFUNCTION("""COMPUTED_VALUE"""),"Damaged")</f>
        <v>Damaged</v>
      </c>
      <c r="C22" s="197">
        <f t="shared" si="1"/>
        <v>1</v>
      </c>
      <c r="D22" s="20" t="s">
        <v>2156</v>
      </c>
      <c r="E22" s="20">
        <v>3.0</v>
      </c>
    </row>
    <row r="23">
      <c r="A23" s="196" t="str">
        <f>IFERROR(__xludf.DUMMYFUNCTION("""COMPUTED_VALUE"""),"Lamassu")</f>
        <v>Lamassu</v>
      </c>
      <c r="B23" s="197" t="str">
        <f>IFERROR(__xludf.DUMMYFUNCTION("""COMPUTED_VALUE"""),"Automaton")</f>
        <v>Automaton</v>
      </c>
      <c r="C23" s="197">
        <f t="shared" si="1"/>
        <v>2</v>
      </c>
      <c r="D23" s="20" t="s">
        <v>2157</v>
      </c>
      <c r="E23" s="20">
        <v>3.0</v>
      </c>
    </row>
    <row r="24">
      <c r="A24" s="196"/>
      <c r="B24" s="197" t="str">
        <f>IFERROR(__xludf.DUMMYFUNCTION("""COMPUTED_VALUE"""),"Diviner")</f>
        <v>Diviner</v>
      </c>
      <c r="C24" s="197">
        <f t="shared" si="1"/>
        <v>2</v>
      </c>
      <c r="D24" s="20" t="s">
        <v>2128</v>
      </c>
      <c r="E24" s="20">
        <v>3.0</v>
      </c>
    </row>
    <row r="25">
      <c r="A25" s="196"/>
      <c r="B25" s="197" t="str">
        <f>IFERROR(__xludf.DUMMYFUNCTION("""COMPUTED_VALUE"""),"Fates")</f>
        <v>Fates</v>
      </c>
      <c r="C25" s="197">
        <f t="shared" si="1"/>
        <v>1</v>
      </c>
      <c r="D25" s="20" t="s">
        <v>2158</v>
      </c>
      <c r="E25" s="20">
        <v>3.0</v>
      </c>
    </row>
    <row r="26">
      <c r="A26" s="196"/>
      <c r="B26" s="197" t="str">
        <f>IFERROR(__xludf.DUMMYFUNCTION("""COMPUTED_VALUE"""),"Doma")</f>
        <v>Doma</v>
      </c>
      <c r="C26" s="197">
        <f t="shared" si="1"/>
        <v>1</v>
      </c>
      <c r="D26" s="20" t="s">
        <v>2159</v>
      </c>
      <c r="E26" s="20">
        <v>3.0</v>
      </c>
    </row>
    <row r="27">
      <c r="A27" s="196" t="str">
        <f>IFERROR(__xludf.DUMMYFUNCTION("""COMPUTED_VALUE"""),"Blackmarble")</f>
        <v>Blackmarble</v>
      </c>
      <c r="B27" s="197" t="str">
        <f>IFERROR(__xludf.DUMMYFUNCTION("""COMPUTED_VALUE"""),"Angel")</f>
        <v>Angel</v>
      </c>
      <c r="C27" s="197">
        <f t="shared" si="1"/>
        <v>3</v>
      </c>
      <c r="D27" s="20" t="s">
        <v>2160</v>
      </c>
      <c r="E27" s="20">
        <v>3.0</v>
      </c>
    </row>
    <row r="28">
      <c r="A28" s="196" t="str">
        <f>IFERROR(__xludf.DUMMYFUNCTION("""COMPUTED_VALUE"""),"Gargoyle")</f>
        <v>Gargoyle</v>
      </c>
      <c r="B28" s="197" t="str">
        <f>IFERROR(__xludf.DUMMYFUNCTION("""COMPUTED_VALUE"""),"Dove")</f>
        <v>Dove</v>
      </c>
      <c r="C28" s="197">
        <f t="shared" si="1"/>
        <v>1</v>
      </c>
      <c r="D28" s="20" t="s">
        <v>2161</v>
      </c>
      <c r="E28" s="20">
        <v>3.0</v>
      </c>
    </row>
    <row r="29">
      <c r="A29" s="196"/>
      <c r="B29" s="197" t="str">
        <f>IFERROR(__xludf.DUMMYFUNCTION("""COMPUTED_VALUE"""),"Serenity")</f>
        <v>Serenity</v>
      </c>
      <c r="C29" s="197">
        <f t="shared" si="1"/>
        <v>1</v>
      </c>
      <c r="D29" s="20" t="s">
        <v>2162</v>
      </c>
      <c r="E29" s="20">
        <v>2.0</v>
      </c>
    </row>
    <row r="30">
      <c r="A30" s="196"/>
      <c r="B30" s="197" t="str">
        <f>IFERROR(__xludf.DUMMYFUNCTION("""COMPUTED_VALUE"""),"Dream")</f>
        <v>Dream</v>
      </c>
      <c r="C30" s="197">
        <f t="shared" si="1"/>
        <v>1</v>
      </c>
      <c r="D30" s="20" t="s">
        <v>2163</v>
      </c>
      <c r="E30" s="20">
        <v>2.0</v>
      </c>
    </row>
    <row r="31">
      <c r="A31" s="196"/>
      <c r="B31" s="197" t="str">
        <f>IFERROR(__xludf.DUMMYFUNCTION("""COMPUTED_VALUE"""),"Traveler")</f>
        <v>Traveler</v>
      </c>
      <c r="C31" s="197">
        <f t="shared" si="1"/>
        <v>1</v>
      </c>
      <c r="D31" s="20" t="s">
        <v>2164</v>
      </c>
      <c r="E31" s="20">
        <v>2.0</v>
      </c>
    </row>
    <row r="32">
      <c r="A32" s="196" t="str">
        <f>IFERROR(__xludf.DUMMYFUNCTION("""COMPUTED_VALUE"""),"Chronosand")</f>
        <v>Chronosand</v>
      </c>
      <c r="B32" s="197" t="str">
        <f>IFERROR(__xludf.DUMMYFUNCTION("""COMPUTED_VALUE"""),"Embalmed")</f>
        <v>Embalmed</v>
      </c>
      <c r="C32" s="197">
        <f t="shared" si="1"/>
        <v>1</v>
      </c>
      <c r="D32" s="20" t="s">
        <v>2165</v>
      </c>
      <c r="E32" s="20">
        <v>2.0</v>
      </c>
    </row>
    <row r="33">
      <c r="A33" s="196" t="str">
        <f>IFERROR(__xludf.DUMMYFUNCTION("""COMPUTED_VALUE"""),"Sphinx")</f>
        <v>Sphinx</v>
      </c>
      <c r="B33" s="197" t="str">
        <f>IFERROR(__xludf.DUMMYFUNCTION("""COMPUTED_VALUE"""),"Apophis")</f>
        <v>Apophis</v>
      </c>
      <c r="C33" s="197">
        <f t="shared" si="1"/>
        <v>1</v>
      </c>
      <c r="D33" s="20" t="s">
        <v>2166</v>
      </c>
      <c r="E33" s="20">
        <v>2.0</v>
      </c>
    </row>
    <row r="34">
      <c r="A34" s="196"/>
      <c r="B34" s="197" t="str">
        <f>IFERROR(__xludf.DUMMYFUNCTION("""COMPUTED_VALUE"""),"Feline")</f>
        <v>Feline</v>
      </c>
      <c r="C34" s="197">
        <f t="shared" si="1"/>
        <v>1</v>
      </c>
      <c r="D34" s="20" t="s">
        <v>2167</v>
      </c>
      <c r="E34" s="20">
        <v>2.0</v>
      </c>
    </row>
    <row r="35">
      <c r="A35" s="196"/>
      <c r="B35" s="197" t="str">
        <f>IFERROR(__xludf.DUMMYFUNCTION("""COMPUTED_VALUE"""),"Ushabti")</f>
        <v>Ushabti</v>
      </c>
      <c r="C35" s="197">
        <f t="shared" si="1"/>
        <v>4</v>
      </c>
      <c r="D35" s="20" t="s">
        <v>2168</v>
      </c>
      <c r="E35" s="20">
        <v>2.0</v>
      </c>
    </row>
    <row r="36">
      <c r="A36" s="196"/>
      <c r="B36" s="197" t="str">
        <f>IFERROR(__xludf.DUMMYFUNCTION("""COMPUTED_VALUE"""),"Guardian")</f>
        <v>Guardian</v>
      </c>
      <c r="C36" s="197">
        <f t="shared" si="1"/>
        <v>4</v>
      </c>
      <c r="D36" s="20" t="s">
        <v>2169</v>
      </c>
      <c r="E36" s="20">
        <v>2.0</v>
      </c>
    </row>
    <row r="37">
      <c r="A37" s="196" t="str">
        <f>IFERROR(__xludf.DUMMYFUNCTION("""COMPUTED_VALUE"""),"Crusader")</f>
        <v>Crusader</v>
      </c>
      <c r="B37" s="197" t="str">
        <f>IFERROR(__xludf.DUMMYFUNCTION("""COMPUTED_VALUE"""),"Gates")</f>
        <v>Gates</v>
      </c>
      <c r="C37" s="197">
        <f t="shared" si="1"/>
        <v>1</v>
      </c>
      <c r="D37" s="20" t="s">
        <v>2170</v>
      </c>
      <c r="E37" s="20">
        <v>2.0</v>
      </c>
    </row>
    <row r="38">
      <c r="A38" s="196" t="str">
        <f>IFERROR(__xludf.DUMMYFUNCTION("""COMPUTED_VALUE"""),"of")</f>
        <v>of</v>
      </c>
      <c r="B38" s="197" t="str">
        <f>IFERROR(__xludf.DUMMYFUNCTION("""COMPUTED_VALUE"""),"Hallowed")</f>
        <v>Hallowed</v>
      </c>
      <c r="C38" s="197">
        <f t="shared" si="1"/>
        <v>1</v>
      </c>
      <c r="D38" s="20" t="s">
        <v>1943</v>
      </c>
      <c r="E38" s="20">
        <v>2.0</v>
      </c>
    </row>
    <row r="39">
      <c r="A39" s="196" t="str">
        <f>IFERROR(__xludf.DUMMYFUNCTION("""COMPUTED_VALUE"""),"the")</f>
        <v>the</v>
      </c>
      <c r="B39" s="197" t="str">
        <f>IFERROR(__xludf.DUMMYFUNCTION("""COMPUTED_VALUE"""),"Exorcist")</f>
        <v>Exorcist</v>
      </c>
      <c r="C39" s="197">
        <f t="shared" si="1"/>
        <v>1</v>
      </c>
      <c r="D39" s="20" t="s">
        <v>2171</v>
      </c>
      <c r="E39" s="20">
        <v>2.0</v>
      </c>
    </row>
    <row r="40">
      <c r="A40" s="196" t="str">
        <f>IFERROR(__xludf.DUMMYFUNCTION("""COMPUTED_VALUE"""),"Desert")</f>
        <v>Desert</v>
      </c>
      <c r="B40" s="197" t="str">
        <f>IFERROR(__xludf.DUMMYFUNCTION("""COMPUTED_VALUE"""),"Harmonic")</f>
        <v>Harmonic</v>
      </c>
      <c r="C40" s="197">
        <f t="shared" si="1"/>
        <v>1</v>
      </c>
      <c r="D40" s="20" t="s">
        <v>2172</v>
      </c>
      <c r="E40" s="20">
        <v>2.0</v>
      </c>
    </row>
    <row r="41">
      <c r="A41" s="196" t="str">
        <f>IFERROR(__xludf.DUMMYFUNCTION("""COMPUTED_VALUE"""),"Winds")</f>
        <v>Winds</v>
      </c>
      <c r="B41" s="197" t="str">
        <f>IFERROR(__xludf.DUMMYFUNCTION("""COMPUTED_VALUE"""),"Echo")</f>
        <v>Echo</v>
      </c>
      <c r="C41" s="197">
        <f t="shared" si="1"/>
        <v>2</v>
      </c>
      <c r="D41" s="20" t="s">
        <v>2173</v>
      </c>
      <c r="E41" s="20">
        <v>2.0</v>
      </c>
    </row>
    <row r="42">
      <c r="A42" s="196" t="str">
        <f>IFERROR(__xludf.DUMMYFUNCTION("""COMPUTED_VALUE"""),"Cryptosphinx")</f>
        <v>Cryptosphinx</v>
      </c>
      <c r="B42" s="197" t="str">
        <f>IFERROR(__xludf.DUMMYFUNCTION("""COMPUTED_VALUE"""),"Ibis")</f>
        <v>Ibis</v>
      </c>
      <c r="C42" s="197">
        <f t="shared" si="1"/>
        <v>1</v>
      </c>
      <c r="D42" s="20" t="s">
        <v>2174</v>
      </c>
      <c r="E42" s="20">
        <v>2.0</v>
      </c>
    </row>
    <row r="43">
      <c r="A43" s="196"/>
      <c r="B43" s="197" t="str">
        <f>IFERROR(__xludf.DUMMYFUNCTION("""COMPUTED_VALUE"""),"Herald")</f>
        <v>Herald</v>
      </c>
      <c r="C43" s="197">
        <f t="shared" si="1"/>
        <v>1</v>
      </c>
      <c r="D43" s="20" t="s">
        <v>2175</v>
      </c>
      <c r="E43" s="20">
        <v>2.0</v>
      </c>
    </row>
    <row r="44">
      <c r="A44" s="196"/>
      <c r="B44" s="197" t="str">
        <f>IFERROR(__xludf.DUMMYFUNCTION("""COMPUTED_VALUE"""),"Eternal")</f>
        <v>Eternal</v>
      </c>
      <c r="C44" s="197">
        <f t="shared" si="1"/>
        <v>1</v>
      </c>
      <c r="D44" s="20" t="s">
        <v>2176</v>
      </c>
      <c r="E44" s="20">
        <v>2.0</v>
      </c>
    </row>
    <row r="45">
      <c r="A45" s="196"/>
      <c r="B45" s="197" t="str">
        <f>IFERROR(__xludf.DUMMYFUNCTION("""COMPUTED_VALUE"""),"Grace")</f>
        <v>Grace</v>
      </c>
      <c r="C45" s="197">
        <f t="shared" si="1"/>
        <v>1</v>
      </c>
      <c r="D45" s="20" t="s">
        <v>2177</v>
      </c>
      <c r="E45" s="20">
        <v>2.0</v>
      </c>
    </row>
    <row r="46">
      <c r="A46" s="196"/>
      <c r="B46" s="197" t="str">
        <f>IFERROR(__xludf.DUMMYFUNCTION("""COMPUTED_VALUE"""),"Maze")</f>
        <v>Maze</v>
      </c>
      <c r="C46" s="197">
        <f t="shared" si="1"/>
        <v>1</v>
      </c>
      <c r="D46" s="20" t="s">
        <v>2178</v>
      </c>
      <c r="E46" s="20">
        <v>2.0</v>
      </c>
    </row>
    <row r="47">
      <c r="A47" s="196" t="str">
        <f>IFERROR(__xludf.DUMMYFUNCTION("""COMPUTED_VALUE"""),"Damaged")</f>
        <v>Damaged</v>
      </c>
      <c r="B47" s="197" t="str">
        <f>IFERROR(__xludf.DUMMYFUNCTION("""COMPUTED_VALUE"""),"Master")</f>
        <v>Master</v>
      </c>
      <c r="C47" s="197">
        <f t="shared" si="1"/>
        <v>3</v>
      </c>
      <c r="D47" s="20" t="s">
        <v>2179</v>
      </c>
      <c r="E47" s="20">
        <v>2.0</v>
      </c>
    </row>
    <row r="48">
      <c r="A48" s="196" t="str">
        <f>IFERROR(__xludf.DUMMYFUNCTION("""COMPUTED_VALUE"""),"Automaton")</f>
        <v>Automaton</v>
      </c>
      <c r="B48" s="197" t="str">
        <f>IFERROR(__xludf.DUMMYFUNCTION("""COMPUTED_VALUE"""),"Ivoryscar")</f>
        <v>Ivoryscar</v>
      </c>
      <c r="C48" s="197">
        <f t="shared" si="1"/>
        <v>4</v>
      </c>
      <c r="D48" s="20" t="s">
        <v>2180</v>
      </c>
      <c r="E48" s="20">
        <v>2.0</v>
      </c>
    </row>
    <row r="49">
      <c r="A49" s="196"/>
      <c r="B49" s="197" t="str">
        <f>IFERROR(__xludf.DUMMYFUNCTION("""COMPUTED_VALUE"""),"Cursewing")</f>
        <v>Cursewing</v>
      </c>
      <c r="C49" s="197">
        <f t="shared" si="1"/>
        <v>1</v>
      </c>
      <c r="D49" s="20" t="s">
        <v>2181</v>
      </c>
      <c r="E49" s="20">
        <v>2.0</v>
      </c>
    </row>
    <row r="50">
      <c r="A50" s="196"/>
      <c r="B50" s="197" t="str">
        <f>IFERROR(__xludf.DUMMYFUNCTION("""COMPUTED_VALUE"""),"Magistrate")</f>
        <v>Magistrate</v>
      </c>
      <c r="C50" s="197">
        <f t="shared" si="1"/>
        <v>1</v>
      </c>
      <c r="D50" s="20" t="s">
        <v>2182</v>
      </c>
      <c r="E50" s="20">
        <v>2.0</v>
      </c>
    </row>
    <row r="51">
      <c r="A51" s="196"/>
      <c r="B51" s="197" t="str">
        <f>IFERROR(__xludf.DUMMYFUNCTION("""COMPUTED_VALUE"""),"Kylix")</f>
        <v>Kylix</v>
      </c>
      <c r="C51" s="197">
        <f t="shared" si="1"/>
        <v>1</v>
      </c>
      <c r="D51" s="20" t="s">
        <v>2183</v>
      </c>
      <c r="E51" s="20">
        <v>2.0</v>
      </c>
    </row>
    <row r="52">
      <c r="A52" s="196" t="str">
        <f>IFERROR(__xludf.DUMMYFUNCTION("""COMPUTED_VALUE"""),"Diviner")</f>
        <v>Diviner</v>
      </c>
      <c r="B52" s="197" t="str">
        <f>IFERROR(__xludf.DUMMYFUNCTION("""COMPUTED_VALUE"""),"Excess")</f>
        <v>Excess</v>
      </c>
      <c r="C52" s="197">
        <f t="shared" si="1"/>
        <v>1</v>
      </c>
      <c r="D52" s="20" t="s">
        <v>2184</v>
      </c>
      <c r="E52" s="20">
        <v>2.0</v>
      </c>
    </row>
    <row r="53">
      <c r="A53" s="196" t="str">
        <f>IFERROR(__xludf.DUMMYFUNCTION("""COMPUTED_VALUE"""),"of")</f>
        <v>of</v>
      </c>
      <c r="B53" s="197" t="str">
        <f>IFERROR(__xludf.DUMMYFUNCTION("""COMPUTED_VALUE"""),"Mystic")</f>
        <v>Mystic</v>
      </c>
      <c r="C53" s="197">
        <f t="shared" si="1"/>
        <v>1</v>
      </c>
      <c r="D53" s="20" t="s">
        <v>2185</v>
      </c>
      <c r="E53" s="20">
        <v>2.0</v>
      </c>
    </row>
    <row r="54">
      <c r="A54" s="196" t="str">
        <f>IFERROR(__xludf.DUMMYFUNCTION("""COMPUTED_VALUE"""),"Fates")</f>
        <v>Fates</v>
      </c>
      <c r="B54" s="197" t="str">
        <f>IFERROR(__xludf.DUMMYFUNCTION("""COMPUTED_VALUE"""),"Puzzle")</f>
        <v>Puzzle</v>
      </c>
      <c r="C54" s="197">
        <f t="shared" si="1"/>
        <v>1</v>
      </c>
      <c r="D54" s="20" t="s">
        <v>2186</v>
      </c>
      <c r="E54" s="20">
        <v>2.0</v>
      </c>
    </row>
    <row r="55">
      <c r="A55" s="196"/>
      <c r="B55" s="197" t="str">
        <f>IFERROR(__xludf.DUMMYFUNCTION("""COMPUTED_VALUE"""),"Box")</f>
        <v>Box</v>
      </c>
      <c r="C55" s="197">
        <f t="shared" si="1"/>
        <v>1</v>
      </c>
      <c r="D55" s="20" t="s">
        <v>2187</v>
      </c>
      <c r="E55" s="20">
        <v>2.0</v>
      </c>
    </row>
    <row r="56">
      <c r="A56" s="196"/>
      <c r="B56" s="197" t="str">
        <f>IFERROR(__xludf.DUMMYFUNCTION("""COMPUTED_VALUE"""),"Monolith")</f>
        <v>Monolith</v>
      </c>
      <c r="C56" s="197">
        <f t="shared" si="1"/>
        <v>1</v>
      </c>
      <c r="D56" s="20" t="s">
        <v>2123</v>
      </c>
      <c r="E56" s="20">
        <v>2.0</v>
      </c>
    </row>
    <row r="57">
      <c r="A57" s="196" t="str">
        <f>IFERROR(__xludf.DUMMYFUNCTION("""COMPUTED_VALUE"""),"Doma")</f>
        <v>Doma</v>
      </c>
      <c r="B57" s="197" t="str">
        <f>IFERROR(__xludf.DUMMYFUNCTION("""COMPUTED_VALUE"""),"Meditation")</f>
        <v>Meditation</v>
      </c>
      <c r="C57" s="197">
        <f t="shared" si="1"/>
        <v>1</v>
      </c>
      <c r="D57" s="20" t="s">
        <v>2188</v>
      </c>
      <c r="E57" s="20">
        <v>2.0</v>
      </c>
    </row>
    <row r="58">
      <c r="A58" s="196" t="str">
        <f>IFERROR(__xludf.DUMMYFUNCTION("""COMPUTED_VALUE"""),"Angel")</f>
        <v>Angel</v>
      </c>
      <c r="B58" s="197" t="str">
        <f>IFERROR(__xludf.DUMMYFUNCTION("""COMPUTED_VALUE"""),"Oasis")</f>
        <v>Oasis</v>
      </c>
      <c r="C58" s="197">
        <f t="shared" si="1"/>
        <v>1</v>
      </c>
      <c r="D58" s="20" t="s">
        <v>2189</v>
      </c>
      <c r="E58" s="20">
        <v>2.0</v>
      </c>
    </row>
    <row r="59">
      <c r="A59" s="196"/>
      <c r="B59" s="197" t="str">
        <f>IFERROR(__xludf.DUMMYFUNCTION("""COMPUTED_VALUE"""),"Sprite")</f>
        <v>Sprite</v>
      </c>
      <c r="C59" s="197">
        <f t="shared" si="1"/>
        <v>4</v>
      </c>
      <c r="D59" s="20" t="s">
        <v>2190</v>
      </c>
      <c r="E59" s="20">
        <v>2.0</v>
      </c>
    </row>
    <row r="60">
      <c r="A60" s="196"/>
      <c r="B60" s="197" t="str">
        <f>IFERROR(__xludf.DUMMYFUNCTION("""COMPUTED_VALUE"""),"Pharaoh's")</f>
        <v>Pharaoh's</v>
      </c>
      <c r="C60" s="197">
        <f t="shared" si="1"/>
        <v>1</v>
      </c>
      <c r="D60" s="20" t="s">
        <v>2191</v>
      </c>
      <c r="E60" s="20">
        <v>2.0</v>
      </c>
    </row>
    <row r="61">
      <c r="A61" s="196"/>
      <c r="B61" s="197" t="str">
        <f>IFERROR(__xludf.DUMMYFUNCTION("""COMPUTED_VALUE"""),"Bodyguard")</f>
        <v>Bodyguard</v>
      </c>
      <c r="C61" s="197">
        <f t="shared" si="1"/>
        <v>1</v>
      </c>
      <c r="D61" s="20" t="s">
        <v>2192</v>
      </c>
      <c r="E61" s="20">
        <v>2.0</v>
      </c>
    </row>
    <row r="62">
      <c r="A62" s="196" t="str">
        <f>IFERROR(__xludf.DUMMYFUNCTION("""COMPUTED_VALUE"""),"Dove")</f>
        <v>Dove</v>
      </c>
      <c r="B62" s="197" t="str">
        <f>IFERROR(__xludf.DUMMYFUNCTION("""COMPUTED_VALUE"""),"Scripture")</f>
        <v>Scripture</v>
      </c>
      <c r="C62" s="197">
        <f t="shared" si="1"/>
        <v>1</v>
      </c>
      <c r="D62" s="20" t="s">
        <v>2193</v>
      </c>
      <c r="E62" s="20">
        <v>2.0</v>
      </c>
    </row>
    <row r="63">
      <c r="A63" s="196" t="str">
        <f>IFERROR(__xludf.DUMMYFUNCTION("""COMPUTED_VALUE"""),"of")</f>
        <v>of</v>
      </c>
      <c r="B63" s="197" t="str">
        <f>IFERROR(__xludf.DUMMYFUNCTION("""COMPUTED_VALUE"""),"Monkey")</f>
        <v>Monkey</v>
      </c>
      <c r="C63" s="197">
        <f t="shared" si="1"/>
        <v>1</v>
      </c>
      <c r="D63" s="20" t="s">
        <v>2127</v>
      </c>
      <c r="E63" s="20">
        <v>2.0</v>
      </c>
    </row>
    <row r="64">
      <c r="A64" s="196" t="str">
        <f>IFERROR(__xludf.DUMMYFUNCTION("""COMPUTED_VALUE"""),"Serenity")</f>
        <v>Serenity</v>
      </c>
      <c r="B64" s="197" t="str">
        <f>IFERROR(__xludf.DUMMYFUNCTION("""COMPUTED_VALUE"""),"Pyramidion")</f>
        <v>Pyramidion</v>
      </c>
      <c r="C64" s="197">
        <f t="shared" si="1"/>
        <v>1</v>
      </c>
      <c r="D64" s="20" t="s">
        <v>2194</v>
      </c>
      <c r="E64" s="20">
        <v>2.0</v>
      </c>
    </row>
    <row r="65">
      <c r="A65" s="196"/>
      <c r="B65" s="197" t="str">
        <f>IFERROR(__xludf.DUMMYFUNCTION("""COMPUTED_VALUE"""),"Sekhem")</f>
        <v>Sekhem</v>
      </c>
      <c r="C65" s="197">
        <f t="shared" si="1"/>
        <v>1</v>
      </c>
      <c r="D65" s="20" t="s">
        <v>2195</v>
      </c>
      <c r="E65" s="20">
        <v>2.0</v>
      </c>
    </row>
    <row r="66">
      <c r="A66" s="196"/>
      <c r="B66" s="197" t="str">
        <f>IFERROR(__xludf.DUMMYFUNCTION("""COMPUTED_VALUE"""),"Chariot")</f>
        <v>Chariot</v>
      </c>
      <c r="C66" s="197">
        <f t="shared" si="1"/>
        <v>1</v>
      </c>
      <c r="D66" s="20" t="s">
        <v>2196</v>
      </c>
      <c r="E66" s="20">
        <v>2.0</v>
      </c>
    </row>
    <row r="67">
      <c r="A67" s="196" t="str">
        <f>IFERROR(__xludf.DUMMYFUNCTION("""COMPUTED_VALUE"""),"Dream")</f>
        <v>Dream</v>
      </c>
      <c r="B67" s="197" t="str">
        <f>IFERROR(__xludf.DUMMYFUNCTION("""COMPUTED_VALUE"""),"Obsidian")</f>
        <v>Obsidian</v>
      </c>
      <c r="C67" s="197">
        <f t="shared" si="1"/>
        <v>1</v>
      </c>
      <c r="D67" s="20" t="s">
        <v>2197</v>
      </c>
      <c r="E67" s="20">
        <v>2.0</v>
      </c>
    </row>
    <row r="68">
      <c r="A68" s="196" t="str">
        <f>IFERROR(__xludf.DUMMYFUNCTION("""COMPUTED_VALUE"""),"Traveler")</f>
        <v>Traveler</v>
      </c>
      <c r="B68" s="197" t="str">
        <f>IFERROR(__xludf.DUMMYFUNCTION("""COMPUTED_VALUE"""),"Scarab")</f>
        <v>Scarab</v>
      </c>
      <c r="C68" s="197">
        <f t="shared" si="1"/>
        <v>2</v>
      </c>
      <c r="D68" s="20" t="s">
        <v>2198</v>
      </c>
      <c r="E68" s="20">
        <v>2.0</v>
      </c>
    </row>
    <row r="69">
      <c r="A69" s="196"/>
      <c r="B69" s="197" t="str">
        <f>IFERROR(__xludf.DUMMYFUNCTION("""COMPUTED_VALUE"""),"Solarsteel")</f>
        <v>Solarsteel</v>
      </c>
      <c r="C69" s="197">
        <f t="shared" si="1"/>
        <v>1</v>
      </c>
      <c r="D69" s="20" t="s">
        <v>2199</v>
      </c>
      <c r="E69" s="20">
        <v>2.0</v>
      </c>
    </row>
    <row r="70">
      <c r="A70" s="196"/>
      <c r="B70" s="197" t="str">
        <f>IFERROR(__xludf.DUMMYFUNCTION("""COMPUTED_VALUE"""),"Prodigy")</f>
        <v>Prodigy</v>
      </c>
      <c r="C70" s="197">
        <f t="shared" si="1"/>
        <v>1</v>
      </c>
      <c r="D70" s="20" t="s">
        <v>2200</v>
      </c>
      <c r="E70" s="20">
        <v>2.0</v>
      </c>
    </row>
    <row r="71">
      <c r="A71" s="196"/>
      <c r="B71" s="197" t="str">
        <f>IFERROR(__xludf.DUMMYFUNCTION("""COMPUTED_VALUE"""),"Starforger")</f>
        <v>Starforger</v>
      </c>
      <c r="C71" s="197">
        <f t="shared" si="1"/>
        <v>1</v>
      </c>
      <c r="D71" s="20" t="s">
        <v>2201</v>
      </c>
      <c r="E71" s="20">
        <v>2.0</v>
      </c>
    </row>
    <row r="72">
      <c r="A72" s="196" t="str">
        <f>IFERROR(__xludf.DUMMYFUNCTION("""COMPUTED_VALUE"""),"Embalmed")</f>
        <v>Embalmed</v>
      </c>
      <c r="B72" s="197" t="str">
        <f>IFERROR(__xludf.DUMMYFUNCTION("""COMPUTED_VALUE"""),"Swiftblade")</f>
        <v>Swiftblade</v>
      </c>
      <c r="C72" s="197">
        <f t="shared" si="1"/>
        <v>1</v>
      </c>
      <c r="D72" s="20" t="s">
        <v>2202</v>
      </c>
      <c r="E72" s="20">
        <v>2.0</v>
      </c>
    </row>
    <row r="73">
      <c r="A73" s="196" t="str">
        <f>IFERROR(__xludf.DUMMYFUNCTION("""COMPUTED_VALUE"""),"Apophis")</f>
        <v>Apophis</v>
      </c>
      <c r="B73" s="197" t="str">
        <f>IFERROR(__xludf.DUMMYFUNCTION("""COMPUTED_VALUE"""),"Revenger")</f>
        <v>Revenger</v>
      </c>
      <c r="C73" s="197">
        <f t="shared" si="1"/>
        <v>1</v>
      </c>
      <c r="D73" s="20" t="s">
        <v>2203</v>
      </c>
      <c r="E73" s="20">
        <v>2.0</v>
      </c>
    </row>
    <row r="74">
      <c r="A74" s="196"/>
      <c r="B74" s="197" t="str">
        <f>IFERROR(__xludf.DUMMYFUNCTION("""COMPUTED_VALUE"""),"The")</f>
        <v>The</v>
      </c>
      <c r="C74" s="197">
        <f t="shared" si="1"/>
        <v>29</v>
      </c>
      <c r="D74" s="20" t="s">
        <v>2204</v>
      </c>
      <c r="E74" s="20">
        <v>2.0</v>
      </c>
    </row>
    <row r="75">
      <c r="A75" s="196"/>
      <c r="B75" s="197" t="str">
        <f>IFERROR(__xludf.DUMMYFUNCTION("""COMPUTED_VALUE"""),"Kitty")</f>
        <v>Kitty</v>
      </c>
      <c r="C75" s="197">
        <f t="shared" si="1"/>
        <v>1</v>
      </c>
      <c r="D75" s="20" t="s">
        <v>2205</v>
      </c>
      <c r="E75" s="20">
        <v>2.0</v>
      </c>
    </row>
    <row r="76">
      <c r="A76" s="196"/>
      <c r="B76" s="197" t="str">
        <f>IFERROR(__xludf.DUMMYFUNCTION("""COMPUTED_VALUE"""),"Thamiel")</f>
        <v>Thamiel</v>
      </c>
      <c r="C76" s="197">
        <f t="shared" si="1"/>
        <v>1</v>
      </c>
      <c r="D76" s="20" t="s">
        <v>2206</v>
      </c>
      <c r="E76" s="20">
        <v>2.0</v>
      </c>
    </row>
    <row r="77">
      <c r="A77" s="196" t="str">
        <f>IFERROR(__xludf.DUMMYFUNCTION("""COMPUTED_VALUE"""),"Feline")</f>
        <v>Feline</v>
      </c>
      <c r="B77" s="197" t="str">
        <f>IFERROR(__xludf.DUMMYFUNCTION("""COMPUTED_VALUE"""),"Thunderswarm")</f>
        <v>Thunderswarm</v>
      </c>
      <c r="C77" s="197">
        <f t="shared" si="1"/>
        <v>4</v>
      </c>
      <c r="D77" s="20" t="s">
        <v>2207</v>
      </c>
      <c r="E77" s="20">
        <v>2.0</v>
      </c>
    </row>
    <row r="78">
      <c r="A78" s="196" t="str">
        <f>IFERROR(__xludf.DUMMYFUNCTION("""COMPUTED_VALUE"""),"Ushabti")</f>
        <v>Ushabti</v>
      </c>
      <c r="B78" s="197" t="str">
        <f>IFERROR(__xludf.DUMMYFUNCTION("""COMPUTED_VALUE"""),"Skirmisher")</f>
        <v>Skirmisher</v>
      </c>
      <c r="C78" s="197">
        <f t="shared" si="1"/>
        <v>1</v>
      </c>
      <c r="D78" s="20" t="s">
        <v>2208</v>
      </c>
      <c r="E78" s="20">
        <v>2.0</v>
      </c>
    </row>
    <row r="79">
      <c r="A79" s="196"/>
      <c r="B79" s="197" t="str">
        <f>IFERROR(__xludf.DUMMYFUNCTION("""COMPUTED_VALUE"""),"Tranquil")</f>
        <v>Tranquil</v>
      </c>
      <c r="C79" s="197">
        <f t="shared" si="1"/>
        <v>3</v>
      </c>
      <c r="D79" s="20" t="s">
        <v>2209</v>
      </c>
      <c r="E79" s="20">
        <v>2.0</v>
      </c>
    </row>
    <row r="80">
      <c r="A80" s="196"/>
      <c r="B80" s="197" t="str">
        <f>IFERROR(__xludf.DUMMYFUNCTION("""COMPUTED_VALUE"""),"Herd")</f>
        <v>Herd</v>
      </c>
      <c r="C80" s="197">
        <f t="shared" si="1"/>
        <v>3</v>
      </c>
      <c r="D80" s="20" t="s">
        <v>2210</v>
      </c>
      <c r="E80" s="20">
        <v>2.0</v>
      </c>
    </row>
    <row r="81">
      <c r="A81" s="196"/>
      <c r="B81" s="197" t="str">
        <f>IFERROR(__xludf.DUMMYFUNCTION("""COMPUTED_VALUE"""),"Gem")</f>
        <v>Gem</v>
      </c>
      <c r="C81" s="197">
        <f t="shared" si="1"/>
        <v>2</v>
      </c>
      <c r="D81" s="20" t="s">
        <v>2211</v>
      </c>
      <c r="E81" s="20">
        <v>2.0</v>
      </c>
    </row>
    <row r="82">
      <c r="A82" s="196" t="str">
        <f>IFERROR(__xludf.DUMMYFUNCTION("""COMPUTED_VALUE"""),"Guardian")</f>
        <v>Guardian</v>
      </c>
      <c r="B82" s="197" t="str">
        <f>IFERROR(__xludf.DUMMYFUNCTION("""COMPUTED_VALUE"""),"Titan")</f>
        <v>Titan</v>
      </c>
      <c r="C82" s="197">
        <f t="shared" si="1"/>
        <v>2</v>
      </c>
      <c r="D82" s="20" t="s">
        <v>2212</v>
      </c>
      <c r="E82" s="20">
        <v>2.0</v>
      </c>
    </row>
    <row r="83">
      <c r="A83" s="196" t="str">
        <f>IFERROR(__xludf.DUMMYFUNCTION("""COMPUTED_VALUE"""),"of")</f>
        <v>of</v>
      </c>
      <c r="B83" s="197" t="str">
        <f>IFERROR(__xludf.DUMMYFUNCTION("""COMPUTED_VALUE"""),"Towering")</f>
        <v>Towering</v>
      </c>
      <c r="C83" s="197">
        <f t="shared" si="1"/>
        <v>1</v>
      </c>
      <c r="D83" s="20" t="s">
        <v>2213</v>
      </c>
      <c r="E83" s="20">
        <v>2.0</v>
      </c>
    </row>
    <row r="84">
      <c r="A84" s="196" t="str">
        <f>IFERROR(__xludf.DUMMYFUNCTION("""COMPUTED_VALUE"""),"the")</f>
        <v>the</v>
      </c>
      <c r="B84" s="197" t="str">
        <f>IFERROR(__xludf.DUMMYFUNCTION("""COMPUTED_VALUE"""),"Obelisk")</f>
        <v>Obelisk</v>
      </c>
      <c r="C84" s="197">
        <f t="shared" si="1"/>
        <v>2</v>
      </c>
      <c r="D84" s="20" t="s">
        <v>2214</v>
      </c>
      <c r="E84" s="20">
        <v>2.0</v>
      </c>
    </row>
    <row r="85">
      <c r="A85" s="196" t="str">
        <f>IFERROR(__xludf.DUMMYFUNCTION("""COMPUTED_VALUE"""),"Gates")</f>
        <v>Gates</v>
      </c>
      <c r="B85" s="197" t="str">
        <f>IFERROR(__xludf.DUMMYFUNCTION("""COMPUTED_VALUE"""),"Xi")</f>
        <v>Xi</v>
      </c>
      <c r="C85" s="197">
        <f t="shared" si="1"/>
        <v>1</v>
      </c>
      <c r="D85" s="20" t="s">
        <v>2215</v>
      </c>
      <c r="E85" s="20">
        <v>2.0</v>
      </c>
    </row>
    <row r="86">
      <c r="A86" s="196"/>
      <c r="B86" s="197" t="str">
        <f>IFERROR(__xludf.DUMMYFUNCTION("""COMPUTED_VALUE"""),"Pegasus")</f>
        <v>Pegasus</v>
      </c>
      <c r="C86" s="197">
        <f t="shared" si="1"/>
        <v>2</v>
      </c>
      <c r="D86" s="20" t="s">
        <v>2216</v>
      </c>
      <c r="E86" s="20">
        <v>2.0</v>
      </c>
    </row>
    <row r="87">
      <c r="A87" s="196" t="str">
        <f>IFERROR(__xludf.DUMMYFUNCTION("""COMPUTED_VALUE"""),"Guardian")</f>
        <v>Guardian</v>
      </c>
      <c r="B87" s="197" t="str">
        <f>IFERROR(__xludf.DUMMYFUNCTION("""COMPUTED_VALUE"""),"Winged")</f>
        <v>Winged</v>
      </c>
      <c r="C87" s="197">
        <f t="shared" si="1"/>
        <v>1</v>
      </c>
      <c r="D87" s="20" t="s">
        <v>2217</v>
      </c>
      <c r="E87" s="20">
        <v>2.0</v>
      </c>
    </row>
    <row r="88">
      <c r="A88" s="196" t="str">
        <f>IFERROR(__xludf.DUMMYFUNCTION("""COMPUTED_VALUE"""),"Angel")</f>
        <v>Angel</v>
      </c>
      <c r="B88" s="197" t="str">
        <f>IFERROR(__xludf.DUMMYFUNCTION("""COMPUTED_VALUE"""),"Ghostfire")</f>
        <v>Ghostfire</v>
      </c>
      <c r="C88" s="197">
        <f t="shared" si="1"/>
        <v>1</v>
      </c>
      <c r="D88" s="20" t="s">
        <v>2218</v>
      </c>
      <c r="E88" s="20">
        <v>2.0</v>
      </c>
    </row>
    <row r="89">
      <c r="A89" s="196"/>
      <c r="B89" s="197" t="str">
        <f>IFERROR(__xludf.DUMMYFUNCTION("""COMPUTED_VALUE"""),"Basilisk")</f>
        <v>Basilisk</v>
      </c>
      <c r="C89" s="197">
        <f t="shared" si="1"/>
        <v>2</v>
      </c>
      <c r="D89" s="20" t="s">
        <v>2219</v>
      </c>
      <c r="E89" s="20">
        <v>2.0</v>
      </c>
    </row>
    <row r="90">
      <c r="A90" s="196"/>
      <c r="B90" s="197" t="str">
        <f>IFERROR(__xludf.DUMMYFUNCTION("""COMPUTED_VALUE"""),"Yellow")</f>
        <v>Yellow</v>
      </c>
      <c r="C90" s="197">
        <f t="shared" si="1"/>
        <v>2</v>
      </c>
      <c r="D90" s="20" t="s">
        <v>2220</v>
      </c>
      <c r="E90" s="20">
        <v>2.0</v>
      </c>
    </row>
    <row r="91">
      <c r="A91" s="196"/>
      <c r="B91" s="197" t="str">
        <f>IFERROR(__xludf.DUMMYFUNCTION("""COMPUTED_VALUE"""),"Young")</f>
        <v>Young</v>
      </c>
      <c r="C91" s="197">
        <f t="shared" si="1"/>
        <v>2</v>
      </c>
      <c r="D91" s="20" t="s">
        <v>2221</v>
      </c>
      <c r="E91" s="20">
        <v>2.0</v>
      </c>
    </row>
    <row r="92">
      <c r="A92" s="196" t="str">
        <f>IFERROR(__xludf.DUMMYFUNCTION("""COMPUTED_VALUE"""),"Hallowed")</f>
        <v>Hallowed</v>
      </c>
      <c r="B92" s="197" t="str">
        <f>IFERROR(__xludf.DUMMYFUNCTION("""COMPUTED_VALUE"""),"Monk")</f>
        <v>Monk</v>
      </c>
      <c r="C92" s="197">
        <f t="shared" si="1"/>
        <v>1</v>
      </c>
      <c r="D92" s="20" t="s">
        <v>2222</v>
      </c>
      <c r="E92" s="20">
        <v>2.0</v>
      </c>
    </row>
    <row r="93">
      <c r="A93" s="196" t="str">
        <f>IFERROR(__xludf.DUMMYFUNCTION("""COMPUTED_VALUE"""),"Exorcist")</f>
        <v>Exorcist</v>
      </c>
      <c r="B93" s="197" t="str">
        <f>IFERROR(__xludf.DUMMYFUNCTION("""COMPUTED_VALUE"""),"Fancy")</f>
        <v>Fancy</v>
      </c>
      <c r="C93" s="197">
        <f t="shared" si="1"/>
        <v>1</v>
      </c>
      <c r="D93" s="20" t="s">
        <v>2223</v>
      </c>
      <c r="E93" s="20">
        <v>2.0</v>
      </c>
    </row>
    <row r="94">
      <c r="A94" s="196"/>
      <c r="B94" s="197" t="str">
        <f>IFERROR(__xludf.DUMMYFUNCTION("""COMPUTED_VALUE"""),"Schmancy")</f>
        <v>Schmancy</v>
      </c>
      <c r="C94" s="197">
        <f t="shared" si="1"/>
        <v>1</v>
      </c>
      <c r="D94" s="20" t="s">
        <v>20</v>
      </c>
      <c r="E94" s="20">
        <v>1.0</v>
      </c>
    </row>
    <row r="95">
      <c r="A95" s="196"/>
      <c r="B95" s="197" t="str">
        <f>IFERROR(__xludf.DUMMYFUNCTION("""COMPUTED_VALUE"""),"Byrrd")</f>
        <v>Byrrd</v>
      </c>
      <c r="C95" s="197">
        <f t="shared" si="1"/>
        <v>1</v>
      </c>
      <c r="D95" s="20" t="s">
        <v>2224</v>
      </c>
      <c r="E95" s="20">
        <v>1.0</v>
      </c>
    </row>
    <row r="96">
      <c r="A96" s="196"/>
      <c r="B96" s="197" t="str">
        <f>IFERROR(__xludf.DUMMYFUNCTION("""COMPUTED_VALUE"""),"Type")</f>
        <v>Type</v>
      </c>
      <c r="C96" s="197">
        <f t="shared" si="1"/>
        <v>1</v>
      </c>
      <c r="D96" s="20" t="s">
        <v>2225</v>
      </c>
      <c r="E96" s="20">
        <v>1.0</v>
      </c>
    </row>
    <row r="97">
      <c r="A97" s="196" t="str">
        <f>IFERROR(__xludf.DUMMYFUNCTION("""COMPUTED_VALUE"""),"Harmonic")</f>
        <v>Harmonic</v>
      </c>
      <c r="B97" s="197" t="str">
        <f>IFERROR(__xludf.DUMMYFUNCTION("""COMPUTED_VALUE"""),"Golden")</f>
        <v>Golden</v>
      </c>
      <c r="C97" s="197">
        <f t="shared" si="1"/>
        <v>1</v>
      </c>
      <c r="D97" s="20" t="s">
        <v>2226</v>
      </c>
      <c r="E97" s="20">
        <v>1.0</v>
      </c>
    </row>
    <row r="98">
      <c r="A98" s="196" t="str">
        <f>IFERROR(__xludf.DUMMYFUNCTION("""COMPUTED_VALUE"""),"Echo")</f>
        <v>Echo</v>
      </c>
      <c r="B98" s="197" t="str">
        <f>IFERROR(__xludf.DUMMYFUNCTION("""COMPUTED_VALUE"""),"Phoenix")</f>
        <v>Phoenix</v>
      </c>
      <c r="C98" s="197">
        <f t="shared" si="1"/>
        <v>1</v>
      </c>
      <c r="D98" s="20" t="s">
        <v>2227</v>
      </c>
      <c r="E98" s="20">
        <v>1.0</v>
      </c>
    </row>
    <row r="99">
      <c r="A99" s="196"/>
      <c r="B99" s="197" t="str">
        <f>IFERROR(__xludf.DUMMYFUNCTION("""COMPUTED_VALUE"""),"Hailstorm")</f>
        <v>Hailstorm</v>
      </c>
      <c r="C99" s="197">
        <f t="shared" si="1"/>
        <v>1</v>
      </c>
      <c r="D99" s="20" t="s">
        <v>2228</v>
      </c>
      <c r="E99" s="20">
        <v>1.0</v>
      </c>
    </row>
    <row r="100">
      <c r="A100" s="196"/>
      <c r="B100" s="197" t="str">
        <f>IFERROR(__xludf.DUMMYFUNCTION("""COMPUTED_VALUE"""),"Seraph")</f>
        <v>Seraph</v>
      </c>
      <c r="C100" s="197">
        <f t="shared" si="1"/>
        <v>1</v>
      </c>
      <c r="D100" s="20" t="s">
        <v>2229</v>
      </c>
      <c r="E100" s="20">
        <v>1.0</v>
      </c>
    </row>
    <row r="101">
      <c r="A101" s="196"/>
      <c r="B101" s="197" t="str">
        <f>IFERROR(__xludf.DUMMYFUNCTION("""COMPUTED_VALUE"""),"Scittering")</f>
        <v>Scittering</v>
      </c>
      <c r="C101" s="197">
        <f t="shared" si="1"/>
        <v>1</v>
      </c>
      <c r="D101" s="20" t="s">
        <v>2230</v>
      </c>
      <c r="E101" s="20">
        <v>1.0</v>
      </c>
    </row>
    <row r="102">
      <c r="A102" s="196" t="str">
        <f>IFERROR(__xludf.DUMMYFUNCTION("""COMPUTED_VALUE"""),"Ibis")</f>
        <v>Ibis</v>
      </c>
      <c r="B102" s="197" t="str">
        <f>IFERROR(__xludf.DUMMYFUNCTION("""COMPUTED_VALUE"""),"Scorpion")</f>
        <v>Scorpion</v>
      </c>
      <c r="C102" s="197">
        <f t="shared" si="1"/>
        <v>2</v>
      </c>
      <c r="D102" s="20" t="s">
        <v>2231</v>
      </c>
      <c r="E102" s="20">
        <v>1.0</v>
      </c>
    </row>
    <row r="103">
      <c r="A103" s="196" t="str">
        <f>IFERROR(__xludf.DUMMYFUNCTION("""COMPUTED_VALUE"""),"Ushabti")</f>
        <v>Ushabti</v>
      </c>
      <c r="B103" s="197" t="str">
        <f>IFERROR(__xludf.DUMMYFUNCTION("""COMPUTED_VALUE"""),"Wrath")</f>
        <v>Wrath</v>
      </c>
      <c r="C103" s="197">
        <f t="shared" si="1"/>
        <v>1</v>
      </c>
      <c r="D103" s="20" t="s">
        <v>2232</v>
      </c>
      <c r="E103" s="20">
        <v>1.0</v>
      </c>
    </row>
    <row r="104">
      <c r="A104" s="196"/>
      <c r="B104" s="197" t="str">
        <f>IFERROR(__xludf.DUMMYFUNCTION("""COMPUTED_VALUE"""),"Pharaoh")</f>
        <v>Pharaoh</v>
      </c>
      <c r="C104" s="197">
        <f t="shared" si="1"/>
        <v>1</v>
      </c>
      <c r="D104" s="20" t="s">
        <v>2233</v>
      </c>
      <c r="E104" s="20">
        <v>1.0</v>
      </c>
    </row>
    <row r="105">
      <c r="A105" s="196"/>
      <c r="B105" s="197" t="str">
        <f>IFERROR(__xludf.DUMMYFUNCTION("""COMPUTED_VALUE"""),"Bringer")</f>
        <v>Bringer</v>
      </c>
      <c r="C105" s="197">
        <f t="shared" si="1"/>
        <v>3</v>
      </c>
      <c r="D105" s="20" t="s">
        <v>2234</v>
      </c>
      <c r="E105" s="20">
        <v>1.0</v>
      </c>
    </row>
    <row r="106">
      <c r="A106" s="196"/>
      <c r="B106" s="197" t="str">
        <f>IFERROR(__xludf.DUMMYFUNCTION("""COMPUTED_VALUE"""),"Good")</f>
        <v>Good</v>
      </c>
      <c r="C106" s="197">
        <f t="shared" si="1"/>
        <v>1</v>
      </c>
      <c r="D106" s="20" t="s">
        <v>2235</v>
      </c>
      <c r="E106" s="20">
        <v>1.0</v>
      </c>
    </row>
    <row r="107">
      <c r="A107" s="196" t="str">
        <f>IFERROR(__xludf.DUMMYFUNCTION("""COMPUTED_VALUE"""),"Herald")</f>
        <v>Herald</v>
      </c>
      <c r="B107" s="197" t="str">
        <f>IFERROR(__xludf.DUMMYFUNCTION("""COMPUTED_VALUE"""),"News")</f>
        <v>News</v>
      </c>
      <c r="C107" s="197">
        <f t="shared" si="1"/>
        <v>1</v>
      </c>
      <c r="D107" s="20" t="s">
        <v>69</v>
      </c>
      <c r="E107" s="20">
        <v>1.0</v>
      </c>
    </row>
    <row r="108">
      <c r="A108" s="196" t="str">
        <f>IFERROR(__xludf.DUMMYFUNCTION("""COMPUTED_VALUE"""),"of")</f>
        <v>of</v>
      </c>
      <c r="B108" s="197" t="str">
        <f>IFERROR(__xludf.DUMMYFUNCTION("""COMPUTED_VALUE"""),"Lightning")</f>
        <v>Lightning</v>
      </c>
      <c r="C108" s="197">
        <f t="shared" si="1"/>
        <v>2</v>
      </c>
      <c r="D108" s="20" t="s">
        <v>2236</v>
      </c>
      <c r="E108" s="20">
        <v>1.0</v>
      </c>
    </row>
    <row r="109">
      <c r="A109" s="196" t="str">
        <f>IFERROR(__xludf.DUMMYFUNCTION("""COMPUTED_VALUE"""),"Eternal")</f>
        <v>Eternal</v>
      </c>
      <c r="B109" s="197" t="str">
        <f>IFERROR(__xludf.DUMMYFUNCTION("""COMPUTED_VALUE"""),"Rider")</f>
        <v>Rider</v>
      </c>
      <c r="C109" s="197">
        <f t="shared" si="1"/>
        <v>2</v>
      </c>
      <c r="D109" s="20" t="s">
        <v>2237</v>
      </c>
      <c r="E109" s="20">
        <v>1.0</v>
      </c>
    </row>
    <row r="110">
      <c r="A110" s="196" t="str">
        <f>IFERROR(__xludf.DUMMYFUNCTION("""COMPUTED_VALUE"""),"Grace")</f>
        <v>Grace</v>
      </c>
      <c r="B110" s="197" t="str">
        <f>IFERROR(__xludf.DUMMYFUNCTION("""COMPUTED_VALUE"""),"Desertwind")</f>
        <v>Desertwind</v>
      </c>
      <c r="C110" s="197">
        <f t="shared" si="1"/>
        <v>1</v>
      </c>
      <c r="D110" s="20" t="s">
        <v>2238</v>
      </c>
      <c r="E110" s="20">
        <v>1.0</v>
      </c>
    </row>
    <row r="111">
      <c r="A111" s="196"/>
      <c r="B111" s="197" t="str">
        <f>IFERROR(__xludf.DUMMYFUNCTION("""COMPUTED_VALUE"""),"Relic")</f>
        <v>Relic</v>
      </c>
      <c r="C111" s="197">
        <f t="shared" si="1"/>
        <v>1</v>
      </c>
      <c r="D111" s="20" t="s">
        <v>2239</v>
      </c>
      <c r="E111" s="20">
        <v>1.0</v>
      </c>
    </row>
    <row r="112">
      <c r="A112" s="196" t="str">
        <f>IFERROR(__xludf.DUMMYFUNCTION("""COMPUTED_VALUE"""),"Maze")</f>
        <v>Maze</v>
      </c>
      <c r="B112" s="197" t="str">
        <f>IFERROR(__xludf.DUMMYFUNCTION("""COMPUTED_VALUE"""),"Hunter")</f>
        <v>Hunter</v>
      </c>
      <c r="C112" s="197">
        <f t="shared" si="1"/>
        <v>1</v>
      </c>
      <c r="D112" s="20" t="s">
        <v>2240</v>
      </c>
      <c r="E112" s="20">
        <v>1.0</v>
      </c>
    </row>
    <row r="113">
      <c r="A113" s="196" t="str">
        <f>IFERROR(__xludf.DUMMYFUNCTION("""COMPUTED_VALUE"""),"Master")</f>
        <v>Master</v>
      </c>
      <c r="B113" s="197" t="str">
        <f>IFERROR(__xludf.DUMMYFUNCTION("""COMPUTED_VALUE"""),"Exemplar")</f>
        <v>Exemplar</v>
      </c>
      <c r="C113" s="197">
        <f t="shared" si="1"/>
        <v>1</v>
      </c>
      <c r="D113" s="20" t="s">
        <v>2241</v>
      </c>
      <c r="E113" s="20">
        <v>1.0</v>
      </c>
    </row>
    <row r="114">
      <c r="A114" s="196" t="str">
        <f>IFERROR(__xludf.DUMMYFUNCTION("""COMPUTED_VALUE"""),"Sphinx")</f>
        <v>Sphinx</v>
      </c>
      <c r="B114" s="197" t="str">
        <f>IFERROR(__xludf.DUMMYFUNCTION("""COMPUTED_VALUE"""),"Lunar")</f>
        <v>Lunar</v>
      </c>
      <c r="C114" s="197">
        <f t="shared" si="1"/>
        <v>1</v>
      </c>
      <c r="D114" s="20" t="s">
        <v>2242</v>
      </c>
      <c r="E114" s="20">
        <v>1.0</v>
      </c>
    </row>
    <row r="115">
      <c r="A115" s="196"/>
      <c r="B115" s="197" t="str">
        <f>IFERROR(__xludf.DUMMYFUNCTION("""COMPUTED_VALUE"""),"Gleam")</f>
        <v>Gleam</v>
      </c>
      <c r="C115" s="197">
        <f t="shared" si="1"/>
        <v>1</v>
      </c>
      <c r="D115" s="20" t="s">
        <v>2243</v>
      </c>
      <c r="E115" s="20">
        <v>1.0</v>
      </c>
    </row>
    <row r="116">
      <c r="A116" s="196"/>
      <c r="B116" s="197" t="str">
        <f>IFERROR(__xludf.DUMMYFUNCTION("""COMPUTED_VALUE"""),"Grenade")</f>
        <v>Grenade</v>
      </c>
      <c r="C116" s="197">
        <f t="shared" si="1"/>
        <v>1</v>
      </c>
      <c r="D116" s="20" t="s">
        <v>2244</v>
      </c>
      <c r="E116" s="20">
        <v>1.0</v>
      </c>
    </row>
    <row r="117">
      <c r="A117" s="196" t="str">
        <f>IFERROR(__xludf.DUMMYFUNCTION("""COMPUTED_VALUE"""),"Ivoryscar")</f>
        <v>Ivoryscar</v>
      </c>
      <c r="B117" s="197" t="str">
        <f>IFERROR(__xludf.DUMMYFUNCTION("""COMPUTED_VALUE"""),"Apple")</f>
        <v>Apple</v>
      </c>
      <c r="C117" s="197">
        <f t="shared" si="1"/>
        <v>1</v>
      </c>
      <c r="D117" s="20" t="s">
        <v>2245</v>
      </c>
      <c r="E117" s="20">
        <v>1.0</v>
      </c>
    </row>
    <row r="118">
      <c r="A118" s="196" t="str">
        <f>IFERROR(__xludf.DUMMYFUNCTION("""COMPUTED_VALUE"""),"Cursewing")</f>
        <v>Cursewing</v>
      </c>
      <c r="B118" s="197" t="str">
        <f>IFERROR(__xludf.DUMMYFUNCTION("""COMPUTED_VALUE"""),"Dragon")</f>
        <v>Dragon</v>
      </c>
      <c r="C118" s="197">
        <f t="shared" si="1"/>
        <v>7</v>
      </c>
      <c r="D118" s="20" t="s">
        <v>2246</v>
      </c>
      <c r="E118" s="20">
        <v>1.0</v>
      </c>
    </row>
    <row r="119">
      <c r="A119" s="196"/>
      <c r="B119" s="197" t="str">
        <f>IFERROR(__xludf.DUMMYFUNCTION("""COMPUTED_VALUE"""),"#3")</f>
        <v>#3</v>
      </c>
      <c r="C119" s="197">
        <f t="shared" si="1"/>
        <v>1</v>
      </c>
      <c r="D119" s="20" t="s">
        <v>2247</v>
      </c>
      <c r="E119" s="20">
        <v>1.0</v>
      </c>
    </row>
    <row r="120">
      <c r="A120" s="196"/>
      <c r="B120" s="197" t="str">
        <f>IFERROR(__xludf.DUMMYFUNCTION("""COMPUTED_VALUE"""),"Embalmer")</f>
        <v>Embalmer</v>
      </c>
      <c r="C120" s="197">
        <f t="shared" si="1"/>
        <v>1</v>
      </c>
      <c r="D120" s="20" t="s">
        <v>2248</v>
      </c>
      <c r="E120" s="20">
        <v>1.0</v>
      </c>
    </row>
    <row r="121">
      <c r="A121" s="196"/>
      <c r="B121" s="197" t="str">
        <f>IFERROR(__xludf.DUMMYFUNCTION("""COMPUTED_VALUE"""),"Carver")</f>
        <v>Carver</v>
      </c>
      <c r="C121" s="197">
        <f t="shared" si="1"/>
        <v>2</v>
      </c>
      <c r="D121" s="20" t="s">
        <v>2249</v>
      </c>
      <c r="E121" s="20">
        <v>1.0</v>
      </c>
    </row>
    <row r="122">
      <c r="A122" s="196" t="str">
        <f>IFERROR(__xludf.DUMMYFUNCTION("""COMPUTED_VALUE"""),"Ivoryscar")</f>
        <v>Ivoryscar</v>
      </c>
      <c r="B122" s="197" t="str">
        <f>IFERROR(__xludf.DUMMYFUNCTION("""COMPUTED_VALUE"""),"Shattercrown")</f>
        <v>Shattercrown</v>
      </c>
      <c r="C122" s="197">
        <f t="shared" si="1"/>
        <v>1</v>
      </c>
      <c r="D122" s="20" t="s">
        <v>2250</v>
      </c>
      <c r="E122" s="20">
        <v>1.0</v>
      </c>
    </row>
    <row r="123">
      <c r="A123" s="196" t="str">
        <f>IFERROR(__xludf.DUMMYFUNCTION("""COMPUTED_VALUE"""),"Magistrate")</f>
        <v>Magistrate</v>
      </c>
      <c r="B123" s="197" t="str">
        <f>IFERROR(__xludf.DUMMYFUNCTION("""COMPUTED_VALUE"""),"Luminary")</f>
        <v>Luminary</v>
      </c>
      <c r="C123" s="197">
        <f t="shared" si="1"/>
        <v>1</v>
      </c>
      <c r="D123" s="20" t="s">
        <v>2251</v>
      </c>
      <c r="E123" s="20">
        <v>1.0</v>
      </c>
    </row>
    <row r="124">
      <c r="A124" s="196"/>
      <c r="B124" s="197" t="str">
        <f>IFERROR(__xludf.DUMMYFUNCTION("""COMPUTED_VALUE"""),"Shepard")</f>
        <v>Shepard</v>
      </c>
      <c r="C124" s="197">
        <f t="shared" si="1"/>
        <v>1</v>
      </c>
      <c r="D124" s="20" t="s">
        <v>2252</v>
      </c>
      <c r="E124" s="20">
        <v>1.0</v>
      </c>
    </row>
    <row r="125">
      <c r="A125" s="196"/>
      <c r="B125" s="197" t="str">
        <f>IFERROR(__xludf.DUMMYFUNCTION("""COMPUTED_VALUE"""),"Morning")</f>
        <v>Morning</v>
      </c>
      <c r="C125" s="197">
        <f t="shared" si="1"/>
        <v>1</v>
      </c>
      <c r="D125" s="20" t="s">
        <v>2253</v>
      </c>
      <c r="E125" s="20">
        <v>1.0</v>
      </c>
    </row>
    <row r="126">
      <c r="A126" s="196"/>
      <c r="B126" s="197" t="str">
        <f>IFERROR(__xludf.DUMMYFUNCTION("""COMPUTED_VALUE"""),"Dew")</f>
        <v>Dew</v>
      </c>
      <c r="C126" s="197">
        <f t="shared" si="1"/>
        <v>1</v>
      </c>
      <c r="D126" s="20" t="s">
        <v>2254</v>
      </c>
      <c r="E126" s="20">
        <v>1.0</v>
      </c>
    </row>
    <row r="127">
      <c r="A127" s="196" t="str">
        <f>IFERROR(__xludf.DUMMYFUNCTION("""COMPUTED_VALUE"""),"Kylix")</f>
        <v>Kylix</v>
      </c>
      <c r="B127" s="197" t="str">
        <f>IFERROR(__xludf.DUMMYFUNCTION("""COMPUTED_VALUE"""),"Arboreal")</f>
        <v>Arboreal</v>
      </c>
      <c r="C127" s="197">
        <f t="shared" si="1"/>
        <v>1</v>
      </c>
      <c r="D127" s="20" t="s">
        <v>2255</v>
      </c>
      <c r="E127" s="20">
        <v>1.0</v>
      </c>
    </row>
    <row r="128">
      <c r="A128" s="196" t="str">
        <f>IFERROR(__xludf.DUMMYFUNCTION("""COMPUTED_VALUE"""),"of")</f>
        <v>of</v>
      </c>
      <c r="B128" s="197" t="str">
        <f>IFERROR(__xludf.DUMMYFUNCTION("""COMPUTED_VALUE"""),"Messenger")</f>
        <v>Messenger</v>
      </c>
      <c r="C128" s="197">
        <f t="shared" si="1"/>
        <v>1</v>
      </c>
      <c r="D128" s="20" t="s">
        <v>2256</v>
      </c>
      <c r="E128" s="20">
        <v>1.0</v>
      </c>
    </row>
    <row r="129">
      <c r="A129" s="196" t="str">
        <f>IFERROR(__xludf.DUMMYFUNCTION("""COMPUTED_VALUE"""),"Excess")</f>
        <v>Excess</v>
      </c>
      <c r="B129" s="197" t="str">
        <f>IFERROR(__xludf.DUMMYFUNCTION("""COMPUTED_VALUE"""),"Auric")</f>
        <v>Auric</v>
      </c>
      <c r="C129" s="197">
        <f t="shared" si="1"/>
        <v>1</v>
      </c>
      <c r="D129" s="20" t="s">
        <v>2257</v>
      </c>
      <c r="E129" s="20">
        <v>1.0</v>
      </c>
    </row>
    <row r="130">
      <c r="A130" s="196"/>
      <c r="B130" s="197" t="str">
        <f>IFERROR(__xludf.DUMMYFUNCTION("""COMPUTED_VALUE"""),"Ant")</f>
        <v>Ant</v>
      </c>
      <c r="C130" s="197">
        <f t="shared" si="1"/>
        <v>2</v>
      </c>
      <c r="D130" s="20" t="s">
        <v>2258</v>
      </c>
      <c r="E130" s="20">
        <v>1.0</v>
      </c>
    </row>
    <row r="131">
      <c r="A131" s="196"/>
      <c r="B131" s="197" t="str">
        <f>IFERROR(__xludf.DUMMYFUNCTION("""COMPUTED_VALUE"""),"Regent")</f>
        <v>Regent</v>
      </c>
      <c r="C131" s="197">
        <f t="shared" si="1"/>
        <v>1</v>
      </c>
      <c r="D131" s="20" t="s">
        <v>2259</v>
      </c>
      <c r="E131" s="20">
        <v>1.0</v>
      </c>
    </row>
    <row r="132">
      <c r="A132" s="196" t="str">
        <f>IFERROR(__xludf.DUMMYFUNCTION("""COMPUTED_VALUE"""),"Mystic")</f>
        <v>Mystic</v>
      </c>
      <c r="B132" s="197" t="str">
        <f>IFERROR(__xludf.DUMMYFUNCTION("""COMPUTED_VALUE"""),"Blessing")</f>
        <v>Blessing</v>
      </c>
      <c r="C132" s="197">
        <f t="shared" si="1"/>
        <v>1</v>
      </c>
      <c r="D132" s="20" t="s">
        <v>2260</v>
      </c>
      <c r="E132" s="20">
        <v>1.0</v>
      </c>
    </row>
    <row r="133">
      <c r="A133" s="196" t="str">
        <f>IFERROR(__xludf.DUMMYFUNCTION("""COMPUTED_VALUE"""),"Puzzle")</f>
        <v>Puzzle</v>
      </c>
      <c r="B133" s="197" t="str">
        <f>IFERROR(__xludf.DUMMYFUNCTION("""COMPUTED_VALUE"""),"Bestower")</f>
        <v>Bestower</v>
      </c>
      <c r="C133" s="197">
        <f t="shared" si="1"/>
        <v>1</v>
      </c>
      <c r="D133" s="20" t="s">
        <v>2261</v>
      </c>
      <c r="E133" s="20">
        <v>1.0</v>
      </c>
    </row>
    <row r="134">
      <c r="A134" s="196" t="str">
        <f>IFERROR(__xludf.DUMMYFUNCTION("""COMPUTED_VALUE"""),"Box")</f>
        <v>Box</v>
      </c>
      <c r="B134" s="197" t="str">
        <f>IFERROR(__xludf.DUMMYFUNCTION("""COMPUTED_VALUE"""),"Waypost")</f>
        <v>Waypost</v>
      </c>
      <c r="C134" s="197">
        <f t="shared" si="1"/>
        <v>1</v>
      </c>
      <c r="D134" s="20" t="s">
        <v>2262</v>
      </c>
      <c r="E134" s="20">
        <v>1.0</v>
      </c>
    </row>
    <row r="135">
      <c r="A135" s="196"/>
      <c r="B135" s="197" t="str">
        <f>IFERROR(__xludf.DUMMYFUNCTION("""COMPUTED_VALUE"""),"Crimson")</f>
        <v>Crimson</v>
      </c>
      <c r="C135" s="197">
        <f t="shared" si="1"/>
        <v>1</v>
      </c>
      <c r="D135" s="20" t="s">
        <v>2263</v>
      </c>
      <c r="E135" s="20">
        <v>1.0</v>
      </c>
    </row>
    <row r="136">
      <c r="A136" s="196"/>
      <c r="B136" s="197" t="str">
        <f>IFERROR(__xludf.DUMMYFUNCTION("""COMPUTED_VALUE"""),"Flamechick")</f>
        <v>Flamechick</v>
      </c>
      <c r="C136" s="197">
        <f t="shared" si="1"/>
        <v>1</v>
      </c>
      <c r="D136" s="20" t="s">
        <v>2264</v>
      </c>
      <c r="E136" s="20">
        <v>1.0</v>
      </c>
    </row>
    <row r="137">
      <c r="A137" s="196" t="str">
        <f>IFERROR(__xludf.DUMMYFUNCTION("""COMPUTED_VALUE"""),"Monolith")</f>
        <v>Monolith</v>
      </c>
      <c r="B137" s="197" t="str">
        <f>IFERROR(__xludf.DUMMYFUNCTION("""COMPUTED_VALUE"""),"Ascended")</f>
        <v>Ascended</v>
      </c>
      <c r="C137" s="197">
        <f t="shared" si="1"/>
        <v>1</v>
      </c>
      <c r="D137" s="20" t="s">
        <v>2265</v>
      </c>
      <c r="E137" s="20">
        <v>1.0</v>
      </c>
    </row>
    <row r="138">
      <c r="A138" s="196" t="str">
        <f>IFERROR(__xludf.DUMMYFUNCTION("""COMPUTED_VALUE"""),"of")</f>
        <v>of</v>
      </c>
      <c r="B138" s="197" t="str">
        <f>IFERROR(__xludf.DUMMYFUNCTION("""COMPUTED_VALUE"""),"One")</f>
        <v>One</v>
      </c>
      <c r="C138" s="197">
        <f t="shared" si="1"/>
        <v>2</v>
      </c>
      <c r="D138" s="20" t="s">
        <v>2266</v>
      </c>
      <c r="E138" s="20">
        <v>1.0</v>
      </c>
    </row>
    <row r="139">
      <c r="A139" s="196" t="str">
        <f>IFERROR(__xludf.DUMMYFUNCTION("""COMPUTED_VALUE"""),"Meditation")</f>
        <v>Meditation</v>
      </c>
      <c r="B139" s="197" t="str">
        <f>IFERROR(__xludf.DUMMYFUNCTION("""COMPUTED_VALUE"""),"Rubyskull")</f>
        <v>Rubyskull</v>
      </c>
      <c r="C139" s="197">
        <f t="shared" si="1"/>
        <v>1</v>
      </c>
      <c r="D139" s="20" t="s">
        <v>2267</v>
      </c>
      <c r="E139" s="20">
        <v>1.0</v>
      </c>
    </row>
    <row r="140">
      <c r="A140" s="196"/>
      <c r="B140" s="197" t="str">
        <f>IFERROR(__xludf.DUMMYFUNCTION("""COMPUTED_VALUE"""),"Blackwing")</f>
        <v>Blackwing</v>
      </c>
      <c r="C140" s="197">
        <f t="shared" si="1"/>
        <v>1</v>
      </c>
      <c r="D140" s="20" t="s">
        <v>2268</v>
      </c>
      <c r="E140" s="20">
        <v>1.0</v>
      </c>
    </row>
    <row r="141">
      <c r="A141" s="196"/>
      <c r="B141" s="197" t="str">
        <f>IFERROR(__xludf.DUMMYFUNCTION("""COMPUTED_VALUE"""),"Usurper")</f>
        <v>Usurper</v>
      </c>
      <c r="C141" s="197">
        <f t="shared" si="1"/>
        <v>1</v>
      </c>
      <c r="D141" s="20" t="s">
        <v>190</v>
      </c>
      <c r="E141" s="20">
        <v>1.0</v>
      </c>
    </row>
    <row r="142">
      <c r="A142" s="196" t="str">
        <f>IFERROR(__xludf.DUMMYFUNCTION("""COMPUTED_VALUE"""),"Oasis")</f>
        <v>Oasis</v>
      </c>
      <c r="B142" s="197" t="str">
        <f>IFERROR(__xludf.DUMMYFUNCTION("""COMPUTED_VALUE"""),"Celestial")</f>
        <v>Celestial</v>
      </c>
      <c r="C142" s="197">
        <f t="shared" si="1"/>
        <v>1</v>
      </c>
      <c r="D142" s="20" t="s">
        <v>2269</v>
      </c>
      <c r="E142" s="20">
        <v>1.0</v>
      </c>
    </row>
    <row r="143">
      <c r="A143" s="196" t="str">
        <f>IFERROR(__xludf.DUMMYFUNCTION("""COMPUTED_VALUE"""),"Sprite")</f>
        <v>Sprite</v>
      </c>
      <c r="B143" s="197" t="str">
        <f>IFERROR(__xludf.DUMMYFUNCTION("""COMPUTED_VALUE"""),"Second")</f>
        <v>Second</v>
      </c>
      <c r="C143" s="197">
        <f t="shared" si="1"/>
        <v>1</v>
      </c>
      <c r="D143" s="20" t="s">
        <v>2270</v>
      </c>
      <c r="E143" s="20">
        <v>1.0</v>
      </c>
    </row>
    <row r="144">
      <c r="A144" s="196"/>
      <c r="B144" s="197" t="str">
        <f>IFERROR(__xludf.DUMMYFUNCTION("""COMPUTED_VALUE"""),"Wing")</f>
        <v>Wing</v>
      </c>
      <c r="C144" s="197">
        <f t="shared" si="1"/>
        <v>1</v>
      </c>
      <c r="D144" s="20" t="s">
        <v>2271</v>
      </c>
      <c r="E144" s="20">
        <v>1.0</v>
      </c>
    </row>
    <row r="145">
      <c r="A145" s="196"/>
      <c r="B145" s="197" t="str">
        <f>IFERROR(__xludf.DUMMYFUNCTION("""COMPUTED_VALUE"""),"Fatebreaker")</f>
        <v>Fatebreaker</v>
      </c>
      <c r="C145" s="197">
        <f t="shared" si="1"/>
        <v>1</v>
      </c>
      <c r="D145" s="20" t="s">
        <v>2272</v>
      </c>
      <c r="E145" s="20">
        <v>1.0</v>
      </c>
    </row>
    <row r="146">
      <c r="A146" s="196"/>
      <c r="B146" s="197" t="str">
        <f>IFERROR(__xludf.DUMMYFUNCTION("""COMPUTED_VALUE"""),"Moon")</f>
        <v>Moon</v>
      </c>
      <c r="C146" s="197">
        <f t="shared" si="1"/>
        <v>2</v>
      </c>
      <c r="D146" s="20" t="s">
        <v>2273</v>
      </c>
      <c r="E146" s="20">
        <v>1.0</v>
      </c>
    </row>
    <row r="147">
      <c r="A147" s="196" t="str">
        <f>IFERROR(__xludf.DUMMYFUNCTION("""COMPUTED_VALUE"""),"Pharaoh's")</f>
        <v>Pharaoh's</v>
      </c>
      <c r="B147" s="197" t="str">
        <f>IFERROR(__xludf.DUMMYFUNCTION("""COMPUTED_VALUE"""),"Priestess")</f>
        <v>Priestess</v>
      </c>
      <c r="C147" s="197">
        <f t="shared" si="1"/>
        <v>1</v>
      </c>
      <c r="D147" s="20" t="s">
        <v>209</v>
      </c>
      <c r="E147" s="20">
        <v>1.0</v>
      </c>
    </row>
    <row r="148">
      <c r="A148" s="196" t="str">
        <f>IFERROR(__xludf.DUMMYFUNCTION("""COMPUTED_VALUE"""),"Bodyguard")</f>
        <v>Bodyguard</v>
      </c>
      <c r="B148" s="197" t="str">
        <f>IFERROR(__xludf.DUMMYFUNCTION("""COMPUTED_VALUE"""),"Airstep")</f>
        <v>Airstep</v>
      </c>
      <c r="C148" s="197">
        <f t="shared" si="1"/>
        <v>1</v>
      </c>
      <c r="D148" s="20" t="s">
        <v>2274</v>
      </c>
      <c r="E148" s="20">
        <v>1.0</v>
      </c>
    </row>
    <row r="149">
      <c r="A149" s="196"/>
      <c r="B149" s="197" t="str">
        <f>IFERROR(__xludf.DUMMYFUNCTION("""COMPUTED_VALUE"""),"Sifu")</f>
        <v>Sifu</v>
      </c>
      <c r="C149" s="197">
        <f t="shared" si="1"/>
        <v>1</v>
      </c>
      <c r="D149" s="20" t="s">
        <v>2275</v>
      </c>
      <c r="E149" s="20">
        <v>1.0</v>
      </c>
    </row>
    <row r="150">
      <c r="A150" s="196"/>
      <c r="B150" s="197" t="str">
        <f>IFERROR(__xludf.DUMMYFUNCTION("""COMPUTED_VALUE"""),"Moonspear")</f>
        <v>Moonspear</v>
      </c>
      <c r="C150" s="197">
        <f t="shared" si="1"/>
        <v>4</v>
      </c>
      <c r="D150" s="20" t="s">
        <v>2276</v>
      </c>
      <c r="E150" s="20">
        <v>1.0</v>
      </c>
    </row>
    <row r="151">
      <c r="A151" s="196"/>
      <c r="B151" s="197" t="str">
        <f>IFERROR(__xludf.DUMMYFUNCTION("""COMPUTED_VALUE"""),"Paladin")</f>
        <v>Paladin</v>
      </c>
      <c r="C151" s="197">
        <f t="shared" si="1"/>
        <v>1</v>
      </c>
      <c r="D151" s="20" t="s">
        <v>2277</v>
      </c>
      <c r="E151" s="20">
        <v>1.0</v>
      </c>
    </row>
    <row r="152">
      <c r="A152" s="196" t="str">
        <f>IFERROR(__xludf.DUMMYFUNCTION("""COMPUTED_VALUE"""),"Scripture")</f>
        <v>Scripture</v>
      </c>
      <c r="B152" s="197" t="str">
        <f>IFERROR(__xludf.DUMMYFUNCTION("""COMPUTED_VALUE"""),"Arcanum")</f>
        <v>Arcanum</v>
      </c>
      <c r="C152" s="197">
        <f t="shared" si="1"/>
        <v>1</v>
      </c>
      <c r="D152" s="20" t="s">
        <v>2278</v>
      </c>
      <c r="E152" s="20">
        <v>1.0</v>
      </c>
    </row>
    <row r="153">
      <c r="A153" s="196" t="str">
        <f>IFERROR(__xludf.DUMMYFUNCTION("""COMPUTED_VALUE"""),"Monkey")</f>
        <v>Monkey</v>
      </c>
      <c r="B153" s="197" t="str">
        <f>IFERROR(__xludf.DUMMYFUNCTION("""COMPUTED_VALUE"""),"Grandmaster")</f>
        <v>Grandmaster</v>
      </c>
      <c r="C153" s="197">
        <f t="shared" si="1"/>
        <v>1</v>
      </c>
      <c r="D153" s="20" t="s">
        <v>2279</v>
      </c>
      <c r="E153" s="20">
        <v>1.0</v>
      </c>
    </row>
    <row r="154">
      <c r="A154" s="196"/>
      <c r="B154" s="197" t="str">
        <f>IFERROR(__xludf.DUMMYFUNCTION("""COMPUTED_VALUE"""),"Auraborne")</f>
        <v>Auraborne</v>
      </c>
      <c r="C154" s="197">
        <f t="shared" si="1"/>
        <v>1</v>
      </c>
      <c r="D154" s="20" t="s">
        <v>2280</v>
      </c>
      <c r="E154" s="20">
        <v>1.0</v>
      </c>
    </row>
    <row r="155">
      <c r="A155" s="196"/>
      <c r="B155" s="197" t="str">
        <f>IFERROR(__xludf.DUMMYFUNCTION("""COMPUTED_VALUE"""),"Wyvern")</f>
        <v>Wyvern</v>
      </c>
      <c r="C155" s="197">
        <f t="shared" si="1"/>
        <v>3</v>
      </c>
      <c r="D155" s="20" t="s">
        <v>2281</v>
      </c>
      <c r="E155" s="20">
        <v>1.0</v>
      </c>
    </row>
    <row r="156">
      <c r="A156" s="196"/>
      <c r="B156" s="197" t="str">
        <f>IFERROR(__xludf.DUMMYFUNCTION("""COMPUTED_VALUE"""),"Blazecharm")</f>
        <v>Blazecharm</v>
      </c>
      <c r="C156" s="197">
        <f t="shared" si="1"/>
        <v>1</v>
      </c>
      <c r="D156" s="20" t="s">
        <v>2282</v>
      </c>
      <c r="E156" s="20">
        <v>1.0</v>
      </c>
    </row>
    <row r="157">
      <c r="A157" s="196" t="str">
        <f>IFERROR(__xludf.DUMMYFUNCTION("""COMPUTED_VALUE"""),"Pyramidion")</f>
        <v>Pyramidion</v>
      </c>
      <c r="B157" s="197" t="str">
        <f>IFERROR(__xludf.DUMMYFUNCTION("""COMPUTED_VALUE"""),"Kitsune")</f>
        <v>Kitsune</v>
      </c>
      <c r="C157" s="197">
        <f t="shared" si="1"/>
        <v>1</v>
      </c>
      <c r="D157" s="20" t="s">
        <v>2283</v>
      </c>
      <c r="E157" s="20">
        <v>1.0</v>
      </c>
    </row>
    <row r="158">
      <c r="A158" s="196"/>
      <c r="B158" s="197" t="str">
        <f>IFERROR(__xludf.DUMMYFUNCTION("""COMPUTED_VALUE"""),"Glowing")</f>
        <v>Glowing</v>
      </c>
      <c r="C158" s="197">
        <f t="shared" si="1"/>
        <v>1</v>
      </c>
      <c r="D158" s="20" t="s">
        <v>2284</v>
      </c>
      <c r="E158" s="20">
        <v>1.0</v>
      </c>
    </row>
    <row r="159">
      <c r="A159" s="196"/>
      <c r="B159" s="197" t="str">
        <f>IFERROR(__xludf.DUMMYFUNCTION("""COMPUTED_VALUE"""),"Gearhulk")</f>
        <v>Gearhulk</v>
      </c>
      <c r="C159" s="197">
        <f t="shared" si="1"/>
        <v>1</v>
      </c>
      <c r="D159" s="20" t="s">
        <v>2285</v>
      </c>
      <c r="E159" s="20">
        <v>1.0</v>
      </c>
    </row>
    <row r="160">
      <c r="A160" s="196"/>
      <c r="B160" s="197" t="str">
        <f>IFERROR(__xludf.DUMMYFUNCTION("""COMPUTED_VALUE"""),"Boiling")</f>
        <v>Boiling</v>
      </c>
      <c r="C160" s="197">
        <f t="shared" si="1"/>
        <v>1</v>
      </c>
      <c r="D160" s="20" t="s">
        <v>2286</v>
      </c>
      <c r="E160" s="20">
        <v>1.0</v>
      </c>
    </row>
    <row r="161">
      <c r="A161" s="196"/>
      <c r="B161" s="197" t="str">
        <f>IFERROR(__xludf.DUMMYFUNCTION("""COMPUTED_VALUE"""),"Blood")</f>
        <v>Blood</v>
      </c>
      <c r="C161" s="197">
        <f t="shared" si="1"/>
        <v>2</v>
      </c>
      <c r="D161" s="20" t="s">
        <v>2287</v>
      </c>
      <c r="E161" s="20">
        <v>1.0</v>
      </c>
    </row>
    <row r="162">
      <c r="A162" s="196" t="str">
        <f>IFERROR(__xludf.DUMMYFUNCTION("""COMPUTED_VALUE"""),"Sekhem")</f>
        <v>Sekhem</v>
      </c>
      <c r="B162" s="197" t="str">
        <f>IFERROR(__xludf.DUMMYFUNCTION("""COMPUTED_VALUE"""),"Berserker")</f>
        <v>Berserker</v>
      </c>
      <c r="C162" s="197">
        <f t="shared" si="1"/>
        <v>1</v>
      </c>
      <c r="D162" s="20" t="s">
        <v>2288</v>
      </c>
      <c r="E162" s="20">
        <v>1.0</v>
      </c>
    </row>
    <row r="163">
      <c r="A163" s="196" t="str">
        <f>IFERROR(__xludf.DUMMYFUNCTION("""COMPUTED_VALUE"""),"Chariot")</f>
        <v>Chariot</v>
      </c>
      <c r="B163" s="197" t="str">
        <f>IFERROR(__xludf.DUMMYFUNCTION("""COMPUTED_VALUE"""),"Goat")</f>
        <v>Goat</v>
      </c>
      <c r="C163" s="197">
        <f t="shared" si="1"/>
        <v>1</v>
      </c>
      <c r="D163" s="20" t="s">
        <v>2289</v>
      </c>
      <c r="E163" s="20">
        <v>1.0</v>
      </c>
    </row>
    <row r="164">
      <c r="A164" s="196"/>
      <c r="B164" s="197" t="str">
        <f>IFERROR(__xludf.DUMMYFUNCTION("""COMPUTED_VALUE"""),"Oracle")</f>
        <v>Oracle</v>
      </c>
      <c r="C164" s="197">
        <f t="shared" si="1"/>
        <v>2</v>
      </c>
      <c r="D164" s="20" t="s">
        <v>2290</v>
      </c>
      <c r="E164" s="20">
        <v>1.0</v>
      </c>
    </row>
    <row r="165">
      <c r="A165" s="196"/>
      <c r="B165" s="197" t="str">
        <f>IFERROR(__xludf.DUMMYFUNCTION("""COMPUTED_VALUE"""),"Sagehorn")</f>
        <v>Sagehorn</v>
      </c>
      <c r="C165" s="197">
        <f t="shared" si="1"/>
        <v>1</v>
      </c>
      <c r="D165" s="20" t="s">
        <v>2291</v>
      </c>
      <c r="E165" s="20">
        <v>1.0</v>
      </c>
    </row>
    <row r="166">
      <c r="A166" s="196"/>
      <c r="B166" s="197" t="str">
        <f>IFERROR(__xludf.DUMMYFUNCTION("""COMPUTED_VALUE"""),"Sunblessed")</f>
        <v>Sunblessed</v>
      </c>
      <c r="C166" s="197">
        <f t="shared" si="1"/>
        <v>1</v>
      </c>
      <c r="D166" s="20" t="s">
        <v>2292</v>
      </c>
      <c r="E166" s="20">
        <v>1.0</v>
      </c>
    </row>
    <row r="167">
      <c r="A167" s="196" t="str">
        <f>IFERROR(__xludf.DUMMYFUNCTION("""COMPUTED_VALUE"""),"Obsidian")</f>
        <v>Obsidian</v>
      </c>
      <c r="B167" s="197" t="str">
        <f>IFERROR(__xludf.DUMMYFUNCTION("""COMPUTED_VALUE"""),"Crocodile")</f>
        <v>Crocodile</v>
      </c>
      <c r="C167" s="197">
        <f t="shared" si="1"/>
        <v>1</v>
      </c>
      <c r="D167" s="20" t="s">
        <v>2293</v>
      </c>
      <c r="E167" s="20">
        <v>1.0</v>
      </c>
    </row>
    <row r="168">
      <c r="A168" s="196" t="str">
        <f>IFERROR(__xludf.DUMMYFUNCTION("""COMPUTED_VALUE"""),"Scarab")</f>
        <v>Scarab</v>
      </c>
      <c r="B168" s="197" t="str">
        <f>IFERROR(__xludf.DUMMYFUNCTION("""COMPUTED_VALUE"""),"Kois")</f>
        <v>Kois</v>
      </c>
      <c r="C168" s="197">
        <f t="shared" si="1"/>
        <v>1</v>
      </c>
      <c r="D168" s="20" t="s">
        <v>2294</v>
      </c>
      <c r="E168" s="20">
        <v>1.0</v>
      </c>
    </row>
    <row r="169">
      <c r="A169" s="196"/>
      <c r="B169" s="197" t="str">
        <f>IFERROR(__xludf.DUMMYFUNCTION("""COMPUTED_VALUE"""),"Duality")</f>
        <v>Duality</v>
      </c>
      <c r="C169" s="197">
        <f t="shared" si="1"/>
        <v>1</v>
      </c>
      <c r="D169" s="20" t="s">
        <v>2295</v>
      </c>
      <c r="E169" s="20">
        <v>1.0</v>
      </c>
    </row>
    <row r="170">
      <c r="A170" s="196"/>
      <c r="B170" s="197" t="str">
        <f>IFERROR(__xludf.DUMMYFUNCTION("""COMPUTED_VALUE"""),"Eclipsion")</f>
        <v>Eclipsion</v>
      </c>
      <c r="C170" s="197">
        <f t="shared" si="1"/>
        <v>1</v>
      </c>
      <c r="D170" s="20" t="s">
        <v>2296</v>
      </c>
      <c r="E170" s="20">
        <v>1.0</v>
      </c>
    </row>
    <row r="171">
      <c r="A171" s="196"/>
      <c r="B171" s="197" t="str">
        <f>IFERROR(__xludf.DUMMYFUNCTION("""COMPUTED_VALUE"""),"Fallen")</f>
        <v>Fallen</v>
      </c>
      <c r="C171" s="197">
        <f t="shared" si="1"/>
        <v>1</v>
      </c>
      <c r="D171" s="20" t="s">
        <v>2297</v>
      </c>
      <c r="E171" s="20">
        <v>1.0</v>
      </c>
    </row>
    <row r="172">
      <c r="A172" s="196" t="str">
        <f>IFERROR(__xludf.DUMMYFUNCTION("""COMPUTED_VALUE"""),"Solarsteel")</f>
        <v>Solarsteel</v>
      </c>
      <c r="B172" s="197" t="str">
        <f>IFERROR(__xludf.DUMMYFUNCTION("""COMPUTED_VALUE"""),"Diamond")</f>
        <v>Diamond</v>
      </c>
      <c r="C172" s="197">
        <f t="shared" si="1"/>
        <v>1</v>
      </c>
      <c r="D172" s="20" t="s">
        <v>2298</v>
      </c>
      <c r="E172" s="20">
        <v>1.0</v>
      </c>
    </row>
    <row r="173">
      <c r="A173" s="196" t="str">
        <f>IFERROR(__xludf.DUMMYFUNCTION("""COMPUTED_VALUE"""),"Prodigy")</f>
        <v>Prodigy</v>
      </c>
      <c r="B173" s="197" t="str">
        <f>IFERROR(__xludf.DUMMYFUNCTION("""COMPUTED_VALUE"""),"Phantom")</f>
        <v>Phantom</v>
      </c>
      <c r="C173" s="197">
        <f t="shared" si="1"/>
        <v>1</v>
      </c>
      <c r="D173" s="20" t="s">
        <v>2299</v>
      </c>
      <c r="E173" s="20">
        <v>1.0</v>
      </c>
    </row>
    <row r="174">
      <c r="A174" s="196"/>
      <c r="B174" s="197" t="str">
        <f>IFERROR(__xludf.DUMMYFUNCTION("""COMPUTED_VALUE"""),"Draconic")</f>
        <v>Draconic</v>
      </c>
      <c r="C174" s="197">
        <f t="shared" si="1"/>
        <v>1</v>
      </c>
      <c r="D174" s="20" t="s">
        <v>2300</v>
      </c>
      <c r="E174" s="20">
        <v>1.0</v>
      </c>
    </row>
    <row r="175">
      <c r="A175" s="196"/>
      <c r="B175" s="197" t="str">
        <f>IFERROR(__xludf.DUMMYFUNCTION("""COMPUTED_VALUE"""),"Highpriest")</f>
        <v>Highpriest</v>
      </c>
      <c r="C175" s="197">
        <f t="shared" si="1"/>
        <v>1</v>
      </c>
      <c r="D175" s="20" t="s">
        <v>2301</v>
      </c>
      <c r="E175" s="20">
        <v>1.0</v>
      </c>
    </row>
    <row r="176">
      <c r="A176" s="196"/>
      <c r="B176" s="197" t="str">
        <f>IFERROR(__xludf.DUMMYFUNCTION("""COMPUTED_VALUE"""),"Cavern")</f>
        <v>Cavern</v>
      </c>
      <c r="C176" s="197">
        <f t="shared" si="1"/>
        <v>1</v>
      </c>
      <c r="D176" s="20" t="s">
        <v>2302</v>
      </c>
      <c r="E176" s="20">
        <v>1.0</v>
      </c>
    </row>
    <row r="177">
      <c r="A177" s="196" t="str">
        <f>IFERROR(__xludf.DUMMYFUNCTION("""COMPUTED_VALUE"""),"Starforger")</f>
        <v>Starforger</v>
      </c>
      <c r="B177" s="197" t="str">
        <f>IFERROR(__xludf.DUMMYFUNCTION("""COMPUTED_VALUE"""),"Lindwurm")</f>
        <v>Lindwurm</v>
      </c>
      <c r="C177" s="197">
        <f t="shared" si="1"/>
        <v>1</v>
      </c>
      <c r="D177" s="20" t="s">
        <v>2303</v>
      </c>
      <c r="E177" s="20">
        <v>1.0</v>
      </c>
    </row>
    <row r="178">
      <c r="A178" s="196"/>
      <c r="B178" s="197" t="str">
        <f>IFERROR(__xludf.DUMMYFUNCTION("""COMPUTED_VALUE"""),"Cheerful")</f>
        <v>Cheerful</v>
      </c>
      <c r="C178" s="197">
        <f t="shared" si="1"/>
        <v>1</v>
      </c>
      <c r="D178" s="20" t="s">
        <v>2304</v>
      </c>
      <c r="E178" s="20">
        <v>1.0</v>
      </c>
    </row>
    <row r="179">
      <c r="A179" s="196"/>
      <c r="B179" s="197" t="str">
        <f>IFERROR(__xludf.DUMMYFUNCTION("""COMPUTED_VALUE"""),"Pixies")</f>
        <v>Pixies</v>
      </c>
      <c r="C179" s="197">
        <f t="shared" si="1"/>
        <v>1</v>
      </c>
      <c r="D179" s="20" t="s">
        <v>2305</v>
      </c>
      <c r="E179" s="20">
        <v>1.0</v>
      </c>
    </row>
    <row r="180">
      <c r="A180" s="196"/>
      <c r="B180" s="197" t="str">
        <f>IFERROR(__xludf.DUMMYFUNCTION("""COMPUTED_VALUE"""),"Cinderguard")</f>
        <v>Cinderguard</v>
      </c>
      <c r="C180" s="197">
        <f t="shared" si="1"/>
        <v>5</v>
      </c>
      <c r="D180" s="20" t="s">
        <v>2306</v>
      </c>
      <c r="E180" s="20">
        <v>1.0</v>
      </c>
    </row>
    <row r="181">
      <c r="A181" s="196"/>
      <c r="B181" s="197" t="str">
        <f>IFERROR(__xludf.DUMMYFUNCTION("""COMPUTED_VALUE"""),"Scribe")</f>
        <v>Scribe</v>
      </c>
      <c r="C181" s="197">
        <f t="shared" si="1"/>
        <v>1</v>
      </c>
      <c r="D181" s="20" t="s">
        <v>2307</v>
      </c>
      <c r="E181" s="20">
        <v>1.0</v>
      </c>
    </row>
    <row r="182">
      <c r="A182" s="196" t="str">
        <f>IFERROR(__xludf.DUMMYFUNCTION("""COMPUTED_VALUE"""),"Swiftblade")</f>
        <v>Swiftblade</v>
      </c>
      <c r="B182" s="197" t="str">
        <f>IFERROR(__xludf.DUMMYFUNCTION("""COMPUTED_VALUE"""),"Daredevil")</f>
        <v>Daredevil</v>
      </c>
      <c r="C182" s="197">
        <f t="shared" si="1"/>
        <v>1</v>
      </c>
      <c r="D182" s="20" t="s">
        <v>2308</v>
      </c>
      <c r="E182" s="20">
        <v>1.0</v>
      </c>
    </row>
    <row r="183">
      <c r="A183" s="196" t="str">
        <f>IFERROR(__xludf.DUMMYFUNCTION("""COMPUTED_VALUE"""),"Revenger")</f>
        <v>Revenger</v>
      </c>
      <c r="B183" s="197" t="str">
        <f>IFERROR(__xludf.DUMMYFUNCTION("""COMPUTED_VALUE"""),"Duo")</f>
        <v>Duo</v>
      </c>
      <c r="C183" s="197">
        <f t="shared" si="1"/>
        <v>1</v>
      </c>
      <c r="D183" s="20" t="s">
        <v>2309</v>
      </c>
      <c r="E183" s="20">
        <v>1.0</v>
      </c>
    </row>
    <row r="184">
      <c r="A184" s="196"/>
      <c r="B184" s="197" t="str">
        <f>IFERROR(__xludf.DUMMYFUNCTION("""COMPUTED_VALUE"""),"Beetle")</f>
        <v>Beetle</v>
      </c>
      <c r="C184" s="197">
        <f t="shared" si="1"/>
        <v>3</v>
      </c>
      <c r="D184" s="20" t="s">
        <v>2310</v>
      </c>
      <c r="E184" s="20">
        <v>1.0</v>
      </c>
    </row>
    <row r="185">
      <c r="A185" s="196"/>
      <c r="B185" s="197" t="str">
        <f>IFERROR(__xludf.DUMMYFUNCTION("""COMPUTED_VALUE"""),"Ember")</f>
        <v>Ember</v>
      </c>
      <c r="C185" s="197">
        <f t="shared" si="1"/>
        <v>1</v>
      </c>
      <c r="D185" s="20" t="s">
        <v>2311</v>
      </c>
      <c r="E185" s="20">
        <v>1.0</v>
      </c>
    </row>
    <row r="186">
      <c r="A186" s="196"/>
      <c r="B186" s="197" t="str">
        <f>IFERROR(__xludf.DUMMYFUNCTION("""COMPUTED_VALUE"""),"Whelp")</f>
        <v>Whelp</v>
      </c>
      <c r="C186" s="197">
        <f t="shared" si="1"/>
        <v>1</v>
      </c>
      <c r="D186" s="20" t="s">
        <v>2312</v>
      </c>
      <c r="E186" s="20">
        <v>1.0</v>
      </c>
    </row>
    <row r="187">
      <c r="A187" s="196" t="str">
        <f>IFERROR(__xludf.DUMMYFUNCTION("""COMPUTED_VALUE"""),"The")</f>
        <v>The</v>
      </c>
      <c r="B187" s="197" t="str">
        <f>IFERROR(__xludf.DUMMYFUNCTION("""COMPUTED_VALUE"""),"Floating")</f>
        <v>Floating</v>
      </c>
      <c r="C187" s="197">
        <f t="shared" si="1"/>
        <v>1</v>
      </c>
      <c r="D187" s="20" t="s">
        <v>2313</v>
      </c>
      <c r="E187" s="20">
        <v>1.0</v>
      </c>
    </row>
    <row r="188">
      <c r="A188" s="196" t="str">
        <f>IFERROR(__xludf.DUMMYFUNCTION("""COMPUTED_VALUE"""),"Kitty")</f>
        <v>Kitty</v>
      </c>
      <c r="B188" s="197" t="str">
        <f>IFERROR(__xludf.DUMMYFUNCTION("""COMPUTED_VALUE"""),"Djinn")</f>
        <v>Djinn</v>
      </c>
      <c r="C188" s="197">
        <f t="shared" si="1"/>
        <v>1</v>
      </c>
      <c r="D188" s="20" t="s">
        <v>2314</v>
      </c>
      <c r="E188" s="20">
        <v>1.0</v>
      </c>
    </row>
    <row r="189">
      <c r="A189" s="196" t="str">
        <f>IFERROR(__xludf.DUMMYFUNCTION("""COMPUTED_VALUE"""),"of")</f>
        <v>of</v>
      </c>
      <c r="B189" s="197" t="str">
        <f>IFERROR(__xludf.DUMMYFUNCTION("""COMPUTED_VALUE"""),"Dewdrop")</f>
        <v>Dewdrop</v>
      </c>
      <c r="C189" s="197">
        <f t="shared" si="1"/>
        <v>1</v>
      </c>
      <c r="D189" s="20" t="s">
        <v>2315</v>
      </c>
      <c r="E189" s="20">
        <v>1.0</v>
      </c>
    </row>
    <row r="190">
      <c r="A190" s="196" t="str">
        <f>IFERROR(__xludf.DUMMYFUNCTION("""COMPUTED_VALUE"""),"Thamiel")</f>
        <v>Thamiel</v>
      </c>
      <c r="B190" s="197" t="str">
        <f>IFERROR(__xludf.DUMMYFUNCTION("""COMPUTED_VALUE"""),"Egg")</f>
        <v>Egg</v>
      </c>
      <c r="C190" s="197">
        <f t="shared" si="1"/>
        <v>1</v>
      </c>
      <c r="D190" s="20" t="s">
        <v>2316</v>
      </c>
      <c r="E190" s="20">
        <v>1.0</v>
      </c>
    </row>
    <row r="191">
      <c r="A191" s="196"/>
      <c r="B191" s="197" t="str">
        <f>IFERROR(__xludf.DUMMYFUNCTION("""COMPUTED_VALUE"""),"Dustdance")</f>
        <v>Dustdance</v>
      </c>
      <c r="C191" s="197">
        <f t="shared" si="1"/>
        <v>1</v>
      </c>
      <c r="D191" s="20" t="s">
        <v>2317</v>
      </c>
      <c r="E191" s="20">
        <v>1.0</v>
      </c>
    </row>
    <row r="192">
      <c r="A192" s="196" t="str">
        <f>IFERROR(__xludf.DUMMYFUNCTION("""COMPUTED_VALUE"""),"Thunderswarm")</f>
        <v>Thunderswarm</v>
      </c>
      <c r="B192" s="197" t="str">
        <f>IFERROR(__xludf.DUMMYFUNCTION("""COMPUTED_VALUE"""),"Efreet")</f>
        <v>Efreet</v>
      </c>
      <c r="C192" s="197">
        <f t="shared" si="1"/>
        <v>1</v>
      </c>
      <c r="D192" s="20" t="s">
        <v>2318</v>
      </c>
      <c r="E192" s="20">
        <v>1.0</v>
      </c>
    </row>
    <row r="193">
      <c r="A193" s="196" t="str">
        <f>IFERROR(__xludf.DUMMYFUNCTION("""COMPUTED_VALUE"""),"Skirmisher")</f>
        <v>Skirmisher</v>
      </c>
      <c r="B193" s="197" t="str">
        <f>IFERROR(__xludf.DUMMYFUNCTION("""COMPUTED_VALUE"""),"Hermit")</f>
        <v>Hermit</v>
      </c>
      <c r="C193" s="197">
        <f t="shared" si="1"/>
        <v>3</v>
      </c>
      <c r="D193" s="20" t="s">
        <v>2319</v>
      </c>
      <c r="E193" s="20">
        <v>1.0</v>
      </c>
    </row>
    <row r="194">
      <c r="A194" s="196"/>
      <c r="B194" s="197" t="str">
        <f>IFERROR(__xludf.DUMMYFUNCTION("""COMPUTED_VALUE"""),"Horizon")</f>
        <v>Horizon</v>
      </c>
      <c r="C194" s="197">
        <f t="shared" si="1"/>
        <v>1</v>
      </c>
      <c r="D194" s="20" t="s">
        <v>2320</v>
      </c>
      <c r="E194" s="20">
        <v>1.0</v>
      </c>
    </row>
    <row r="195">
      <c r="A195" s="196"/>
      <c r="B195" s="197" t="str">
        <f>IFERROR(__xludf.DUMMYFUNCTION("""COMPUTED_VALUE"""),"Roughlands")</f>
        <v>Roughlands</v>
      </c>
      <c r="C195" s="197">
        <f t="shared" si="1"/>
        <v>1</v>
      </c>
      <c r="D195" s="20" t="s">
        <v>2321</v>
      </c>
      <c r="E195" s="20">
        <v>1.0</v>
      </c>
    </row>
    <row r="196">
      <c r="A196" s="196"/>
      <c r="B196" s="197" t="str">
        <f>IFERROR(__xludf.DUMMYFUNCTION("""COMPUTED_VALUE"""),"Scourge")</f>
        <v>Scourge</v>
      </c>
      <c r="C196" s="197">
        <f t="shared" si="1"/>
        <v>1</v>
      </c>
      <c r="D196" s="20" t="s">
        <v>2322</v>
      </c>
      <c r="E196" s="20">
        <v>1.0</v>
      </c>
    </row>
    <row r="197">
      <c r="A197" s="196" t="str">
        <f>IFERROR(__xludf.DUMMYFUNCTION("""COMPUTED_VALUE"""),"Tranquil")</f>
        <v>Tranquil</v>
      </c>
      <c r="B197" s="197" t="str">
        <f>IFERROR(__xludf.DUMMYFUNCTION("""COMPUTED_VALUE"""),"Mirrorworld")</f>
        <v>Mirrorworld</v>
      </c>
      <c r="C197" s="197">
        <f t="shared" si="1"/>
        <v>1</v>
      </c>
      <c r="D197" s="20" t="s">
        <v>2323</v>
      </c>
      <c r="E197" s="20">
        <v>1.0</v>
      </c>
    </row>
    <row r="198">
      <c r="A198" s="196" t="str">
        <f>IFERROR(__xludf.DUMMYFUNCTION("""COMPUTED_VALUE"""),"Herd")</f>
        <v>Herd</v>
      </c>
      <c r="B198" s="197" t="str">
        <f>IFERROR(__xludf.DUMMYFUNCTION("""COMPUTED_VALUE"""),"Bloodseeker")</f>
        <v>Bloodseeker</v>
      </c>
      <c r="C198" s="197">
        <f t="shared" si="1"/>
        <v>1</v>
      </c>
      <c r="D198" s="20" t="s">
        <v>2324</v>
      </c>
      <c r="E198" s="20">
        <v>1.0</v>
      </c>
    </row>
    <row r="199">
      <c r="A199" s="196" t="str">
        <f>IFERROR(__xludf.DUMMYFUNCTION("""COMPUTED_VALUE"""),"Gem")</f>
        <v>Gem</v>
      </c>
      <c r="B199" s="197" t="str">
        <f>IFERROR(__xludf.DUMMYFUNCTION("""COMPUTED_VALUE"""),"Mountain")</f>
        <v>Mountain</v>
      </c>
      <c r="C199" s="197">
        <f t="shared" si="1"/>
        <v>1</v>
      </c>
      <c r="D199" s="20" t="s">
        <v>2325</v>
      </c>
      <c r="E199" s="20">
        <v>1.0</v>
      </c>
    </row>
    <row r="200">
      <c r="A200" s="196" t="str">
        <f>IFERROR(__xludf.DUMMYFUNCTION("""COMPUTED_VALUE"""),"Titan")</f>
        <v>Titan</v>
      </c>
      <c r="B200" s="197" t="str">
        <f>IFERROR(__xludf.DUMMYFUNCTION("""COMPUTED_VALUE"""),"Sage")</f>
        <v>Sage</v>
      </c>
      <c r="C200" s="197">
        <f t="shared" si="1"/>
        <v>1</v>
      </c>
      <c r="D200" s="20" t="s">
        <v>2326</v>
      </c>
      <c r="E200" s="20">
        <v>1.0</v>
      </c>
    </row>
    <row r="201">
      <c r="A201" s="196"/>
      <c r="B201" s="197" t="str">
        <f>IFERROR(__xludf.DUMMYFUNCTION("""COMPUTED_VALUE"""),"Nimbus")</f>
        <v>Nimbus</v>
      </c>
      <c r="C201" s="197">
        <f t="shared" si="1"/>
        <v>1</v>
      </c>
      <c r="D201" s="20" t="s">
        <v>2327</v>
      </c>
      <c r="E201" s="20">
        <v>1.0</v>
      </c>
    </row>
    <row r="202">
      <c r="A202" s="196" t="str">
        <f>IFERROR(__xludf.DUMMYFUNCTION("""COMPUTED_VALUE"""),"Towering")</f>
        <v>Towering</v>
      </c>
      <c r="B202" s="197" t="str">
        <f>IFERROR(__xludf.DUMMYFUNCTION("""COMPUTED_VALUE"""),"Claw")</f>
        <v>Claw</v>
      </c>
      <c r="C202" s="197">
        <f t="shared" si="1"/>
        <v>2</v>
      </c>
      <c r="D202" s="20" t="s">
        <v>2328</v>
      </c>
      <c r="E202" s="20">
        <v>1.0</v>
      </c>
    </row>
    <row r="203">
      <c r="A203" s="196" t="str">
        <f>IFERROR(__xludf.DUMMYFUNCTION("""COMPUTED_VALUE"""),"Obelisk")</f>
        <v>Obelisk</v>
      </c>
      <c r="B203" s="197" t="str">
        <f>IFERROR(__xludf.DUMMYFUNCTION("""COMPUTED_VALUE"""),"Omen")</f>
        <v>Omen</v>
      </c>
      <c r="C203" s="197">
        <f t="shared" si="1"/>
        <v>1</v>
      </c>
      <c r="D203" s="20" t="s">
        <v>2329</v>
      </c>
      <c r="E203" s="20">
        <v>1.0</v>
      </c>
    </row>
    <row r="204">
      <c r="A204" s="196" t="str">
        <f>IFERROR(__xludf.DUMMYFUNCTION("""COMPUTED_VALUE"""),"of")</f>
        <v>of</v>
      </c>
      <c r="B204" s="197" t="str">
        <f>IFERROR(__xludf.DUMMYFUNCTION("""COMPUTED_VALUE"""),"Firefly")</f>
        <v>Firefly</v>
      </c>
      <c r="C204" s="197">
        <f t="shared" si="1"/>
        <v>1</v>
      </c>
      <c r="D204" s="20" t="s">
        <v>2330</v>
      </c>
      <c r="E204" s="20">
        <v>1.0</v>
      </c>
    </row>
    <row r="205">
      <c r="A205" s="196" t="str">
        <f>IFERROR(__xludf.DUMMYFUNCTION("""COMPUTED_VALUE"""),"Xi")</f>
        <v>Xi</v>
      </c>
      <c r="B205" s="197" t="str">
        <f>IFERROR(__xludf.DUMMYFUNCTION("""COMPUTED_VALUE"""),"Pixie")</f>
        <v>Pixie</v>
      </c>
      <c r="C205" s="197">
        <f t="shared" si="1"/>
        <v>1</v>
      </c>
      <c r="D205" s="20" t="s">
        <v>2331</v>
      </c>
      <c r="E205" s="20">
        <v>1.0</v>
      </c>
    </row>
    <row r="206">
      <c r="A206" s="196"/>
      <c r="B206" s="197" t="str">
        <f>IFERROR(__xludf.DUMMYFUNCTION("""COMPUTED_VALUE"""),"Summoner")</f>
        <v>Summoner</v>
      </c>
      <c r="C206" s="197">
        <f t="shared" si="1"/>
        <v>1</v>
      </c>
      <c r="D206" s="20" t="s">
        <v>2332</v>
      </c>
      <c r="E206" s="20">
        <v>1.0</v>
      </c>
    </row>
    <row r="207">
      <c r="A207" s="196" t="str">
        <f>IFERROR(__xludf.DUMMYFUNCTION("""COMPUTED_VALUE"""),"Thunderswarm")</f>
        <v>Thunderswarm</v>
      </c>
      <c r="B207" s="197" t="str">
        <f>IFERROR(__xludf.DUMMYFUNCTION("""COMPUTED_VALUE"""),"Pyretic")</f>
        <v>Pyretic</v>
      </c>
      <c r="C207" s="197">
        <f t="shared" si="1"/>
        <v>1</v>
      </c>
      <c r="D207" s="20" t="s">
        <v>2333</v>
      </c>
      <c r="E207" s="20">
        <v>1.0</v>
      </c>
    </row>
    <row r="208">
      <c r="A208" s="196" t="str">
        <f>IFERROR(__xludf.DUMMYFUNCTION("""COMPUTED_VALUE"""),"Pegasus")</f>
        <v>Pegasus</v>
      </c>
      <c r="B208" s="197" t="str">
        <f>IFERROR(__xludf.DUMMYFUNCTION("""COMPUTED_VALUE"""),"Pet")</f>
        <v>Pet</v>
      </c>
      <c r="C208" s="197">
        <f t="shared" si="1"/>
        <v>1</v>
      </c>
      <c r="D208" s="20" t="s">
        <v>2334</v>
      </c>
      <c r="E208" s="20">
        <v>1.0</v>
      </c>
    </row>
    <row r="209">
      <c r="A209" s="196"/>
      <c r="B209" s="197" t="str">
        <f>IFERROR(__xludf.DUMMYFUNCTION("""COMPUTED_VALUE"""),"Shifting")</f>
        <v>Shifting</v>
      </c>
      <c r="C209" s="197">
        <f t="shared" si="1"/>
        <v>1</v>
      </c>
      <c r="D209" s="20" t="s">
        <v>2335</v>
      </c>
      <c r="E209" s="20">
        <v>1.0</v>
      </c>
    </row>
    <row r="210">
      <c r="A210" s="196"/>
      <c r="B210" s="197" t="str">
        <f>IFERROR(__xludf.DUMMYFUNCTION("""COMPUTED_VALUE"""),"Sands")</f>
        <v>Sands</v>
      </c>
      <c r="C210" s="197">
        <f t="shared" si="1"/>
        <v>1</v>
      </c>
      <c r="D210" s="20" t="s">
        <v>2336</v>
      </c>
      <c r="E210" s="20">
        <v>1.0</v>
      </c>
    </row>
    <row r="211">
      <c r="A211" s="196"/>
      <c r="B211" s="197" t="str">
        <f>IFERROR(__xludf.DUMMYFUNCTION("""COMPUTED_VALUE"""),"Torii")</f>
        <v>Torii</v>
      </c>
      <c r="C211" s="197">
        <f t="shared" si="1"/>
        <v>1</v>
      </c>
      <c r="D211" s="20" t="s">
        <v>2337</v>
      </c>
      <c r="E211" s="20">
        <v>1.0</v>
      </c>
    </row>
    <row r="212">
      <c r="A212" s="196" t="str">
        <f>IFERROR(__xludf.DUMMYFUNCTION("""COMPUTED_VALUE"""),"Winged")</f>
        <v>Winged</v>
      </c>
      <c r="B212" s="197" t="str">
        <f>IFERROR(__xludf.DUMMYFUNCTION("""COMPUTED_VALUE"""),"Spirit")</f>
        <v>Spirit</v>
      </c>
      <c r="C212" s="197">
        <f t="shared" si="1"/>
        <v>1</v>
      </c>
      <c r="D212" s="20" t="s">
        <v>2338</v>
      </c>
      <c r="E212" s="20">
        <v>1.0</v>
      </c>
    </row>
    <row r="213">
      <c r="A213" s="196" t="str">
        <f>IFERROR(__xludf.DUMMYFUNCTION("""COMPUTED_VALUE"""),"Ushabti")</f>
        <v>Ushabti</v>
      </c>
      <c r="B213" s="197" t="str">
        <f>IFERROR(__xludf.DUMMYFUNCTION("""COMPUTED_VALUE"""),"Red")</f>
        <v>Red</v>
      </c>
      <c r="C213" s="197">
        <f t="shared" si="1"/>
        <v>2</v>
      </c>
      <c r="D213" s="20" t="s">
        <v>2339</v>
      </c>
      <c r="E213" s="20">
        <v>1.0</v>
      </c>
    </row>
    <row r="214">
      <c r="A214" s="196"/>
      <c r="B214" s="197" t="str">
        <f>IFERROR(__xludf.DUMMYFUNCTION("""COMPUTED_VALUE"""),"Windkite")</f>
        <v>Windkite</v>
      </c>
      <c r="C214" s="197">
        <f t="shared" si="1"/>
        <v>1</v>
      </c>
      <c r="D214" s="20" t="s">
        <v>2340</v>
      </c>
      <c r="E214" s="20">
        <v>1.0</v>
      </c>
    </row>
    <row r="215">
      <c r="A215" s="196"/>
      <c r="B215" s="197" t="str">
        <f>IFERROR(__xludf.DUMMYFUNCTION("""COMPUTED_VALUE"""),"Acolyte")</f>
        <v>Acolyte</v>
      </c>
      <c r="C215" s="197">
        <f t="shared" si="1"/>
        <v>2</v>
      </c>
      <c r="D215" s="20" t="s">
        <v>2341</v>
      </c>
      <c r="E215" s="20">
        <v>1.0</v>
      </c>
    </row>
    <row r="216">
      <c r="A216" s="196"/>
      <c r="B216" s="197" t="str">
        <f>IFERROR(__xludf.DUMMYFUNCTION("""COMPUTED_VALUE"""),"Sand")</f>
        <v>Sand</v>
      </c>
      <c r="C216" s="197">
        <f t="shared" si="1"/>
        <v>1</v>
      </c>
      <c r="D216" s="20" t="s">
        <v>2342</v>
      </c>
      <c r="E216" s="20">
        <v>1.0</v>
      </c>
    </row>
    <row r="217">
      <c r="A217" s="196" t="str">
        <f>IFERROR(__xludf.DUMMYFUNCTION("""COMPUTED_VALUE"""),"Ghostfire")</f>
        <v>Ghostfire</v>
      </c>
      <c r="B217" s="197" t="str">
        <f>IFERROR(__xludf.DUMMYFUNCTION("""COMPUTED_VALUE"""),"Witch")</f>
        <v>Witch</v>
      </c>
      <c r="C217" s="197">
        <f t="shared" si="1"/>
        <v>1</v>
      </c>
      <c r="D217" s="20" t="s">
        <v>2343</v>
      </c>
      <c r="E217" s="20">
        <v>1.0</v>
      </c>
    </row>
    <row r="218">
      <c r="A218" s="196" t="str">
        <f>IFERROR(__xludf.DUMMYFUNCTION("""COMPUTED_VALUE"""),"Basilisk")</f>
        <v>Basilisk</v>
      </c>
      <c r="B218" s="197" t="str">
        <f>IFERROR(__xludf.DUMMYFUNCTION("""COMPUTED_VALUE"""),"Shardhorde")</f>
        <v>Shardhorde</v>
      </c>
      <c r="C218" s="197">
        <f t="shared" si="1"/>
        <v>3</v>
      </c>
      <c r="D218" s="20" t="s">
        <v>2344</v>
      </c>
      <c r="E218" s="20">
        <v>1.0</v>
      </c>
    </row>
    <row r="219">
      <c r="A219" s="196"/>
      <c r="B219" s="197" t="str">
        <f>IFERROR(__xludf.DUMMYFUNCTION("""COMPUTED_VALUE"""),"Galewhelp")</f>
        <v>Galewhelp</v>
      </c>
      <c r="C219" s="197">
        <f t="shared" si="1"/>
        <v>1</v>
      </c>
      <c r="D219" s="20" t="s">
        <v>2345</v>
      </c>
      <c r="E219" s="20">
        <v>1.0</v>
      </c>
    </row>
    <row r="220">
      <c r="A220" s="196"/>
      <c r="B220" s="197" t="str">
        <f>IFERROR(__xludf.DUMMYFUNCTION("""COMPUTED_VALUE"""),"Amberlock")</f>
        <v>Amberlock</v>
      </c>
      <c r="C220" s="197">
        <f t="shared" si="1"/>
        <v>1</v>
      </c>
      <c r="D220" s="20" t="s">
        <v>2346</v>
      </c>
      <c r="E220" s="20">
        <v>1.0</v>
      </c>
    </row>
    <row r="221">
      <c r="A221" s="196"/>
      <c r="B221" s="197" t="str">
        <f>IFERROR(__xludf.DUMMYFUNCTION("""COMPUTED_VALUE"""),"Dragonling")</f>
        <v>Dragonling</v>
      </c>
      <c r="C221" s="197">
        <f t="shared" si="1"/>
        <v>1</v>
      </c>
      <c r="D221" s="20" t="s">
        <v>2347</v>
      </c>
      <c r="E221" s="20">
        <v>1.0</v>
      </c>
    </row>
    <row r="222">
      <c r="A222" s="196" t="str">
        <f>IFERROR(__xludf.DUMMYFUNCTION("""COMPUTED_VALUE"""),"Yellow")</f>
        <v>Yellow</v>
      </c>
      <c r="B222" s="197" t="str">
        <f>IFERROR(__xludf.DUMMYFUNCTION("""COMPUTED_VALUE"""),"Dragonfire")</f>
        <v>Dragonfire</v>
      </c>
      <c r="C222" s="197">
        <f t="shared" si="1"/>
        <v>1</v>
      </c>
      <c r="D222" s="20" t="s">
        <v>2348</v>
      </c>
      <c r="E222" s="20">
        <v>1.0</v>
      </c>
    </row>
    <row r="223">
      <c r="A223" s="196" t="str">
        <f>IFERROR(__xludf.DUMMYFUNCTION("""COMPUTED_VALUE"""),"Crusader")</f>
        <v>Crusader</v>
      </c>
      <c r="B223" s="197" t="str">
        <f>IFERROR(__xludf.DUMMYFUNCTION("""COMPUTED_VALUE"""),"Warlock")</f>
        <v>Warlock</v>
      </c>
      <c r="C223" s="197">
        <f t="shared" si="1"/>
        <v>1</v>
      </c>
      <c r="D223" s="20" t="s">
        <v>2349</v>
      </c>
      <c r="E223" s="20">
        <v>1.0</v>
      </c>
    </row>
    <row r="224">
      <c r="A224" s="196"/>
      <c r="B224" s="197" t="str">
        <f>IFERROR(__xludf.DUMMYFUNCTION("""COMPUTED_VALUE"""),"Dragonwind")</f>
        <v>Dragonwind</v>
      </c>
      <c r="C224" s="197">
        <f t="shared" si="1"/>
        <v>1</v>
      </c>
      <c r="D224" s="20" t="s">
        <v>2350</v>
      </c>
      <c r="E224" s="20">
        <v>1.0</v>
      </c>
    </row>
    <row r="225">
      <c r="A225" s="196"/>
      <c r="B225" s="197" t="str">
        <f>IFERROR(__xludf.DUMMYFUNCTION("""COMPUTED_VALUE"""),"Harbinger")</f>
        <v>Harbinger</v>
      </c>
      <c r="C225" s="197">
        <f t="shared" si="1"/>
        <v>1</v>
      </c>
      <c r="D225" s="20" t="s">
        <v>2351</v>
      </c>
      <c r="E225" s="20">
        <v>1.0</v>
      </c>
    </row>
    <row r="226">
      <c r="A226" s="196"/>
      <c r="B226" s="197" t="str">
        <f>IFERROR(__xludf.DUMMYFUNCTION("""COMPUTED_VALUE"""),"Sparkwielder")</f>
        <v>Sparkwielder</v>
      </c>
      <c r="C226" s="197">
        <f t="shared" si="1"/>
        <v>1</v>
      </c>
      <c r="D226" s="20" t="s">
        <v>2352</v>
      </c>
      <c r="E226" s="20">
        <v>1.0</v>
      </c>
    </row>
    <row r="227">
      <c r="A227" s="196" t="str">
        <f>IFERROR(__xludf.DUMMYFUNCTION("""COMPUTED_VALUE"""),"Young")</f>
        <v>Young</v>
      </c>
      <c r="B227" s="197" t="str">
        <f>IFERROR(__xludf.DUMMYFUNCTION("""COMPUTED_VALUE"""),"Gashopper")</f>
        <v>Gashopper</v>
      </c>
      <c r="C227" s="197">
        <f t="shared" si="1"/>
        <v>1</v>
      </c>
      <c r="D227" s="20" t="s">
        <v>2353</v>
      </c>
      <c r="E227" s="20">
        <v>1.0</v>
      </c>
    </row>
    <row r="228">
      <c r="A228" s="196" t="str">
        <f>IFERROR(__xludf.DUMMYFUNCTION("""COMPUTED_VALUE"""),"Monk")</f>
        <v>Monk</v>
      </c>
      <c r="B228" s="197" t="str">
        <f>IFERROR(__xludf.DUMMYFUNCTION("""COMPUTED_VALUE"""),"Hailbringer")</f>
        <v>Hailbringer</v>
      </c>
      <c r="C228" s="197">
        <f t="shared" si="1"/>
        <v>1</v>
      </c>
      <c r="D228" s="20" t="s">
        <v>2354</v>
      </c>
      <c r="E228" s="20">
        <v>1.0</v>
      </c>
    </row>
    <row r="229">
      <c r="A229" s="196"/>
      <c r="B229" s="197" t="str">
        <f>IFERROR(__xludf.DUMMYFUNCTION("""COMPUTED_VALUE"""),"Stormlash")</f>
        <v>Stormlash</v>
      </c>
      <c r="C229" s="197">
        <f t="shared" si="1"/>
        <v>1</v>
      </c>
      <c r="D229" s="20" t="s">
        <v>2355</v>
      </c>
      <c r="E229" s="20">
        <v>1.0</v>
      </c>
    </row>
    <row r="230">
      <c r="A230" s="196"/>
      <c r="B230" s="197" t="str">
        <f>IFERROR(__xludf.DUMMYFUNCTION("""COMPUTED_VALUE"""),"Stormworn")</f>
        <v>Stormworn</v>
      </c>
      <c r="C230" s="197">
        <f t="shared" si="1"/>
        <v>1</v>
      </c>
      <c r="D230" s="20" t="s">
        <v>2356</v>
      </c>
      <c r="E230" s="20">
        <v>1.0</v>
      </c>
    </row>
    <row r="231">
      <c r="A231" s="196"/>
      <c r="B231" s="197" t="str">
        <f>IFERROR(__xludf.DUMMYFUNCTION("""COMPUTED_VALUE"""),"Horn")</f>
        <v>Horn</v>
      </c>
      <c r="C231" s="197">
        <f t="shared" si="1"/>
        <v>1</v>
      </c>
      <c r="D231" s="20" t="s">
        <v>2357</v>
      </c>
      <c r="E231" s="20">
        <v>1.0</v>
      </c>
    </row>
    <row r="232">
      <c r="A232" s="196" t="str">
        <f>IFERROR(__xludf.DUMMYFUNCTION("""COMPUTED_VALUE"""),"Fancy")</f>
        <v>Fancy</v>
      </c>
      <c r="B232" s="197" t="str">
        <f>IFERROR(__xludf.DUMMYFUNCTION("""COMPUTED_VALUE"""),"Glinteye")</f>
        <v>Glinteye</v>
      </c>
      <c r="C232" s="197">
        <f t="shared" si="1"/>
        <v>1</v>
      </c>
      <c r="D232" s="20" t="s">
        <v>2358</v>
      </c>
      <c r="E232" s="20">
        <v>1.0</v>
      </c>
    </row>
    <row r="233">
      <c r="A233" s="196" t="str">
        <f>IFERROR(__xludf.DUMMYFUNCTION("""COMPUTED_VALUE"""),"Schmancy")</f>
        <v>Schmancy</v>
      </c>
      <c r="B233" s="197" t="str">
        <f>IFERROR(__xludf.DUMMYFUNCTION("""COMPUTED_VALUE"""),"Hoarder")</f>
        <v>Hoarder</v>
      </c>
      <c r="C233" s="197">
        <f t="shared" si="1"/>
        <v>1</v>
      </c>
      <c r="D233" s="20" t="s">
        <v>2359</v>
      </c>
      <c r="E233" s="20">
        <v>1.0</v>
      </c>
    </row>
    <row r="234">
      <c r="A234" s="196" t="str">
        <f>IFERROR(__xludf.DUMMYFUNCTION("""COMPUTED_VALUE"""),"Byrrd")</f>
        <v>Byrrd</v>
      </c>
      <c r="B234" s="197" t="str">
        <f>IFERROR(__xludf.DUMMYFUNCTION("""COMPUTED_VALUE"""),"Culling")</f>
        <v>Culling</v>
      </c>
      <c r="C234" s="197">
        <f t="shared" si="1"/>
        <v>1</v>
      </c>
      <c r="D234" s="20" t="s">
        <v>2360</v>
      </c>
      <c r="E234" s="20">
        <v>1.0</v>
      </c>
    </row>
    <row r="235">
      <c r="A235" s="196" t="str">
        <f>IFERROR(__xludf.DUMMYFUNCTION("""COMPUTED_VALUE"""),"Type")</f>
        <v>Type</v>
      </c>
      <c r="B235" s="197" t="str">
        <f>IFERROR(__xludf.DUMMYFUNCTION("""COMPUTED_VALUE"""),"Thunderfox")</f>
        <v>Thunderfox</v>
      </c>
      <c r="C235" s="197">
        <f t="shared" si="1"/>
        <v>1</v>
      </c>
      <c r="D235" s="20" t="s">
        <v>2361</v>
      </c>
      <c r="E235" s="20">
        <v>1.0</v>
      </c>
    </row>
    <row r="236">
      <c r="A236" s="196"/>
      <c r="B236" s="197" t="str">
        <f>IFERROR(__xludf.DUMMYFUNCTION("""COMPUTED_VALUE"""),"Raijin's")</f>
        <v>Raijin's</v>
      </c>
      <c r="C236" s="197">
        <f t="shared" si="1"/>
        <v>1</v>
      </c>
      <c r="D236" s="20" t="s">
        <v>2362</v>
      </c>
      <c r="E236" s="20">
        <v>1.0</v>
      </c>
    </row>
    <row r="237">
      <c r="A237" s="196" t="str">
        <f>IFERROR(__xludf.DUMMYFUNCTION("""COMPUTED_VALUE"""),"Golden")</f>
        <v>Golden</v>
      </c>
      <c r="B237" s="197" t="str">
        <f>IFERROR(__xludf.DUMMYFUNCTION("""COMPUTED_VALUE"""),"Familiar")</f>
        <v>Familiar</v>
      </c>
      <c r="C237" s="197">
        <f t="shared" si="1"/>
        <v>2</v>
      </c>
      <c r="D237" s="20" t="s">
        <v>2363</v>
      </c>
      <c r="E237" s="20">
        <v>1.0</v>
      </c>
    </row>
    <row r="238">
      <c r="A238" s="196" t="str">
        <f>IFERROR(__xludf.DUMMYFUNCTION("""COMPUTED_VALUE"""),"Phoenix")</f>
        <v>Phoenix</v>
      </c>
      <c r="B238" s="197" t="str">
        <f>IFERROR(__xludf.DUMMYFUNCTION("""COMPUTED_VALUE"""),"Twin")</f>
        <v>Twin</v>
      </c>
      <c r="C238" s="197">
        <f t="shared" si="1"/>
        <v>2</v>
      </c>
      <c r="D238" s="20" t="s">
        <v>2364</v>
      </c>
      <c r="E238" s="20">
        <v>1.0</v>
      </c>
    </row>
    <row r="239">
      <c r="A239" s="196"/>
      <c r="B239" s="197" t="str">
        <f>IFERROR(__xludf.DUMMYFUNCTION("""COMPUTED_VALUE"""),"Thundertail")</f>
        <v>Thundertail</v>
      </c>
      <c r="C239" s="197">
        <f t="shared" si="1"/>
        <v>1</v>
      </c>
      <c r="D239" s="20" t="s">
        <v>2365</v>
      </c>
      <c r="E239" s="20">
        <v>1.0</v>
      </c>
    </row>
    <row r="240">
      <c r="A240" s="196"/>
      <c r="B240" s="197" t="str">
        <f>IFERROR(__xludf.DUMMYFUNCTION("""COMPUTED_VALUE"""),"Vengeful")</f>
        <v>Vengeful</v>
      </c>
      <c r="C240" s="197">
        <f t="shared" si="1"/>
        <v>1</v>
      </c>
      <c r="D240" s="20" t="s">
        <v>2366</v>
      </c>
      <c r="E240" s="20">
        <v>1.0</v>
      </c>
    </row>
    <row r="241">
      <c r="A241" s="196"/>
      <c r="B241" s="197" t="str">
        <f>IFERROR(__xludf.DUMMYFUNCTION("""COMPUTED_VALUE"""),"Gust")</f>
        <v>Gust</v>
      </c>
      <c r="C241" s="197">
        <f t="shared" si="1"/>
        <v>1</v>
      </c>
      <c r="D241" s="20" t="s">
        <v>2367</v>
      </c>
      <c r="E241" s="20">
        <v>1.0</v>
      </c>
    </row>
    <row r="242">
      <c r="A242" s="196" t="str">
        <f>IFERROR(__xludf.DUMMYFUNCTION("""COMPUTED_VALUE"""),"Hailstorm")</f>
        <v>Hailstorm</v>
      </c>
      <c r="B242" s="197" t="str">
        <f>IFERROR(__xludf.DUMMYFUNCTION("""COMPUTED_VALUE"""),"Runecursed")</f>
        <v>Runecursed</v>
      </c>
      <c r="C242" s="197">
        <f t="shared" si="1"/>
        <v>1</v>
      </c>
      <c r="D242" s="20" t="s">
        <v>2368</v>
      </c>
      <c r="E242" s="20">
        <v>1.0</v>
      </c>
    </row>
    <row r="243">
      <c r="A243" s="196" t="str">
        <f>IFERROR(__xludf.DUMMYFUNCTION("""COMPUTED_VALUE"""),"Seraph")</f>
        <v>Seraph</v>
      </c>
      <c r="B243" s="197" t="str">
        <f>IFERROR(__xludf.DUMMYFUNCTION("""COMPUTED_VALUE"""),"Skulloath")</f>
        <v>Skulloath</v>
      </c>
      <c r="C243" s="197">
        <f t="shared" si="1"/>
        <v>2</v>
      </c>
      <c r="D243" s="20" t="s">
        <v>2369</v>
      </c>
      <c r="E243" s="20">
        <v>1.0</v>
      </c>
    </row>
    <row r="244">
      <c r="A244" s="196"/>
      <c r="B244" s="197" t="str">
        <f>IFERROR(__xludf.DUMMYFUNCTION("""COMPUTED_VALUE"""),"Lootclaimer")</f>
        <v>Lootclaimer</v>
      </c>
      <c r="C244" s="197">
        <f t="shared" si="1"/>
        <v>1</v>
      </c>
      <c r="D244" s="20" t="s">
        <v>2370</v>
      </c>
      <c r="E244" s="20">
        <v>1.0</v>
      </c>
    </row>
    <row r="245">
      <c r="A245" s="196"/>
      <c r="B245" s="197" t="str">
        <f>IFERROR(__xludf.DUMMYFUNCTION("""COMPUTED_VALUE"""),"Spell")</f>
        <v>Spell</v>
      </c>
      <c r="C245" s="197">
        <f t="shared" si="1"/>
        <v>1</v>
      </c>
      <c r="D245" s="20" t="s">
        <v>2371</v>
      </c>
      <c r="E245" s="20">
        <v>1.0</v>
      </c>
    </row>
    <row r="246">
      <c r="A246" s="196"/>
      <c r="B246" s="197" t="str">
        <f>IFERROR(__xludf.DUMMYFUNCTION("""COMPUTED_VALUE"""),"Cat")</f>
        <v>Cat</v>
      </c>
      <c r="C246" s="197">
        <f t="shared" si="1"/>
        <v>1</v>
      </c>
      <c r="D246" s="20" t="s">
        <v>2372</v>
      </c>
      <c r="E246" s="20">
        <v>1.0</v>
      </c>
    </row>
    <row r="247">
      <c r="A247" s="196" t="str">
        <f>IFERROR(__xludf.DUMMYFUNCTION("""COMPUTED_VALUE"""),"Scittering")</f>
        <v>Scittering</v>
      </c>
      <c r="B247" s="197" t="str">
        <f>IFERROR(__xludf.DUMMYFUNCTION("""COMPUTED_VALUE"""),"Vermillion")</f>
        <v>Vermillion</v>
      </c>
      <c r="C247" s="197">
        <f t="shared" si="1"/>
        <v>1</v>
      </c>
      <c r="D247" s="20" t="s">
        <v>2373</v>
      </c>
      <c r="E247" s="20">
        <v>1.0</v>
      </c>
    </row>
    <row r="248">
      <c r="A248" s="196" t="str">
        <f>IFERROR(__xludf.DUMMYFUNCTION("""COMPUTED_VALUE"""),"Scorpion")</f>
        <v>Scorpion</v>
      </c>
      <c r="B248" s="197" t="str">
        <f>IFERROR(__xludf.DUMMYFUNCTION("""COMPUTED_VALUE"""),"Firebird")</f>
        <v>Firebird</v>
      </c>
      <c r="C248" s="197">
        <f t="shared" si="1"/>
        <v>1</v>
      </c>
      <c r="D248" s="20" t="s">
        <v>2374</v>
      </c>
      <c r="E248" s="20">
        <v>1.0</v>
      </c>
    </row>
    <row r="249">
      <c r="A249" s="196"/>
      <c r="B249" s="197" t="str">
        <f>IFERROR(__xludf.DUMMYFUNCTION("""COMPUTED_VALUE"""),"Oasisdweller")</f>
        <v>Oasisdweller</v>
      </c>
      <c r="C249" s="197">
        <f t="shared" si="1"/>
        <v>1</v>
      </c>
      <c r="D249" s="20" t="s">
        <v>2375</v>
      </c>
      <c r="E249" s="20">
        <v>1.0</v>
      </c>
    </row>
    <row r="250">
      <c r="A250" s="196"/>
      <c r="B250" s="197" t="str">
        <f>IFERROR(__xludf.DUMMYFUNCTION("""COMPUTED_VALUE"""),"Portalrunner")</f>
        <v>Portalrunner</v>
      </c>
      <c r="C250" s="197">
        <f t="shared" si="1"/>
        <v>1</v>
      </c>
      <c r="D250" s="20" t="s">
        <v>2376</v>
      </c>
      <c r="E250" s="20">
        <v>1.0</v>
      </c>
    </row>
    <row r="251">
      <c r="A251" s="196"/>
      <c r="B251" s="197" t="str">
        <f>IFERROR(__xludf.DUMMYFUNCTION("""COMPUTED_VALUE"""),"Irregulars")</f>
        <v>Irregulars</v>
      </c>
      <c r="C251" s="197">
        <f t="shared" si="1"/>
        <v>1</v>
      </c>
      <c r="D251" s="20" t="s">
        <v>2377</v>
      </c>
      <c r="E251" s="20">
        <v>1.0</v>
      </c>
    </row>
    <row r="252">
      <c r="A252" s="196" t="str">
        <f>IFERROR(__xludf.DUMMYFUNCTION("""COMPUTED_VALUE"""),"Wrath")</f>
        <v>Wrath</v>
      </c>
      <c r="B252" s="197" t="str">
        <f>IFERROR(__xludf.DUMMYFUNCTION("""COMPUTED_VALUE"""),"Steelclaw")</f>
        <v>Steelclaw</v>
      </c>
      <c r="C252" s="197">
        <f t="shared" si="1"/>
        <v>1</v>
      </c>
      <c r="D252" s="20" t="s">
        <v>2378</v>
      </c>
      <c r="E252" s="20">
        <v>1.0</v>
      </c>
    </row>
    <row r="253">
      <c r="A253" s="196" t="str">
        <f>IFERROR(__xludf.DUMMYFUNCTION("""COMPUTED_VALUE"""),"of")</f>
        <v>of</v>
      </c>
      <c r="B253" s="197" t="str">
        <f>IFERROR(__xludf.DUMMYFUNCTION("""COMPUTED_VALUE"""),"Veterans")</f>
        <v>Veterans</v>
      </c>
      <c r="C253" s="197">
        <f t="shared" si="1"/>
        <v>1</v>
      </c>
      <c r="D253" s="20" t="s">
        <v>2379</v>
      </c>
      <c r="E253" s="20">
        <v>1.0</v>
      </c>
    </row>
    <row r="254">
      <c r="A254" s="196" t="str">
        <f>IFERROR(__xludf.DUMMYFUNCTION("""COMPUTED_VALUE"""),"the")</f>
        <v>the</v>
      </c>
      <c r="B254" s="197" t="str">
        <f>IFERROR(__xludf.DUMMYFUNCTION("""COMPUTED_VALUE"""),"Crazed")</f>
        <v>Crazed</v>
      </c>
      <c r="C254" s="197">
        <f t="shared" si="1"/>
        <v>2</v>
      </c>
      <c r="D254" s="20" t="s">
        <v>2380</v>
      </c>
      <c r="E254" s="20">
        <v>1.0</v>
      </c>
    </row>
    <row r="255">
      <c r="A255" s="196" t="str">
        <f>IFERROR(__xludf.DUMMYFUNCTION("""COMPUTED_VALUE"""),"Pharaoh")</f>
        <v>Pharaoh</v>
      </c>
      <c r="B255" s="197" t="str">
        <f>IFERROR(__xludf.DUMMYFUNCTION("""COMPUTED_VALUE"""),"Galeweaver")</f>
        <v>Galeweaver</v>
      </c>
      <c r="C255" s="197">
        <f t="shared" si="1"/>
        <v>1</v>
      </c>
      <c r="D255" s="20" t="s">
        <v>2381</v>
      </c>
      <c r="E255" s="20">
        <v>1.0</v>
      </c>
    </row>
    <row r="256">
      <c r="A256" s="196"/>
      <c r="B256" s="197" t="str">
        <f>IFERROR(__xludf.DUMMYFUNCTION("""COMPUTED_VALUE"""),"Lurking")</f>
        <v>Lurking</v>
      </c>
      <c r="C256" s="197">
        <f t="shared" si="1"/>
        <v>1</v>
      </c>
      <c r="D256" s="20" t="s">
        <v>2382</v>
      </c>
      <c r="E256" s="20">
        <v>1.0</v>
      </c>
    </row>
    <row r="257">
      <c r="A257" s="196" t="str">
        <f>IFERROR(__xludf.DUMMYFUNCTION("""COMPUTED_VALUE"""),"Bringer")</f>
        <v>Bringer</v>
      </c>
      <c r="B257" s="197" t="str">
        <f>IFERROR(__xludf.DUMMYFUNCTION("""COMPUTED_VALUE"""),"Canopystomper")</f>
        <v>Canopystomper</v>
      </c>
      <c r="C257" s="197">
        <f t="shared" si="1"/>
        <v>1</v>
      </c>
      <c r="D257" s="20" t="s">
        <v>2383</v>
      </c>
      <c r="E257" s="20">
        <v>1.0</v>
      </c>
    </row>
    <row r="258">
      <c r="A258" s="196" t="str">
        <f>IFERROR(__xludf.DUMMYFUNCTION("""COMPUTED_VALUE"""),"of")</f>
        <v>of</v>
      </c>
      <c r="B258" s="197" t="str">
        <f>IFERROR(__xludf.DUMMYFUNCTION("""COMPUTED_VALUE"""),"Resourceful")</f>
        <v>Resourceful</v>
      </c>
      <c r="C258" s="197">
        <f t="shared" si="1"/>
        <v>1</v>
      </c>
      <c r="D258" s="20" t="s">
        <v>2384</v>
      </c>
      <c r="E258" s="20">
        <v>1.0</v>
      </c>
    </row>
    <row r="259">
      <c r="A259" s="196" t="str">
        <f>IFERROR(__xludf.DUMMYFUNCTION("""COMPUTED_VALUE"""),"Good")</f>
        <v>Good</v>
      </c>
      <c r="B259" s="197" t="str">
        <f>IFERROR(__xludf.DUMMYFUNCTION("""COMPUTED_VALUE"""),"Poacher")</f>
        <v>Poacher</v>
      </c>
      <c r="C259" s="197">
        <f t="shared" si="1"/>
        <v>1</v>
      </c>
      <c r="D259" s="20" t="s">
        <v>2385</v>
      </c>
      <c r="E259" s="20">
        <v>1.0</v>
      </c>
    </row>
    <row r="260">
      <c r="A260" s="196" t="str">
        <f>IFERROR(__xludf.DUMMYFUNCTION("""COMPUTED_VALUE"""),"News")</f>
        <v>News</v>
      </c>
      <c r="B260" s="197" t="str">
        <f>IFERROR(__xludf.DUMMYFUNCTION("""COMPUTED_VALUE"""),"Infernoblight")</f>
        <v>Infernoblight</v>
      </c>
      <c r="C260" s="197">
        <f t="shared" si="1"/>
        <v>1</v>
      </c>
      <c r="D260" s="20" t="s">
        <v>355</v>
      </c>
      <c r="E260" s="20">
        <v>1.0</v>
      </c>
    </row>
    <row r="261">
      <c r="A261" s="196"/>
      <c r="B261" s="197" t="str">
        <f>IFERROR(__xludf.DUMMYFUNCTION("""COMPUTED_VALUE"""),"Skyshrieker")</f>
        <v>Skyshrieker</v>
      </c>
      <c r="C261" s="197">
        <f t="shared" si="1"/>
        <v>1</v>
      </c>
      <c r="D261" s="20" t="s">
        <v>2386</v>
      </c>
      <c r="E261" s="20">
        <v>1.0</v>
      </c>
    </row>
    <row r="262">
      <c r="A262" s="196" t="str">
        <f>IFERROR(__xludf.DUMMYFUNCTION("""COMPUTED_VALUE"""),"Thunderswarm")</f>
        <v>Thunderswarm</v>
      </c>
      <c r="B262" s="197" t="str">
        <f>IFERROR(__xludf.DUMMYFUNCTION("""COMPUTED_VALUE"""),"Mistborn")</f>
        <v>Mistborn</v>
      </c>
      <c r="C262" s="197">
        <f t="shared" si="1"/>
        <v>1</v>
      </c>
      <c r="D262" s="20" t="s">
        <v>2387</v>
      </c>
      <c r="E262" s="20">
        <v>1.0</v>
      </c>
    </row>
    <row r="263">
      <c r="A263" s="196" t="str">
        <f>IFERROR(__xludf.DUMMYFUNCTION("""COMPUTED_VALUE"""),"Lightning")</f>
        <v>Lightning</v>
      </c>
      <c r="B263" s="197" t="str">
        <f>IFERROR(__xludf.DUMMYFUNCTION("""COMPUTED_VALUE"""),"Serpent")</f>
        <v>Serpent</v>
      </c>
      <c r="C263" s="197">
        <f t="shared" si="1"/>
        <v>1</v>
      </c>
      <c r="D263" s="20" t="s">
        <v>2388</v>
      </c>
      <c r="E263" s="20">
        <v>1.0</v>
      </c>
    </row>
    <row r="264">
      <c r="A264" s="196" t="str">
        <f>IFERROR(__xludf.DUMMYFUNCTION("""COMPUTED_VALUE"""),"Rider")</f>
        <v>Rider</v>
      </c>
      <c r="B264" s="197" t="str">
        <f>IFERROR(__xludf.DUMMYFUNCTION("""COMPUTED_VALUE"""),"Bad")</f>
        <v>Bad</v>
      </c>
      <c r="C264" s="197">
        <f t="shared" si="1"/>
        <v>1</v>
      </c>
      <c r="D264" s="20" t="s">
        <v>2389</v>
      </c>
      <c r="E264" s="20">
        <v>1.0</v>
      </c>
    </row>
    <row r="265">
      <c r="A265" s="196"/>
      <c r="B265" s="197" t="str">
        <f>IFERROR(__xludf.DUMMYFUNCTION("""COMPUTED_VALUE"""),"Omens")</f>
        <v>Omens</v>
      </c>
      <c r="C265" s="197">
        <f t="shared" si="1"/>
        <v>1</v>
      </c>
      <c r="D265" s="20" t="s">
        <v>2390</v>
      </c>
      <c r="E265" s="20">
        <v>1.0</v>
      </c>
    </row>
    <row r="266">
      <c r="A266" s="196"/>
      <c r="B266" s="197" t="str">
        <f>IFERROR(__xludf.DUMMYFUNCTION("""COMPUTED_VALUE"""),"Gaunt")</f>
        <v>Gaunt</v>
      </c>
      <c r="C266" s="197">
        <f t="shared" si="1"/>
        <v>1</v>
      </c>
      <c r="D266" s="20" t="s">
        <v>2391</v>
      </c>
      <c r="E266" s="20">
        <v>1.0</v>
      </c>
    </row>
    <row r="267">
      <c r="A267" s="196" t="str">
        <f>IFERROR(__xludf.DUMMYFUNCTION("""COMPUTED_VALUE"""),"Desertwind")</f>
        <v>Desertwind</v>
      </c>
      <c r="B267" s="197" t="str">
        <f>IFERROR(__xludf.DUMMYFUNCTION("""COMPUTED_VALUE"""),"Visitation")</f>
        <v>Visitation</v>
      </c>
      <c r="C267" s="197">
        <f t="shared" si="1"/>
        <v>1</v>
      </c>
      <c r="D267" s="20" t="s">
        <v>2392</v>
      </c>
      <c r="E267" s="20">
        <v>1.0</v>
      </c>
    </row>
    <row r="268">
      <c r="A268" s="196" t="str">
        <f>IFERROR(__xludf.DUMMYFUNCTION("""COMPUTED_VALUE"""),"Relic")</f>
        <v>Relic</v>
      </c>
      <c r="B268" s="197" t="str">
        <f>IFERROR(__xludf.DUMMYFUNCTION("""COMPUTED_VALUE"""),"Manticore")</f>
        <v>Manticore</v>
      </c>
      <c r="C268" s="197">
        <f t="shared" si="1"/>
        <v>1</v>
      </c>
      <c r="D268" s="20" t="s">
        <v>2393</v>
      </c>
      <c r="E268" s="20">
        <v>1.0</v>
      </c>
    </row>
    <row r="269">
      <c r="A269" s="196" t="str">
        <f>IFERROR(__xludf.DUMMYFUNCTION("""COMPUTED_VALUE"""),"Hunter")</f>
        <v>Hunter</v>
      </c>
      <c r="B269" s="197" t="str">
        <f>IFERROR(__xludf.DUMMYFUNCTION("""COMPUTED_VALUE"""),"Featherfrost")</f>
        <v>Featherfrost</v>
      </c>
      <c r="C269" s="197">
        <f t="shared" si="1"/>
        <v>1</v>
      </c>
      <c r="D269" s="20" t="s">
        <v>2394</v>
      </c>
      <c r="E269" s="20">
        <v>1.0</v>
      </c>
    </row>
    <row r="270">
      <c r="A270" s="196"/>
      <c r="B270" s="197" t="str">
        <f>IFERROR(__xludf.DUMMYFUNCTION("""COMPUTED_VALUE"""),"Harpy")</f>
        <v>Harpy</v>
      </c>
      <c r="C270" s="197">
        <f t="shared" si="1"/>
        <v>1</v>
      </c>
      <c r="D270" s="20" t="s">
        <v>2395</v>
      </c>
      <c r="E270" s="20">
        <v>1.0</v>
      </c>
    </row>
    <row r="271">
      <c r="A271" s="196"/>
      <c r="B271" s="197" t="str">
        <f>IFERROR(__xludf.DUMMYFUNCTION("""COMPUTED_VALUE"""),"Raging")</f>
        <v>Raging</v>
      </c>
      <c r="C271" s="197">
        <f t="shared" si="1"/>
        <v>1</v>
      </c>
      <c r="D271" s="20" t="s">
        <v>720</v>
      </c>
      <c r="E271" s="20">
        <v>1.0</v>
      </c>
    </row>
    <row r="272">
      <c r="A272" s="196" t="str">
        <f>IFERROR(__xludf.DUMMYFUNCTION("""COMPUTED_VALUE"""),"Exemplar")</f>
        <v>Exemplar</v>
      </c>
      <c r="B272" s="197" t="str">
        <f>IFERROR(__xludf.DUMMYFUNCTION("""COMPUTED_VALUE"""),"Minotaur")</f>
        <v>Minotaur</v>
      </c>
      <c r="C272" s="197">
        <f t="shared" si="1"/>
        <v>1</v>
      </c>
      <c r="D272" s="20" t="s">
        <v>722</v>
      </c>
      <c r="E272" s="20">
        <v>1.0</v>
      </c>
    </row>
    <row r="273">
      <c r="A273" s="196" t="str">
        <f>IFERROR(__xludf.DUMMYFUNCTION("""COMPUTED_VALUE"""),"of")</f>
        <v>of</v>
      </c>
      <c r="B273" s="197" t="str">
        <f>IFERROR(__xludf.DUMMYFUNCTION("""COMPUTED_VALUE"""),"Raijin")</f>
        <v>Raijin</v>
      </c>
      <c r="C273" s="197">
        <f t="shared" si="1"/>
        <v>1</v>
      </c>
      <c r="D273" s="20" t="s">
        <v>736</v>
      </c>
      <c r="E273" s="20">
        <v>1.0</v>
      </c>
    </row>
    <row r="274">
      <c r="A274" s="196" t="str">
        <f>IFERROR(__xludf.DUMMYFUNCTION("""COMPUTED_VALUE"""),"Lunar")</f>
        <v>Lunar</v>
      </c>
      <c r="B274" s="197" t="str">
        <f>IFERROR(__xludf.DUMMYFUNCTION("""COMPUTED_VALUE"""),"Venomshade")</f>
        <v>Venomshade</v>
      </c>
      <c r="C274" s="197">
        <f t="shared" si="1"/>
        <v>1</v>
      </c>
      <c r="D274" s="20" t="s">
        <v>739</v>
      </c>
      <c r="E274" s="20">
        <v>1.0</v>
      </c>
    </row>
    <row r="275">
      <c r="A275" s="196" t="str">
        <f>IFERROR(__xludf.DUMMYFUNCTION("""COMPUTED_VALUE"""),"Gleam")</f>
        <v>Gleam</v>
      </c>
      <c r="B275" s="197" t="str">
        <f>IFERROR(__xludf.DUMMYFUNCTION("""COMPUTED_VALUE"""),"Lamia")</f>
        <v>Lamia</v>
      </c>
      <c r="C275" s="197">
        <f t="shared" si="1"/>
        <v>1</v>
      </c>
      <c r="D275" s="20" t="s">
        <v>2396</v>
      </c>
      <c r="E275" s="20">
        <v>1.0</v>
      </c>
    </row>
    <row r="276">
      <c r="A276" s="196"/>
      <c r="B276" s="197" t="str">
        <f>IFERROR(__xludf.DUMMYFUNCTION("""COMPUTED_VALUE"""),"Volcano")</f>
        <v>Volcano</v>
      </c>
      <c r="C276" s="197">
        <f t="shared" si="1"/>
        <v>1</v>
      </c>
      <c r="D276" s="20" t="s">
        <v>2397</v>
      </c>
      <c r="E276" s="20">
        <v>1.0</v>
      </c>
    </row>
    <row r="277">
      <c r="A277" s="196" t="str">
        <f>IFERROR(__xludf.DUMMYFUNCTION("""COMPUTED_VALUE"""),"Grenade")</f>
        <v>Grenade</v>
      </c>
      <c r="B277" s="197" t="str">
        <f>IFERROR(__xludf.DUMMYFUNCTION("""COMPUTED_VALUE"""),"Embodiment")</f>
        <v>Embodiment</v>
      </c>
      <c r="C277" s="197">
        <f t="shared" si="1"/>
        <v>1</v>
      </c>
      <c r="D277" s="20" t="s">
        <v>2398</v>
      </c>
      <c r="E277" s="20">
        <v>1.0</v>
      </c>
    </row>
    <row r="278">
      <c r="A278" s="196" t="str">
        <f>IFERROR(__xludf.DUMMYFUNCTION("""COMPUTED_VALUE"""),"Apple")</f>
        <v>Apple</v>
      </c>
      <c r="B278" s="197" t="str">
        <f>IFERROR(__xludf.DUMMYFUNCTION("""COMPUTED_VALUE"""),"Leviathan")</f>
        <v>Leviathan</v>
      </c>
      <c r="C278" s="197">
        <f t="shared" si="1"/>
        <v>1</v>
      </c>
      <c r="D278" s="20" t="s">
        <v>2399</v>
      </c>
      <c r="E278" s="20">
        <v>1.0</v>
      </c>
    </row>
    <row r="279">
      <c r="A279" s="196" t="str">
        <f>IFERROR(__xludf.DUMMYFUNCTION("""COMPUTED_VALUE"""),"Dragon")</f>
        <v>Dragon</v>
      </c>
      <c r="B279" s="197" t="str">
        <f>IFERROR(__xludf.DUMMYFUNCTION("""COMPUTED_VALUE"""),"Tectonic")</f>
        <v>Tectonic</v>
      </c>
      <c r="C279" s="197">
        <f t="shared" si="1"/>
        <v>1</v>
      </c>
      <c r="D279" s="20" t="s">
        <v>2400</v>
      </c>
      <c r="E279" s="20">
        <v>1.0</v>
      </c>
    </row>
    <row r="280">
      <c r="A280" s="196" t="str">
        <f>IFERROR(__xludf.DUMMYFUNCTION("""COMPUTED_VALUE"""),"#3")</f>
        <v>#3</v>
      </c>
      <c r="B280" s="197" t="str">
        <f>IFERROR(__xludf.DUMMYFUNCTION("""COMPUTED_VALUE"""),"Shifter")</f>
        <v>Shifter</v>
      </c>
      <c r="C280" s="197">
        <f t="shared" si="1"/>
        <v>1</v>
      </c>
      <c r="D280" s="20" t="s">
        <v>763</v>
      </c>
      <c r="E280" s="20">
        <v>1.0</v>
      </c>
    </row>
    <row r="281">
      <c r="A281" s="196"/>
      <c r="B281" s="197" t="str">
        <f>IFERROR(__xludf.DUMMYFUNCTION("""COMPUTED_VALUE"""),"Bastion")</f>
        <v>Bastion</v>
      </c>
      <c r="C281" s="197">
        <f t="shared" si="1"/>
        <v>1</v>
      </c>
      <c r="D281" s="20" t="s">
        <v>2401</v>
      </c>
      <c r="E281" s="20">
        <v>1.0</v>
      </c>
    </row>
    <row r="282">
      <c r="A282" s="196" t="str">
        <f>IFERROR(__xludf.DUMMYFUNCTION("""COMPUTED_VALUE"""),"The")</f>
        <v>The</v>
      </c>
      <c r="B282" s="197" t="str">
        <f>IFERROR(__xludf.DUMMYFUNCTION("""COMPUTED_VALUE"""),"Architect")</f>
        <v>Architect</v>
      </c>
      <c r="C282" s="197">
        <f t="shared" si="1"/>
        <v>1</v>
      </c>
      <c r="D282" s="20" t="s">
        <v>2402</v>
      </c>
      <c r="E282" s="20">
        <v>1.0</v>
      </c>
    </row>
    <row r="283">
      <c r="A283" s="196" t="str">
        <f>IFERROR(__xludf.DUMMYFUNCTION("""COMPUTED_VALUE"""),"Embalmer")</f>
        <v>Embalmer</v>
      </c>
      <c r="B283" s="197" t="str">
        <f>IFERROR(__xludf.DUMMYFUNCTION("""COMPUTED_VALUE"""),"Drägen")</f>
        <v>Drägen</v>
      </c>
      <c r="C283" s="197">
        <f t="shared" si="1"/>
        <v>1</v>
      </c>
      <c r="D283" s="20" t="s">
        <v>2403</v>
      </c>
      <c r="E283" s="20">
        <v>1.0</v>
      </c>
    </row>
    <row r="284">
      <c r="A284" s="196"/>
      <c r="B284" s="197" t="str">
        <f>IFERROR(__xludf.DUMMYFUNCTION("""COMPUTED_VALUE"""),"Mega")</f>
        <v>Mega</v>
      </c>
      <c r="C284" s="197">
        <f t="shared" si="1"/>
        <v>1</v>
      </c>
      <c r="D284" s="20" t="s">
        <v>2404</v>
      </c>
      <c r="E284" s="20">
        <v>1.0</v>
      </c>
    </row>
    <row r="285">
      <c r="A285" s="196"/>
      <c r="B285" s="197" t="str">
        <f>IFERROR(__xludf.DUMMYFUNCTION("""COMPUTED_VALUE"""),"Ultra")</f>
        <v>Ultra</v>
      </c>
      <c r="C285" s="197">
        <f t="shared" si="1"/>
        <v>1</v>
      </c>
      <c r="D285" s="20" t="s">
        <v>2405</v>
      </c>
      <c r="E285" s="20">
        <v>1.0</v>
      </c>
    </row>
    <row r="286">
      <c r="A286" s="196"/>
      <c r="B286" s="197" t="str">
        <f>IFERROR(__xludf.DUMMYFUNCTION("""COMPUTED_VALUE"""),"Chicken")</f>
        <v>Chicken</v>
      </c>
      <c r="C286" s="197">
        <f t="shared" si="1"/>
        <v>2</v>
      </c>
      <c r="D286" s="20" t="s">
        <v>2406</v>
      </c>
      <c r="E286" s="20">
        <v>1.0</v>
      </c>
    </row>
    <row r="287">
      <c r="A287" s="196" t="str">
        <f>IFERROR(__xludf.DUMMYFUNCTION("""COMPUTED_VALUE"""),"Ushabti")</f>
        <v>Ushabti</v>
      </c>
      <c r="B287" s="197" t="str">
        <f>IFERROR(__xludf.DUMMYFUNCTION("""COMPUTED_VALUE"""),"Blue")</f>
        <v>Blue</v>
      </c>
      <c r="C287" s="197">
        <f t="shared" si="1"/>
        <v>2</v>
      </c>
      <c r="D287" s="20" t="s">
        <v>2407</v>
      </c>
      <c r="E287" s="20">
        <v>1.0</v>
      </c>
    </row>
    <row r="288">
      <c r="A288" s="196" t="str">
        <f>IFERROR(__xludf.DUMMYFUNCTION("""COMPUTED_VALUE"""),"Carver")</f>
        <v>Carver</v>
      </c>
      <c r="B288" s="197" t="str">
        <f>IFERROR(__xludf.DUMMYFUNCTION("""COMPUTED_VALUE"""),"Venom-Dew")</f>
        <v>Venom-Dew</v>
      </c>
      <c r="C288" s="197">
        <f t="shared" si="1"/>
        <v>1</v>
      </c>
      <c r="D288" s="20" t="s">
        <v>2408</v>
      </c>
      <c r="E288" s="20">
        <v>1.0</v>
      </c>
    </row>
    <row r="289">
      <c r="A289" s="196"/>
      <c r="B289" s="197" t="str">
        <f>IFERROR(__xludf.DUMMYFUNCTION("""COMPUTED_VALUE"""),"Golemsaurus")</f>
        <v>Golemsaurus</v>
      </c>
      <c r="C289" s="197">
        <f t="shared" si="1"/>
        <v>1</v>
      </c>
      <c r="D289" s="20" t="s">
        <v>2409</v>
      </c>
      <c r="E289" s="20">
        <v>1.0</v>
      </c>
    </row>
    <row r="290">
      <c r="A290" s="196"/>
      <c r="B290" s="197" t="str">
        <f>IFERROR(__xludf.DUMMYFUNCTION("""COMPUTED_VALUE"""),"Slumbering")</f>
        <v>Slumbering</v>
      </c>
      <c r="C290" s="197">
        <f t="shared" si="1"/>
        <v>2</v>
      </c>
      <c r="D290" s="20" t="s">
        <v>2410</v>
      </c>
      <c r="E290" s="20">
        <v>1.0</v>
      </c>
    </row>
    <row r="291">
      <c r="A291" s="196"/>
      <c r="B291" s="197" t="str">
        <f>IFERROR(__xludf.DUMMYFUNCTION("""COMPUTED_VALUE"""),"Cavedrake")</f>
        <v>Cavedrake</v>
      </c>
      <c r="C291" s="197">
        <f t="shared" si="1"/>
        <v>1</v>
      </c>
      <c r="D291" s="20" t="s">
        <v>829</v>
      </c>
      <c r="E291" s="20">
        <v>1.0</v>
      </c>
    </row>
    <row r="292">
      <c r="A292" s="196" t="str">
        <f>IFERROR(__xludf.DUMMYFUNCTION("""COMPUTED_VALUE"""),"Shattercrown")</f>
        <v>Shattercrown</v>
      </c>
      <c r="B292" s="197" t="str">
        <f>IFERROR(__xludf.DUMMYFUNCTION("""COMPUTED_VALUE"""),"Eagle")</f>
        <v>Eagle</v>
      </c>
      <c r="C292" s="197">
        <f t="shared" si="1"/>
        <v>1</v>
      </c>
      <c r="D292" s="20" t="s">
        <v>842</v>
      </c>
      <c r="E292" s="20">
        <v>1.0</v>
      </c>
    </row>
    <row r="293">
      <c r="A293" s="196" t="str">
        <f>IFERROR(__xludf.DUMMYFUNCTION("""COMPUTED_VALUE"""),"Luminary")</f>
        <v>Luminary</v>
      </c>
      <c r="B293" s="197" t="str">
        <f>IFERROR(__xludf.DUMMYFUNCTION("""COMPUTED_VALUE"""),"Legion")</f>
        <v>Legion</v>
      </c>
      <c r="C293" s="197">
        <f t="shared" si="1"/>
        <v>2</v>
      </c>
      <c r="D293" s="20" t="s">
        <v>2411</v>
      </c>
      <c r="E293" s="20">
        <v>1.0</v>
      </c>
    </row>
    <row r="294">
      <c r="A294" s="196"/>
      <c r="B294" s="197" t="str">
        <f>IFERROR(__xludf.DUMMYFUNCTION("""COMPUTED_VALUE"""),"Starfall")</f>
        <v>Starfall</v>
      </c>
      <c r="C294" s="197">
        <f t="shared" si="1"/>
        <v>1</v>
      </c>
      <c r="D294" s="20" t="s">
        <v>2412</v>
      </c>
      <c r="E294" s="20">
        <v>1.0</v>
      </c>
    </row>
    <row r="295">
      <c r="A295" s="196"/>
      <c r="B295" s="197" t="str">
        <f>IFERROR(__xludf.DUMMYFUNCTION("""COMPUTED_VALUE"""),"Shaman")</f>
        <v>Shaman</v>
      </c>
      <c r="C295" s="197">
        <f t="shared" si="1"/>
        <v>2</v>
      </c>
      <c r="D295" s="20" t="s">
        <v>2413</v>
      </c>
      <c r="E295" s="20">
        <v>1.0</v>
      </c>
    </row>
    <row r="296">
      <c r="A296" s="196"/>
      <c r="B296" s="197" t="str">
        <f>IFERROR(__xludf.DUMMYFUNCTION("""COMPUTED_VALUE"""),"Merchant")</f>
        <v>Merchant</v>
      </c>
      <c r="C296" s="197">
        <f t="shared" si="1"/>
        <v>1</v>
      </c>
      <c r="D296" s="20" t="s">
        <v>871</v>
      </c>
      <c r="E296" s="20">
        <v>1.0</v>
      </c>
    </row>
    <row r="297">
      <c r="A297" s="196" t="str">
        <f>IFERROR(__xludf.DUMMYFUNCTION("""COMPUTED_VALUE"""),"Shepard")</f>
        <v>Shepard</v>
      </c>
      <c r="B297" s="197" t="str">
        <f>IFERROR(__xludf.DUMMYFUNCTION("""COMPUTED_VALUE"""),"Gladehost")</f>
        <v>Gladehost</v>
      </c>
      <c r="C297" s="197">
        <f t="shared" si="1"/>
        <v>2</v>
      </c>
      <c r="D297" s="20" t="s">
        <v>2414</v>
      </c>
      <c r="E297" s="20">
        <v>1.0</v>
      </c>
    </row>
    <row r="298">
      <c r="A298" s="196" t="str">
        <f>IFERROR(__xludf.DUMMYFUNCTION("""COMPUTED_VALUE"""),"of")</f>
        <v>of</v>
      </c>
      <c r="B298" s="197" t="str">
        <f>IFERROR(__xludf.DUMMYFUNCTION("""COMPUTED_VALUE"""),"Shotmaster")</f>
        <v>Shotmaster</v>
      </c>
      <c r="C298" s="197">
        <f t="shared" si="1"/>
        <v>1</v>
      </c>
      <c r="D298" s="20" t="s">
        <v>2415</v>
      </c>
      <c r="E298" s="20">
        <v>1.0</v>
      </c>
    </row>
    <row r="299">
      <c r="A299" s="196" t="str">
        <f>IFERROR(__xludf.DUMMYFUNCTION("""COMPUTED_VALUE"""),"the")</f>
        <v>the</v>
      </c>
      <c r="B299" s="197" t="str">
        <f>IFERROR(__xludf.DUMMYFUNCTION("""COMPUTED_VALUE"""),"Flamebearer")</f>
        <v>Flamebearer</v>
      </c>
      <c r="C299" s="197">
        <f t="shared" si="1"/>
        <v>1</v>
      </c>
      <c r="D299" s="20" t="s">
        <v>2416</v>
      </c>
      <c r="E299" s="20">
        <v>1.0</v>
      </c>
    </row>
    <row r="300">
      <c r="A300" s="196" t="str">
        <f>IFERROR(__xludf.DUMMYFUNCTION("""COMPUTED_VALUE"""),"Morning")</f>
        <v>Morning</v>
      </c>
      <c r="B300" s="197" t="str">
        <f>IFERROR(__xludf.DUMMYFUNCTION("""COMPUTED_VALUE"""),"Tidecrasher")</f>
        <v>Tidecrasher</v>
      </c>
      <c r="C300" s="197">
        <f t="shared" si="1"/>
        <v>1</v>
      </c>
      <c r="D300" s="20" t="s">
        <v>2417</v>
      </c>
      <c r="E300" s="20">
        <v>1.0</v>
      </c>
    </row>
    <row r="301">
      <c r="A301" s="196" t="str">
        <f>IFERROR(__xludf.DUMMYFUNCTION("""COMPUTED_VALUE"""),"Dew")</f>
        <v>Dew</v>
      </c>
      <c r="B301" s="197" t="str">
        <f>IFERROR(__xludf.DUMMYFUNCTION("""COMPUTED_VALUE"""),"Imperial")</f>
        <v>Imperial</v>
      </c>
      <c r="C301" s="197">
        <f t="shared" si="1"/>
        <v>1</v>
      </c>
      <c r="D301" s="20" t="s">
        <v>893</v>
      </c>
      <c r="E301" s="20">
        <v>1.0</v>
      </c>
    </row>
    <row r="302">
      <c r="A302" s="196" t="str">
        <f>IFERROR(__xludf.DUMMYFUNCTION("""COMPUTED_VALUE"""),"Arboreal")</f>
        <v>Arboreal</v>
      </c>
      <c r="B302" s="197" t="str">
        <f>IFERROR(__xludf.DUMMYFUNCTION("""COMPUTED_VALUE"""),"Tyrant")</f>
        <v>Tyrant</v>
      </c>
      <c r="C302" s="197">
        <f t="shared" si="1"/>
        <v>1</v>
      </c>
      <c r="D302" s="20" t="s">
        <v>2418</v>
      </c>
      <c r="E302" s="20">
        <v>1.0</v>
      </c>
    </row>
    <row r="303">
      <c r="A303" s="196" t="str">
        <f>IFERROR(__xludf.DUMMYFUNCTION("""COMPUTED_VALUE"""),"Messenger")</f>
        <v>Messenger</v>
      </c>
      <c r="B303" s="197" t="str">
        <f>IFERROR(__xludf.DUMMYFUNCTION("""COMPUTED_VALUE"""),"Eons-old")</f>
        <v>Eons-old</v>
      </c>
      <c r="C303" s="197">
        <f t="shared" si="1"/>
        <v>1</v>
      </c>
      <c r="D303" s="20" t="s">
        <v>2419</v>
      </c>
      <c r="E303" s="20">
        <v>1.0</v>
      </c>
    </row>
    <row r="304">
      <c r="A304" s="196"/>
      <c r="B304" s="197" t="str">
        <f>IFERROR(__xludf.DUMMYFUNCTION("""COMPUTED_VALUE"""),"Crystalfang")</f>
        <v>Crystalfang</v>
      </c>
      <c r="C304" s="197">
        <f t="shared" si="1"/>
        <v>1</v>
      </c>
      <c r="D304" s="20" t="s">
        <v>2420</v>
      </c>
      <c r="E304" s="20">
        <v>1.0</v>
      </c>
    </row>
    <row r="305">
      <c r="A305" s="196"/>
      <c r="B305" s="197" t="str">
        <f>IFERROR(__xludf.DUMMYFUNCTION("""COMPUTED_VALUE"""),"Makeshift")</f>
        <v>Makeshift</v>
      </c>
      <c r="C305" s="197">
        <f t="shared" si="1"/>
        <v>1</v>
      </c>
      <c r="D305" s="20" t="s">
        <v>2421</v>
      </c>
      <c r="E305" s="20">
        <v>1.0</v>
      </c>
    </row>
    <row r="306">
      <c r="A306" s="196"/>
      <c r="B306" s="197" t="str">
        <f>IFERROR(__xludf.DUMMYFUNCTION("""COMPUTED_VALUE"""),"Militia")</f>
        <v>Militia</v>
      </c>
      <c r="C306" s="197">
        <f t="shared" si="1"/>
        <v>1</v>
      </c>
      <c r="D306" s="20" t="s">
        <v>2422</v>
      </c>
      <c r="E306" s="20">
        <v>1.0</v>
      </c>
    </row>
    <row r="307">
      <c r="A307" s="196" t="str">
        <f>IFERROR(__xludf.DUMMYFUNCTION("""COMPUTED_VALUE"""),"Auric")</f>
        <v>Auric</v>
      </c>
      <c r="B307" s="197" t="str">
        <f>IFERROR(__xludf.DUMMYFUNCTION("""COMPUTED_VALUE"""),"Strategist")</f>
        <v>Strategist</v>
      </c>
      <c r="C307" s="197">
        <f t="shared" si="1"/>
        <v>1</v>
      </c>
      <c r="D307" s="20" t="s">
        <v>2423</v>
      </c>
      <c r="E307" s="20">
        <v>1.0</v>
      </c>
    </row>
    <row r="308">
      <c r="A308" s="196" t="str">
        <f>IFERROR(__xludf.DUMMYFUNCTION("""COMPUTED_VALUE"""),"Ant")</f>
        <v>Ant</v>
      </c>
      <c r="B308" s="197" t="str">
        <f>IFERROR(__xludf.DUMMYFUNCTION("""COMPUTED_VALUE"""),"Wraithknight")</f>
        <v>Wraithknight</v>
      </c>
      <c r="C308" s="197">
        <f t="shared" si="1"/>
        <v>1</v>
      </c>
      <c r="D308" s="20" t="s">
        <v>2424</v>
      </c>
      <c r="E308" s="20">
        <v>1.0</v>
      </c>
    </row>
    <row r="309">
      <c r="A309" s="196" t="str">
        <f>IFERROR(__xludf.DUMMYFUNCTION("""COMPUTED_VALUE"""),"Regent")</f>
        <v>Regent</v>
      </c>
      <c r="B309" s="197" t="str">
        <f>IFERROR(__xludf.DUMMYFUNCTION("""COMPUTED_VALUE"""),"Mountblade")</f>
        <v>Mountblade</v>
      </c>
      <c r="C309" s="197">
        <f t="shared" si="1"/>
        <v>1</v>
      </c>
      <c r="D309" s="20" t="s">
        <v>2425</v>
      </c>
      <c r="E309" s="20">
        <v>1.0</v>
      </c>
    </row>
    <row r="310">
      <c r="A310" s="196"/>
      <c r="B310" s="197" t="str">
        <f>IFERROR(__xludf.DUMMYFUNCTION("""COMPUTED_VALUE"""),"Squire")</f>
        <v>Squire</v>
      </c>
      <c r="C310" s="197">
        <f t="shared" si="1"/>
        <v>1</v>
      </c>
      <c r="D310" s="20" t="s">
        <v>2426</v>
      </c>
      <c r="E310" s="20">
        <v>1.0</v>
      </c>
    </row>
    <row r="311">
      <c r="A311" s="196"/>
      <c r="B311" s="197" t="str">
        <f>IFERROR(__xludf.DUMMYFUNCTION("""COMPUTED_VALUE"""),"Pyroclastic")</f>
        <v>Pyroclastic</v>
      </c>
      <c r="C311" s="197">
        <f t="shared" si="1"/>
        <v>1</v>
      </c>
      <c r="D311" s="20" t="s">
        <v>2427</v>
      </c>
      <c r="E311" s="20">
        <v>1.0</v>
      </c>
    </row>
    <row r="312">
      <c r="A312" s="196" t="str">
        <f>IFERROR(__xludf.DUMMYFUNCTION("""COMPUTED_VALUE"""),"Blessing")</f>
        <v>Blessing</v>
      </c>
      <c r="B312" s="197" t="str">
        <f>IFERROR(__xludf.DUMMYFUNCTION("""COMPUTED_VALUE"""),"Zombie")</f>
        <v>Zombie</v>
      </c>
      <c r="C312" s="197">
        <f t="shared" si="1"/>
        <v>1</v>
      </c>
      <c r="D312" s="20" t="s">
        <v>2428</v>
      </c>
      <c r="E312" s="20">
        <v>1.0</v>
      </c>
    </row>
    <row r="313">
      <c r="A313" s="196" t="str">
        <f>IFERROR(__xludf.DUMMYFUNCTION("""COMPUTED_VALUE"""),"Bestower")</f>
        <v>Bestower</v>
      </c>
      <c r="B313" s="197" t="str">
        <f>IFERROR(__xludf.DUMMYFUNCTION("""COMPUTED_VALUE"""),"Old")</f>
        <v>Old</v>
      </c>
      <c r="C313" s="197">
        <f t="shared" si="1"/>
        <v>2</v>
      </c>
      <c r="D313" s="20" t="s">
        <v>2429</v>
      </c>
      <c r="E313" s="20">
        <v>1.0</v>
      </c>
    </row>
    <row r="314">
      <c r="A314" s="196"/>
      <c r="B314" s="197" t="str">
        <f>IFERROR(__xludf.DUMMYFUNCTION("""COMPUTED_VALUE"""),"Fisherman")</f>
        <v>Fisherman</v>
      </c>
      <c r="C314" s="197">
        <f t="shared" si="1"/>
        <v>1</v>
      </c>
      <c r="D314" s="20" t="s">
        <v>930</v>
      </c>
      <c r="E314" s="20">
        <v>1.0</v>
      </c>
    </row>
    <row r="315">
      <c r="A315" s="196"/>
      <c r="B315" s="197" t="str">
        <f>IFERROR(__xludf.DUMMYFUNCTION("""COMPUTED_VALUE"""),"Wasteland")</f>
        <v>Wasteland</v>
      </c>
      <c r="C315" s="197">
        <f t="shared" si="1"/>
        <v>1</v>
      </c>
      <c r="D315" s="20" t="s">
        <v>2430</v>
      </c>
      <c r="E315" s="20">
        <v>1.0</v>
      </c>
    </row>
    <row r="316">
      <c r="A316" s="196"/>
      <c r="B316" s="197" t="str">
        <f>IFERROR(__xludf.DUMMYFUNCTION("""COMPUTED_VALUE"""),"Overlord")</f>
        <v>Overlord</v>
      </c>
      <c r="C316" s="197">
        <f t="shared" si="1"/>
        <v>2</v>
      </c>
      <c r="D316" s="20" t="s">
        <v>2431</v>
      </c>
      <c r="E316" s="20">
        <v>1.0</v>
      </c>
    </row>
    <row r="317">
      <c r="A317" s="196" t="str">
        <f>IFERROR(__xludf.DUMMYFUNCTION("""COMPUTED_VALUE"""),"Obelisk")</f>
        <v>Obelisk</v>
      </c>
      <c r="B317" s="197" t="str">
        <f>IFERROR(__xludf.DUMMYFUNCTION("""COMPUTED_VALUE"""),"Pinwheel")</f>
        <v>Pinwheel</v>
      </c>
      <c r="C317" s="197">
        <f t="shared" si="1"/>
        <v>1</v>
      </c>
      <c r="D317" s="20" t="s">
        <v>2432</v>
      </c>
      <c r="E317" s="20">
        <v>1.0</v>
      </c>
    </row>
    <row r="318">
      <c r="A318" s="196" t="str">
        <f>IFERROR(__xludf.DUMMYFUNCTION("""COMPUTED_VALUE"""),"Waypost")</f>
        <v>Waypost</v>
      </c>
      <c r="B318" s="197" t="str">
        <f>IFERROR(__xludf.DUMMYFUNCTION("""COMPUTED_VALUE"""),"Illusionist")</f>
        <v>Illusionist</v>
      </c>
      <c r="C318" s="197">
        <f t="shared" si="1"/>
        <v>1</v>
      </c>
      <c r="D318" s="20" t="s">
        <v>2433</v>
      </c>
      <c r="E318" s="20">
        <v>1.0</v>
      </c>
    </row>
    <row r="319">
      <c r="A319" s="196"/>
      <c r="B319" s="197" t="str">
        <f>IFERROR(__xludf.DUMMYFUNCTION("""COMPUTED_VALUE"""),"Marauder")</f>
        <v>Marauder</v>
      </c>
      <c r="C319" s="197">
        <f t="shared" si="1"/>
        <v>1</v>
      </c>
      <c r="D319" s="20" t="s">
        <v>2434</v>
      </c>
      <c r="E319" s="20">
        <v>1.0</v>
      </c>
    </row>
    <row r="320">
      <c r="A320" s="196"/>
      <c r="B320" s="197" t="str">
        <f>IFERROR(__xludf.DUMMYFUNCTION("""COMPUTED_VALUE"""),"Alchemist's")</f>
        <v>Alchemist's</v>
      </c>
      <c r="C320" s="197">
        <f t="shared" si="1"/>
        <v>1</v>
      </c>
      <c r="D320" s="20" t="s">
        <v>2435</v>
      </c>
      <c r="E320" s="20">
        <v>1.0</v>
      </c>
    </row>
    <row r="321">
      <c r="A321" s="196"/>
      <c r="B321" s="197" t="str">
        <f>IFERROR(__xludf.DUMMYFUNCTION("""COMPUTED_VALUE"""),"Incense")</f>
        <v>Incense</v>
      </c>
      <c r="C321" s="197">
        <f t="shared" si="1"/>
        <v>1</v>
      </c>
      <c r="D321" s="20" t="s">
        <v>2436</v>
      </c>
      <c r="E321" s="20">
        <v>1.0</v>
      </c>
    </row>
    <row r="322">
      <c r="A322" s="196" t="str">
        <f>IFERROR(__xludf.DUMMYFUNCTION("""COMPUTED_VALUE"""),"Crimson")</f>
        <v>Crimson</v>
      </c>
      <c r="B322" s="197" t="str">
        <f>IFERROR(__xludf.DUMMYFUNCTION("""COMPUTED_VALUE"""),"Quadriga")</f>
        <v>Quadriga</v>
      </c>
      <c r="C322" s="197">
        <f t="shared" si="1"/>
        <v>1</v>
      </c>
      <c r="D322" s="20" t="s">
        <v>2437</v>
      </c>
      <c r="E322" s="20">
        <v>1.0</v>
      </c>
    </row>
    <row r="323">
      <c r="A323" s="196" t="str">
        <f>IFERROR(__xludf.DUMMYFUNCTION("""COMPUTED_VALUE"""),"Flamechick")</f>
        <v>Flamechick</v>
      </c>
      <c r="B323" s="197" t="str">
        <f>IFERROR(__xludf.DUMMYFUNCTION("""COMPUTED_VALUE"""),"Triumph")</f>
        <v>Triumph</v>
      </c>
      <c r="C323" s="197">
        <f t="shared" si="1"/>
        <v>1</v>
      </c>
      <c r="D323" s="20" t="s">
        <v>2438</v>
      </c>
      <c r="E323" s="20">
        <v>1.0</v>
      </c>
    </row>
    <row r="324">
      <c r="A324" s="196"/>
      <c r="B324" s="197" t="str">
        <f>IFERROR(__xludf.DUMMYFUNCTION("""COMPUTED_VALUE"""),"Ambrosia")</f>
        <v>Ambrosia</v>
      </c>
      <c r="C324" s="197">
        <f t="shared" si="1"/>
        <v>1</v>
      </c>
      <c r="D324" s="20" t="s">
        <v>990</v>
      </c>
      <c r="E324" s="20">
        <v>1.0</v>
      </c>
    </row>
    <row r="325">
      <c r="A325" s="196"/>
      <c r="B325" s="197" t="str">
        <f>IFERROR(__xludf.DUMMYFUNCTION("""COMPUTED_VALUE"""),"Bee")</f>
        <v>Bee</v>
      </c>
      <c r="C325" s="197">
        <f t="shared" si="1"/>
        <v>1</v>
      </c>
      <c r="D325" s="20" t="s">
        <v>2439</v>
      </c>
      <c r="E325" s="20">
        <v>1.0</v>
      </c>
    </row>
    <row r="326">
      <c r="A326" s="196"/>
      <c r="B326" s="197" t="str">
        <f>IFERROR(__xludf.DUMMYFUNCTION("""COMPUTED_VALUE"""),"Recruiting")</f>
        <v>Recruiting</v>
      </c>
      <c r="C326" s="197">
        <f t="shared" si="1"/>
        <v>1</v>
      </c>
      <c r="D326" s="20" t="s">
        <v>2440</v>
      </c>
      <c r="E326" s="20">
        <v>1.0</v>
      </c>
    </row>
    <row r="327">
      <c r="A327" s="196" t="str">
        <f>IFERROR(__xludf.DUMMYFUNCTION("""COMPUTED_VALUE"""),"The")</f>
        <v>The</v>
      </c>
      <c r="B327" s="197" t="str">
        <f>IFERROR(__xludf.DUMMYFUNCTION("""COMPUTED_VALUE"""),"Officer")</f>
        <v>Officer</v>
      </c>
      <c r="C327" s="197">
        <f t="shared" si="1"/>
        <v>1</v>
      </c>
      <c r="D327" s="20" t="s">
        <v>996</v>
      </c>
      <c r="E327" s="20">
        <v>1.0</v>
      </c>
    </row>
    <row r="328">
      <c r="A328" s="196" t="str">
        <f>IFERROR(__xludf.DUMMYFUNCTION("""COMPUTED_VALUE"""),"Ascended")</f>
        <v>Ascended</v>
      </c>
      <c r="B328" s="197" t="str">
        <f>IFERROR(__xludf.DUMMYFUNCTION("""COMPUTED_VALUE"""),"Remnant")</f>
        <v>Remnant</v>
      </c>
      <c r="C328" s="197">
        <f t="shared" si="1"/>
        <v>1</v>
      </c>
      <c r="D328" s="20" t="s">
        <v>999</v>
      </c>
      <c r="E328" s="20">
        <v>1.0</v>
      </c>
    </row>
    <row r="329">
      <c r="A329" s="196" t="str">
        <f>IFERROR(__xludf.DUMMYFUNCTION("""COMPUTED_VALUE"""),"One")</f>
        <v>One</v>
      </c>
      <c r="B329" s="197" t="str">
        <f>IFERROR(__xludf.DUMMYFUNCTION("""COMPUTED_VALUE"""),"Quiet")</f>
        <v>Quiet</v>
      </c>
      <c r="C329" s="197">
        <f t="shared" si="1"/>
        <v>1</v>
      </c>
      <c r="D329" s="20" t="s">
        <v>2441</v>
      </c>
      <c r="E329" s="20">
        <v>1.0</v>
      </c>
    </row>
    <row r="330">
      <c r="A330" s="196"/>
      <c r="B330" s="197" t="str">
        <f>IFERROR(__xludf.DUMMYFUNCTION("""COMPUTED_VALUE"""),"Springs")</f>
        <v>Springs</v>
      </c>
      <c r="C330" s="197">
        <f t="shared" si="1"/>
        <v>2</v>
      </c>
      <c r="D330" s="20" t="s">
        <v>2442</v>
      </c>
      <c r="E330" s="20">
        <v>1.0</v>
      </c>
    </row>
    <row r="331">
      <c r="A331" s="196"/>
      <c r="B331" s="197" t="str">
        <f>IFERROR(__xludf.DUMMYFUNCTION("""COMPUTED_VALUE"""),"Sandring")</f>
        <v>Sandring</v>
      </c>
      <c r="C331" s="197">
        <f t="shared" si="1"/>
        <v>1</v>
      </c>
      <c r="D331" s="20" t="s">
        <v>2443</v>
      </c>
      <c r="E331" s="20">
        <v>1.0</v>
      </c>
    </row>
    <row r="332">
      <c r="A332" s="196" t="str">
        <f>IFERROR(__xludf.DUMMYFUNCTION("""COMPUTED_VALUE"""),"Tranquil")</f>
        <v>Tranquil</v>
      </c>
      <c r="B332" s="197" t="str">
        <f>IFERROR(__xludf.DUMMYFUNCTION("""COMPUTED_VALUE"""),"Pridemane")</f>
        <v>Pridemane</v>
      </c>
      <c r="C332" s="197">
        <f t="shared" si="1"/>
        <v>1</v>
      </c>
      <c r="D332" s="20" t="s">
        <v>2444</v>
      </c>
      <c r="E332" s="20">
        <v>1.0</v>
      </c>
    </row>
    <row r="333">
      <c r="A333" s="196" t="str">
        <f>IFERROR(__xludf.DUMMYFUNCTION("""COMPUTED_VALUE"""),"Herd")</f>
        <v>Herd</v>
      </c>
      <c r="B333" s="197" t="str">
        <f>IFERROR(__xludf.DUMMYFUNCTION("""COMPUTED_VALUE"""),"Filthy")</f>
        <v>Filthy</v>
      </c>
      <c r="C333" s="197">
        <f t="shared" si="1"/>
        <v>1</v>
      </c>
      <c r="D333" s="20" t="s">
        <v>2445</v>
      </c>
      <c r="E333" s="20">
        <v>1.0</v>
      </c>
    </row>
    <row r="334">
      <c r="A334" s="196" t="str">
        <f>IFERROR(__xludf.DUMMYFUNCTION("""COMPUTED_VALUE"""),"Rubyskull")</f>
        <v>Rubyskull</v>
      </c>
      <c r="B334" s="197" t="str">
        <f>IFERROR(__xludf.DUMMYFUNCTION("""COMPUTED_VALUE"""),"Peasant")</f>
        <v>Peasant</v>
      </c>
      <c r="C334" s="197">
        <f t="shared" si="1"/>
        <v>1</v>
      </c>
      <c r="D334" s="20" t="s">
        <v>2446</v>
      </c>
      <c r="E334" s="20">
        <v>1.0</v>
      </c>
    </row>
    <row r="335">
      <c r="A335" s="196"/>
      <c r="B335" s="197" t="str">
        <f>IFERROR(__xludf.DUMMYFUNCTION("""COMPUTED_VALUE"""),"Scapegoat")</f>
        <v>Scapegoat</v>
      </c>
      <c r="C335" s="197">
        <f t="shared" si="1"/>
        <v>1</v>
      </c>
      <c r="D335" s="20" t="s">
        <v>1057</v>
      </c>
      <c r="E335" s="20">
        <v>1.0</v>
      </c>
    </row>
    <row r="336">
      <c r="A336" s="196"/>
      <c r="B336" s="197" t="str">
        <f>IFERROR(__xludf.DUMMYFUNCTION("""COMPUTED_VALUE"""),"Ironstride")</f>
        <v>Ironstride</v>
      </c>
      <c r="C336" s="197">
        <f t="shared" si="1"/>
        <v>1</v>
      </c>
      <c r="D336" s="20" t="s">
        <v>2447</v>
      </c>
      <c r="E336" s="20">
        <v>1.0</v>
      </c>
    </row>
    <row r="337">
      <c r="A337" s="196" t="str">
        <f>IFERROR(__xludf.DUMMYFUNCTION("""COMPUTED_VALUE"""),"Blackwing")</f>
        <v>Blackwing</v>
      </c>
      <c r="B337" s="197" t="str">
        <f>IFERROR(__xludf.DUMMYFUNCTION("""COMPUTED_VALUE"""),"Courser")</f>
        <v>Courser</v>
      </c>
      <c r="C337" s="197">
        <f t="shared" si="1"/>
        <v>1</v>
      </c>
      <c r="D337" s="20" t="s">
        <v>2448</v>
      </c>
      <c r="E337" s="20">
        <v>1.0</v>
      </c>
    </row>
    <row r="338">
      <c r="A338" s="196" t="str">
        <f>IFERROR(__xludf.DUMMYFUNCTION("""COMPUTED_VALUE"""),"Usurper")</f>
        <v>Usurper</v>
      </c>
      <c r="B338" s="197" t="str">
        <f>IFERROR(__xludf.DUMMYFUNCTION("""COMPUTED_VALUE"""),"Pocket")</f>
        <v>Pocket</v>
      </c>
      <c r="C338" s="197">
        <f t="shared" si="1"/>
        <v>1</v>
      </c>
      <c r="D338" s="20" t="s">
        <v>2449</v>
      </c>
      <c r="E338" s="20">
        <v>1.0</v>
      </c>
    </row>
    <row r="339">
      <c r="A339" s="196"/>
      <c r="B339" s="197" t="str">
        <f>IFERROR(__xludf.DUMMYFUNCTION("""COMPUTED_VALUE"""),"Prime")</f>
        <v>Prime</v>
      </c>
      <c r="C339" s="197">
        <f t="shared" si="1"/>
        <v>1</v>
      </c>
      <c r="D339" s="20" t="s">
        <v>2450</v>
      </c>
      <c r="E339" s="20">
        <v>1.0</v>
      </c>
    </row>
    <row r="340">
      <c r="A340" s="196"/>
      <c r="B340" s="197" t="str">
        <f>IFERROR(__xludf.DUMMYFUNCTION("""COMPUTED_VALUE"""),"Golem")</f>
        <v>Golem</v>
      </c>
      <c r="C340" s="197">
        <f t="shared" si="1"/>
        <v>2</v>
      </c>
      <c r="D340" s="20" t="s">
        <v>2451</v>
      </c>
      <c r="E340" s="20">
        <v>1.0</v>
      </c>
    </row>
    <row r="341">
      <c r="A341" s="196"/>
      <c r="B341" s="197" t="str">
        <f>IFERROR(__xludf.DUMMYFUNCTION("""COMPUTED_VALUE"""),"Siegebreaker")</f>
        <v>Siegebreaker</v>
      </c>
      <c r="C341" s="197">
        <f t="shared" si="1"/>
        <v>1</v>
      </c>
      <c r="D341" s="20" t="s">
        <v>2452</v>
      </c>
      <c r="E341" s="20">
        <v>1.0</v>
      </c>
    </row>
    <row r="342">
      <c r="A342" s="196" t="str">
        <f>IFERROR(__xludf.DUMMYFUNCTION("""COMPUTED_VALUE"""),"Thunderswarm")</f>
        <v>Thunderswarm</v>
      </c>
      <c r="B342" s="197" t="str">
        <f>IFERROR(__xludf.DUMMYFUNCTION("""COMPUTED_VALUE"""),"Surly")</f>
        <v>Surly</v>
      </c>
      <c r="C342" s="197">
        <f t="shared" si="1"/>
        <v>1</v>
      </c>
      <c r="D342" s="20" t="s">
        <v>2453</v>
      </c>
      <c r="E342" s="20">
        <v>1.0</v>
      </c>
    </row>
    <row r="343">
      <c r="A343" s="196" t="str">
        <f>IFERROR(__xludf.DUMMYFUNCTION("""COMPUTED_VALUE"""),"Celestial")</f>
        <v>Celestial</v>
      </c>
      <c r="B343" s="197" t="str">
        <f>IFERROR(__xludf.DUMMYFUNCTION("""COMPUTED_VALUE"""),"Donkey")</f>
        <v>Donkey</v>
      </c>
      <c r="C343" s="197">
        <f t="shared" si="1"/>
        <v>1</v>
      </c>
      <c r="D343" s="20" t="s">
        <v>2454</v>
      </c>
      <c r="E343" s="20">
        <v>1.0</v>
      </c>
    </row>
    <row r="344">
      <c r="A344" s="196"/>
      <c r="B344" s="197" t="str">
        <f>IFERROR(__xludf.DUMMYFUNCTION("""COMPUTED_VALUE"""),"Grand")</f>
        <v>Grand</v>
      </c>
      <c r="C344" s="197">
        <f t="shared" si="1"/>
        <v>1</v>
      </c>
      <c r="D344" s="20" t="s">
        <v>2455</v>
      </c>
      <c r="E344" s="20">
        <v>1.0</v>
      </c>
    </row>
    <row r="345">
      <c r="A345" s="196"/>
      <c r="B345" s="197" t="str">
        <f>IFERROR(__xludf.DUMMYFUNCTION("""COMPUTED_VALUE"""),"Ruiner")</f>
        <v>Ruiner</v>
      </c>
      <c r="C345" s="197">
        <f t="shared" si="1"/>
        <v>1</v>
      </c>
      <c r="D345" s="20" t="s">
        <v>2456</v>
      </c>
      <c r="E345" s="20">
        <v>1.0</v>
      </c>
    </row>
    <row r="346">
      <c r="A346" s="196"/>
      <c r="B346" s="197" t="str">
        <f>IFERROR(__xludf.DUMMYFUNCTION("""COMPUTED_VALUE"""),"Snow")</f>
        <v>Snow</v>
      </c>
      <c r="C346" s="197">
        <f t="shared" si="1"/>
        <v>1</v>
      </c>
      <c r="D346" s="20" t="s">
        <v>2457</v>
      </c>
      <c r="E346" s="20">
        <v>1.0</v>
      </c>
    </row>
    <row r="347">
      <c r="A347" s="196" t="str">
        <f>IFERROR(__xludf.DUMMYFUNCTION("""COMPUTED_VALUE"""),"The")</f>
        <v>The</v>
      </c>
      <c r="B347" s="197" t="str">
        <f>IFERROR(__xludf.DUMMYFUNCTION("""COMPUTED_VALUE"""),"Crane")</f>
        <v>Crane</v>
      </c>
      <c r="C347" s="197">
        <f t="shared" si="1"/>
        <v>1</v>
      </c>
      <c r="D347" s="20" t="s">
        <v>2458</v>
      </c>
      <c r="E347" s="20">
        <v>1.0</v>
      </c>
    </row>
    <row r="348">
      <c r="A348" s="196" t="str">
        <f>IFERROR(__xludf.DUMMYFUNCTION("""COMPUTED_VALUE"""),"Second")</f>
        <v>Second</v>
      </c>
      <c r="B348" s="197" t="str">
        <f>IFERROR(__xludf.DUMMYFUNCTION("""COMPUTED_VALUE"""),"Trading")</f>
        <v>Trading</v>
      </c>
      <c r="C348" s="197">
        <f t="shared" si="1"/>
        <v>1</v>
      </c>
      <c r="D348" s="20" t="s">
        <v>2459</v>
      </c>
      <c r="E348" s="20">
        <v>1.0</v>
      </c>
    </row>
    <row r="349">
      <c r="A349" s="196" t="str">
        <f>IFERROR(__xludf.DUMMYFUNCTION("""COMPUTED_VALUE"""),"Wing")</f>
        <v>Wing</v>
      </c>
      <c r="B349" s="197" t="str">
        <f>IFERROR(__xludf.DUMMYFUNCTION("""COMPUTED_VALUE"""),"Post")</f>
        <v>Post</v>
      </c>
      <c r="C349" s="197">
        <f t="shared" si="1"/>
        <v>1</v>
      </c>
      <c r="D349" s="20" t="s">
        <v>2460</v>
      </c>
      <c r="E349" s="20">
        <v>1.0</v>
      </c>
    </row>
    <row r="350">
      <c r="A350" s="196"/>
      <c r="B350" s="197" t="str">
        <f>IFERROR(__xludf.DUMMYFUNCTION("""COMPUTED_VALUE"""),"Camel")</f>
        <v>Camel</v>
      </c>
      <c r="C350" s="197">
        <f t="shared" si="1"/>
        <v>2</v>
      </c>
      <c r="D350" s="20" t="s">
        <v>2461</v>
      </c>
      <c r="E350" s="20">
        <v>1.0</v>
      </c>
    </row>
    <row r="351">
      <c r="A351" s="196"/>
      <c r="B351" s="197" t="str">
        <f>IFERROR(__xludf.DUMMYFUNCTION("""COMPUTED_VALUE"""),"Stormforged")</f>
        <v>Stormforged</v>
      </c>
      <c r="C351" s="197">
        <f t="shared" si="1"/>
        <v>1</v>
      </c>
      <c r="D351" s="20" t="s">
        <v>2462</v>
      </c>
      <c r="E351" s="20">
        <v>1.0</v>
      </c>
    </row>
    <row r="352">
      <c r="A352" s="196" t="str">
        <f>IFERROR(__xludf.DUMMYFUNCTION("""COMPUTED_VALUE"""),"Ivoryscar")</f>
        <v>Ivoryscar</v>
      </c>
      <c r="B352" s="197" t="str">
        <f>IFERROR(__xludf.DUMMYFUNCTION("""COMPUTED_VALUE"""),"Recruit")</f>
        <v>Recruit</v>
      </c>
      <c r="C352" s="197">
        <f t="shared" si="1"/>
        <v>1</v>
      </c>
      <c r="D352" s="20" t="s">
        <v>2463</v>
      </c>
      <c r="E352" s="20">
        <v>1.0</v>
      </c>
    </row>
    <row r="353">
      <c r="A353" s="196" t="str">
        <f>IFERROR(__xludf.DUMMYFUNCTION("""COMPUTED_VALUE"""),"Fatebreaker")</f>
        <v>Fatebreaker</v>
      </c>
      <c r="B353" s="197" t="str">
        <f>IFERROR(__xludf.DUMMYFUNCTION("""COMPUTED_VALUE"""),"Supply")</f>
        <v>Supply</v>
      </c>
      <c r="C353" s="197">
        <f t="shared" si="1"/>
        <v>1</v>
      </c>
      <c r="D353" s="20" t="s">
        <v>2464</v>
      </c>
      <c r="E353" s="20">
        <v>1.0</v>
      </c>
    </row>
    <row r="354">
      <c r="A354" s="196"/>
      <c r="B354" s="197" t="str">
        <f>IFERROR(__xludf.DUMMYFUNCTION("""COMPUTED_VALUE"""),"Trusty")</f>
        <v>Trusty</v>
      </c>
      <c r="C354" s="197">
        <f t="shared" si="1"/>
        <v>1</v>
      </c>
      <c r="D354" s="20" t="s">
        <v>2465</v>
      </c>
      <c r="E354" s="20">
        <v>1.0</v>
      </c>
    </row>
    <row r="355">
      <c r="A355" s="196"/>
      <c r="B355" s="197" t="str">
        <f>IFERROR(__xludf.DUMMYFUNCTION("""COMPUTED_VALUE"""),"Companion")</f>
        <v>Companion</v>
      </c>
      <c r="C355" s="197">
        <f t="shared" si="1"/>
        <v>1</v>
      </c>
      <c r="D355" s="20" t="s">
        <v>2466</v>
      </c>
      <c r="E355" s="20">
        <v>1.0</v>
      </c>
    </row>
    <row r="356">
      <c r="A356" s="196"/>
      <c r="B356" s="197" t="str">
        <f>IFERROR(__xludf.DUMMYFUNCTION("""COMPUTED_VALUE"""),"Bloodfleet")</f>
        <v>Bloodfleet</v>
      </c>
      <c r="C356" s="197">
        <f t="shared" si="1"/>
        <v>2</v>
      </c>
      <c r="D356" s="20" t="s">
        <v>2467</v>
      </c>
      <c r="E356" s="20">
        <v>1.0</v>
      </c>
    </row>
    <row r="357">
      <c r="A357" s="196" t="str">
        <f>IFERROR(__xludf.DUMMYFUNCTION("""COMPUTED_VALUE"""),"Moon")</f>
        <v>Moon</v>
      </c>
      <c r="B357" s="197" t="str">
        <f>IFERROR(__xludf.DUMMYFUNCTION("""COMPUTED_VALUE"""),"Raider")</f>
        <v>Raider</v>
      </c>
      <c r="C357" s="197">
        <f t="shared" si="1"/>
        <v>2</v>
      </c>
      <c r="D357" s="20" t="s">
        <v>2468</v>
      </c>
      <c r="E357" s="20">
        <v>1.0</v>
      </c>
    </row>
    <row r="358">
      <c r="A358" s="196" t="str">
        <f>IFERROR(__xludf.DUMMYFUNCTION("""COMPUTED_VALUE"""),"Priestess")</f>
        <v>Priestess</v>
      </c>
      <c r="B358" s="197" t="str">
        <f>IFERROR(__xludf.DUMMYFUNCTION("""COMPUTED_VALUE"""),"Caring")</f>
        <v>Caring</v>
      </c>
      <c r="C358" s="197">
        <f t="shared" si="1"/>
        <v>2</v>
      </c>
      <c r="D358" s="20" t="s">
        <v>2469</v>
      </c>
      <c r="E358" s="20">
        <v>1.0</v>
      </c>
    </row>
    <row r="359">
      <c r="A359" s="196"/>
      <c r="B359" s="197" t="str">
        <f>IFERROR(__xludf.DUMMYFUNCTION("""COMPUTED_VALUE"""),"Mother")</f>
        <v>Mother</v>
      </c>
      <c r="C359" s="197">
        <f t="shared" si="1"/>
        <v>1</v>
      </c>
      <c r="D359" s="20" t="s">
        <v>2470</v>
      </c>
      <c r="E359" s="20">
        <v>1.0</v>
      </c>
    </row>
    <row r="360">
      <c r="A360" s="196"/>
      <c r="B360" s="197" t="str">
        <f>IFERROR(__xludf.DUMMYFUNCTION("""COMPUTED_VALUE"""),"Wayward")</f>
        <v>Wayward</v>
      </c>
      <c r="C360" s="197">
        <f t="shared" si="1"/>
        <v>1</v>
      </c>
      <c r="D360" s="20" t="s">
        <v>2471</v>
      </c>
      <c r="E360" s="20">
        <v>1.0</v>
      </c>
    </row>
    <row r="361">
      <c r="A361" s="196"/>
      <c r="B361" s="197" t="str">
        <f>IFERROR(__xludf.DUMMYFUNCTION("""COMPUTED_VALUE"""),"Battle")</f>
        <v>Battle</v>
      </c>
      <c r="C361" s="197">
        <f t="shared" si="1"/>
        <v>1</v>
      </c>
      <c r="D361" s="20" t="s">
        <v>2472</v>
      </c>
      <c r="E361" s="20">
        <v>1.0</v>
      </c>
    </row>
    <row r="362">
      <c r="A362" s="196" t="str">
        <f>IFERROR(__xludf.DUMMYFUNCTION("""COMPUTED_VALUE"""),"Airstep")</f>
        <v>Airstep</v>
      </c>
      <c r="B362" s="197" t="str">
        <f>IFERROR(__xludf.DUMMYFUNCTION("""COMPUTED_VALUE"""),"Dreadnought")</f>
        <v>Dreadnought</v>
      </c>
      <c r="C362" s="197">
        <f t="shared" si="1"/>
        <v>1</v>
      </c>
      <c r="D362" s="20" t="s">
        <v>2473</v>
      </c>
      <c r="E362" s="20">
        <v>1.0</v>
      </c>
    </row>
    <row r="363">
      <c r="A363" s="196" t="str">
        <f>IFERROR(__xludf.DUMMYFUNCTION("""COMPUTED_VALUE"""),"Sifu")</f>
        <v>Sifu</v>
      </c>
      <c r="B363" s="197" t="str">
        <f>IFERROR(__xludf.DUMMYFUNCTION("""COMPUTED_VALUE"""),"Dojo")</f>
        <v>Dojo</v>
      </c>
      <c r="C363" s="197">
        <f t="shared" si="1"/>
        <v>1</v>
      </c>
      <c r="D363" s="20" t="s">
        <v>2474</v>
      </c>
      <c r="E363" s="20">
        <v>1.0</v>
      </c>
    </row>
    <row r="364">
      <c r="A364" s="196"/>
      <c r="B364" s="197" t="str">
        <f>IFERROR(__xludf.DUMMYFUNCTION("""COMPUTED_VALUE"""),"Drill")</f>
        <v>Drill</v>
      </c>
      <c r="C364" s="197">
        <f t="shared" si="1"/>
        <v>1</v>
      </c>
      <c r="D364" s="20" t="s">
        <v>2475</v>
      </c>
      <c r="E364" s="20">
        <v>1.0</v>
      </c>
    </row>
    <row r="365">
      <c r="A365" s="196"/>
      <c r="B365" s="197" t="str">
        <f>IFERROR(__xludf.DUMMYFUNCTION("""COMPUTED_VALUE"""),"Instructor")</f>
        <v>Instructor</v>
      </c>
      <c r="C365" s="197">
        <f t="shared" si="1"/>
        <v>1</v>
      </c>
      <c r="D365" s="20" t="s">
        <v>2476</v>
      </c>
      <c r="E365" s="20">
        <v>1.0</v>
      </c>
    </row>
    <row r="366">
      <c r="A366" s="196"/>
      <c r="B366" s="197" t="str">
        <f>IFERROR(__xludf.DUMMYFUNCTION("""COMPUTED_VALUE"""),"Rune")</f>
        <v>Rune</v>
      </c>
      <c r="C366" s="197">
        <f t="shared" si="1"/>
        <v>1</v>
      </c>
      <c r="D366" s="20" t="s">
        <v>2477</v>
      </c>
      <c r="E366" s="20">
        <v>1.0</v>
      </c>
    </row>
    <row r="367">
      <c r="A367" s="196" t="str">
        <f>IFERROR(__xludf.DUMMYFUNCTION("""COMPUTED_VALUE"""),"Moonspear")</f>
        <v>Moonspear</v>
      </c>
      <c r="B367" s="197" t="str">
        <f>IFERROR(__xludf.DUMMYFUNCTION("""COMPUTED_VALUE"""),"Whisperer")</f>
        <v>Whisperer</v>
      </c>
      <c r="C367" s="197">
        <f t="shared" si="1"/>
        <v>1</v>
      </c>
      <c r="D367" s="20" t="s">
        <v>1201</v>
      </c>
      <c r="E367" s="20">
        <v>1.0</v>
      </c>
    </row>
    <row r="368">
      <c r="A368" s="196" t="str">
        <f>IFERROR(__xludf.DUMMYFUNCTION("""COMPUTED_VALUE"""),"Paladin")</f>
        <v>Paladin</v>
      </c>
      <c r="B368" s="197" t="str">
        <f>IFERROR(__xludf.DUMMYFUNCTION("""COMPUTED_VALUE"""),"Ironclad")</f>
        <v>Ironclad</v>
      </c>
      <c r="C368" s="197">
        <f t="shared" si="1"/>
        <v>1</v>
      </c>
      <c r="D368" s="20" t="s">
        <v>2478</v>
      </c>
      <c r="E368" s="20">
        <v>1.0</v>
      </c>
    </row>
    <row r="369">
      <c r="A369" s="196"/>
      <c r="B369" s="197" t="str">
        <f>IFERROR(__xludf.DUMMYFUNCTION("""COMPUTED_VALUE"""),"Jailwalker")</f>
        <v>Jailwalker</v>
      </c>
      <c r="C369" s="197">
        <f t="shared" si="1"/>
        <v>1</v>
      </c>
      <c r="D369" s="20" t="s">
        <v>2479</v>
      </c>
      <c r="E369" s="20">
        <v>1.0</v>
      </c>
    </row>
    <row r="370">
      <c r="A370" s="196"/>
      <c r="B370" s="197" t="str">
        <f>IFERROR(__xludf.DUMMYFUNCTION("""COMPUTED_VALUE"""),"Holy")</f>
        <v>Holy</v>
      </c>
      <c r="C370" s="197">
        <f t="shared" si="1"/>
        <v>1</v>
      </c>
      <c r="D370" s="20" t="s">
        <v>2480</v>
      </c>
      <c r="E370" s="20">
        <v>1.0</v>
      </c>
    </row>
    <row r="371">
      <c r="A371" s="196"/>
      <c r="B371" s="197" t="str">
        <f>IFERROR(__xludf.DUMMYFUNCTION("""COMPUTED_VALUE"""),"Life")</f>
        <v>Life</v>
      </c>
      <c r="C371" s="197">
        <f t="shared" si="1"/>
        <v>1</v>
      </c>
      <c r="D371" s="20" t="s">
        <v>2481</v>
      </c>
      <c r="E371" s="20">
        <v>1.0</v>
      </c>
    </row>
    <row r="372">
      <c r="A372" s="196" t="str">
        <f>IFERROR(__xludf.DUMMYFUNCTION("""COMPUTED_VALUE"""),"Arcanum")</f>
        <v>Arcanum</v>
      </c>
      <c r="B372" s="197" t="str">
        <f>IFERROR(__xludf.DUMMYFUNCTION("""COMPUTED_VALUE"""),"Tree")</f>
        <v>Tree</v>
      </c>
      <c r="C372" s="197">
        <f t="shared" si="1"/>
        <v>2</v>
      </c>
      <c r="D372" s="20" t="s">
        <v>1235</v>
      </c>
      <c r="E372" s="20">
        <v>1.0</v>
      </c>
    </row>
    <row r="373">
      <c r="A373" s="196" t="str">
        <f>IFERROR(__xludf.DUMMYFUNCTION("""COMPUTED_VALUE"""),"Grandmaster")</f>
        <v>Grandmaster</v>
      </c>
      <c r="B373" s="197" t="str">
        <f>IFERROR(__xludf.DUMMYFUNCTION("""COMPUTED_VALUE"""),"Rampart")</f>
        <v>Rampart</v>
      </c>
      <c r="C373" s="197">
        <f t="shared" si="1"/>
        <v>1</v>
      </c>
      <c r="D373" s="20" t="s">
        <v>2482</v>
      </c>
      <c r="E373" s="20">
        <v>1.0</v>
      </c>
    </row>
    <row r="374">
      <c r="A374" s="196"/>
      <c r="B374" s="197" t="str">
        <f>IFERROR(__xludf.DUMMYFUNCTION("""COMPUTED_VALUE"""),"Shellback")</f>
        <v>Shellback</v>
      </c>
      <c r="C374" s="197">
        <f t="shared" si="1"/>
        <v>1</v>
      </c>
      <c r="D374" s="20" t="s">
        <v>2483</v>
      </c>
      <c r="E374" s="20">
        <v>1.0</v>
      </c>
    </row>
    <row r="375">
      <c r="A375" s="196"/>
      <c r="B375" s="197" t="str">
        <f>IFERROR(__xludf.DUMMYFUNCTION("""COMPUTED_VALUE"""),"Zodiac")</f>
        <v>Zodiac</v>
      </c>
      <c r="C375" s="197">
        <f t="shared" si="1"/>
        <v>1</v>
      </c>
      <c r="D375" s="20" t="s">
        <v>2484</v>
      </c>
      <c r="E375" s="20">
        <v>1.0</v>
      </c>
    </row>
    <row r="376">
      <c r="A376" s="196"/>
      <c r="B376" s="197" t="str">
        <f>IFERROR(__xludf.DUMMYFUNCTION("""COMPUTED_VALUE"""),"Samurai")</f>
        <v>Samurai</v>
      </c>
      <c r="C376" s="197">
        <f t="shared" si="1"/>
        <v>1</v>
      </c>
      <c r="D376" s="20" t="s">
        <v>2485</v>
      </c>
      <c r="E376" s="20">
        <v>1.0</v>
      </c>
    </row>
    <row r="377">
      <c r="A377" s="196" t="str">
        <f>IFERROR(__xludf.DUMMYFUNCTION("""COMPUTED_VALUE"""),"Auraborne")</f>
        <v>Auraborne</v>
      </c>
      <c r="B377" s="197" t="str">
        <f>IFERROR(__xludf.DUMMYFUNCTION("""COMPUTED_VALUE"""),"Scalehide")</f>
        <v>Scalehide</v>
      </c>
      <c r="C377" s="197">
        <f t="shared" si="1"/>
        <v>1</v>
      </c>
      <c r="D377" s="20" t="s">
        <v>2486</v>
      </c>
      <c r="E377" s="20">
        <v>1.0</v>
      </c>
    </row>
    <row r="378">
      <c r="A378" s="196" t="str">
        <f>IFERROR(__xludf.DUMMYFUNCTION("""COMPUTED_VALUE"""),"Wyvern")</f>
        <v>Wyvern</v>
      </c>
      <c r="B378" s="197" t="str">
        <f>IFERROR(__xludf.DUMMYFUNCTION("""COMPUTED_VALUE"""),"Trapper")</f>
        <v>Trapper</v>
      </c>
      <c r="C378" s="197">
        <f t="shared" si="1"/>
        <v>1</v>
      </c>
      <c r="D378" s="20" t="s">
        <v>2487</v>
      </c>
      <c r="E378" s="20">
        <v>1.0</v>
      </c>
    </row>
    <row r="379">
      <c r="A379" s="196"/>
      <c r="B379" s="197" t="str">
        <f>IFERROR(__xludf.DUMMYFUNCTION("""COMPUTED_VALUE"""),"Crescent")</f>
        <v>Crescent</v>
      </c>
      <c r="C379" s="197">
        <f t="shared" si="1"/>
        <v>1</v>
      </c>
      <c r="D379" s="20" t="s">
        <v>2488</v>
      </c>
      <c r="E379" s="20">
        <v>1.0</v>
      </c>
    </row>
    <row r="380">
      <c r="A380" s="196"/>
      <c r="B380" s="197" t="str">
        <f>IFERROR(__xludf.DUMMYFUNCTION("""COMPUTED_VALUE"""),"Trapmaster")</f>
        <v>Trapmaster</v>
      </c>
      <c r="C380" s="197">
        <f t="shared" si="1"/>
        <v>1</v>
      </c>
      <c r="D380" s="20" t="s">
        <v>2489</v>
      </c>
      <c r="E380" s="20">
        <v>1.0</v>
      </c>
    </row>
    <row r="381">
      <c r="A381" s="196"/>
      <c r="B381" s="197" t="str">
        <f>IFERROR(__xludf.DUMMYFUNCTION("""COMPUTED_VALUE"""),"Gemcrazed")</f>
        <v>Gemcrazed</v>
      </c>
      <c r="C381" s="197">
        <f t="shared" si="1"/>
        <v>1</v>
      </c>
      <c r="D381" s="20" t="s">
        <v>2490</v>
      </c>
      <c r="E381" s="20">
        <v>1.0</v>
      </c>
    </row>
    <row r="382">
      <c r="A382" s="196" t="str">
        <f>IFERROR(__xludf.DUMMYFUNCTION("""COMPUTED_VALUE"""),"Blazecharm")</f>
        <v>Blazecharm</v>
      </c>
      <c r="B382" s="197" t="str">
        <f>IFERROR(__xludf.DUMMYFUNCTION("""COMPUTED_VALUE"""),"Clown")</f>
        <v>Clown</v>
      </c>
      <c r="C382" s="197">
        <f t="shared" si="1"/>
        <v>1</v>
      </c>
      <c r="D382" s="20" t="s">
        <v>2491</v>
      </c>
      <c r="E382" s="20">
        <v>1.0</v>
      </c>
    </row>
    <row r="383">
      <c r="A383" s="196" t="str">
        <f>IFERROR(__xludf.DUMMYFUNCTION("""COMPUTED_VALUE"""),"Kitsune")</f>
        <v>Kitsune</v>
      </c>
      <c r="B383" s="197" t="str">
        <f>IFERROR(__xludf.DUMMYFUNCTION("""COMPUTED_VALUE"""),"Augur")</f>
        <v>Augur</v>
      </c>
      <c r="C383" s="197">
        <f t="shared" si="1"/>
        <v>1</v>
      </c>
      <c r="D383" s="20" t="s">
        <v>2492</v>
      </c>
      <c r="E383" s="20">
        <v>1.0</v>
      </c>
    </row>
    <row r="384">
      <c r="A384" s="196"/>
      <c r="B384" s="197" t="str">
        <f>IFERROR(__xludf.DUMMYFUNCTION("""COMPUTED_VALUE"""),"Sanguine")</f>
        <v>Sanguine</v>
      </c>
      <c r="C384" s="197">
        <f t="shared" si="1"/>
        <v>2</v>
      </c>
      <c r="D384" s="20" t="s">
        <v>2493</v>
      </c>
      <c r="E384" s="20">
        <v>1.0</v>
      </c>
    </row>
    <row r="385">
      <c r="A385" s="196"/>
      <c r="B385" s="197" t="str">
        <f>IFERROR(__xludf.DUMMYFUNCTION("""COMPUTED_VALUE"""),"Student")</f>
        <v>Student</v>
      </c>
      <c r="C385" s="197">
        <f t="shared" si="1"/>
        <v>1</v>
      </c>
      <c r="D385" s="20" t="s">
        <v>2494</v>
      </c>
      <c r="E385" s="20">
        <v>1.0</v>
      </c>
    </row>
    <row r="386">
      <c r="A386" s="196"/>
      <c r="B386" s="197" t="str">
        <f>IFERROR(__xludf.DUMMYFUNCTION("""COMPUTED_VALUE"""),"Shade")</f>
        <v>Shade</v>
      </c>
      <c r="C386" s="197">
        <f t="shared" si="1"/>
        <v>1</v>
      </c>
      <c r="D386" s="20" t="s">
        <v>2495</v>
      </c>
      <c r="E386" s="20">
        <v>1.0</v>
      </c>
    </row>
    <row r="387">
      <c r="A387" s="196" t="str">
        <f>IFERROR(__xludf.DUMMYFUNCTION("""COMPUTED_VALUE"""),"Glowing")</f>
        <v>Glowing</v>
      </c>
      <c r="B387" s="197" t="str">
        <f>IFERROR(__xludf.DUMMYFUNCTION("""COMPUTED_VALUE"""),"in")</f>
        <v>in</v>
      </c>
      <c r="C387" s="197">
        <f t="shared" si="1"/>
        <v>1</v>
      </c>
      <c r="D387" s="20" t="s">
        <v>2496</v>
      </c>
      <c r="E387" s="20">
        <v>1.0</v>
      </c>
    </row>
    <row r="388">
      <c r="A388" s="196" t="str">
        <f>IFERROR(__xludf.DUMMYFUNCTION("""COMPUTED_VALUE"""),"Gearhulk")</f>
        <v>Gearhulk</v>
      </c>
      <c r="B388" s="197" t="str">
        <f>IFERROR(__xludf.DUMMYFUNCTION("""COMPUTED_VALUE"""),"Alley")</f>
        <v>Alley</v>
      </c>
      <c r="C388" s="197">
        <f t="shared" si="1"/>
        <v>1</v>
      </c>
      <c r="D388" s="20" t="s">
        <v>2497</v>
      </c>
      <c r="E388" s="20">
        <v>1.0</v>
      </c>
    </row>
    <row r="389">
      <c r="A389" s="196"/>
      <c r="B389" s="197" t="str">
        <f>IFERROR(__xludf.DUMMYFUNCTION("""COMPUTED_VALUE"""),"Vindictive")</f>
        <v>Vindictive</v>
      </c>
      <c r="C389" s="197">
        <f t="shared" si="1"/>
        <v>1</v>
      </c>
      <c r="D389" s="20" t="s">
        <v>2498</v>
      </c>
      <c r="E389" s="20">
        <v>1.0</v>
      </c>
    </row>
    <row r="390">
      <c r="A390" s="196"/>
      <c r="B390" s="197" t="str">
        <f>IFERROR(__xludf.DUMMYFUNCTION("""COMPUTED_VALUE"""),"Forsaken")</f>
        <v>Forsaken</v>
      </c>
      <c r="C390" s="197">
        <f t="shared" si="1"/>
        <v>5</v>
      </c>
      <c r="D390" s="20" t="s">
        <v>2499</v>
      </c>
      <c r="E390" s="20">
        <v>1.0</v>
      </c>
    </row>
    <row r="391">
      <c r="A391" s="196"/>
      <c r="B391" s="197" t="str">
        <f>IFERROR(__xludf.DUMMYFUNCTION("""COMPUTED_VALUE"""),"Willing")</f>
        <v>Willing</v>
      </c>
      <c r="C391" s="197">
        <f t="shared" si="1"/>
        <v>1</v>
      </c>
      <c r="D391" s="20" t="s">
        <v>2500</v>
      </c>
      <c r="E391" s="20">
        <v>1.0</v>
      </c>
    </row>
    <row r="392">
      <c r="A392" s="196" t="str">
        <f>IFERROR(__xludf.DUMMYFUNCTION("""COMPUTED_VALUE"""),"Boiling")</f>
        <v>Boiling</v>
      </c>
      <c r="B392" s="197" t="str">
        <f>IFERROR(__xludf.DUMMYFUNCTION("""COMPUTED_VALUE"""),"Sacrifice")</f>
        <v>Sacrifice</v>
      </c>
      <c r="C392" s="197">
        <f t="shared" si="1"/>
        <v>1</v>
      </c>
      <c r="D392" s="20" t="s">
        <v>2501</v>
      </c>
      <c r="E392" s="20">
        <v>1.0</v>
      </c>
    </row>
    <row r="393">
      <c r="A393" s="196" t="str">
        <f>IFERROR(__xludf.DUMMYFUNCTION("""COMPUTED_VALUE"""),"Blood")</f>
        <v>Blood</v>
      </c>
      <c r="B393" s="197" t="str">
        <f>IFERROR(__xludf.DUMMYFUNCTION("""COMPUTED_VALUE"""),"Harpooneer")</f>
        <v>Harpooneer</v>
      </c>
      <c r="C393" s="197">
        <f t="shared" si="1"/>
        <v>1</v>
      </c>
      <c r="D393" s="20" t="s">
        <v>2502</v>
      </c>
      <c r="E393" s="20">
        <v>1.0</v>
      </c>
    </row>
    <row r="394">
      <c r="A394" s="196" t="str">
        <f>IFERROR(__xludf.DUMMYFUNCTION("""COMPUTED_VALUE"""),"Berserker")</f>
        <v>Berserker</v>
      </c>
      <c r="B394" s="197" t="str">
        <f>IFERROR(__xludf.DUMMYFUNCTION("""COMPUTED_VALUE"""),"Gold")</f>
        <v>Gold</v>
      </c>
      <c r="C394" s="197">
        <f t="shared" si="1"/>
        <v>1</v>
      </c>
      <c r="D394" s="20" t="s">
        <v>2503</v>
      </c>
      <c r="E394" s="20">
        <v>1.0</v>
      </c>
    </row>
    <row r="395">
      <c r="A395" s="196"/>
      <c r="B395" s="197" t="str">
        <f>IFERROR(__xludf.DUMMYFUNCTION("""COMPUTED_VALUE"""),"Colibri")</f>
        <v>Colibri</v>
      </c>
      <c r="C395" s="197">
        <f t="shared" si="1"/>
        <v>1</v>
      </c>
      <c r="D395" s="20" t="s">
        <v>2504</v>
      </c>
      <c r="E395" s="20">
        <v>1.0</v>
      </c>
    </row>
    <row r="396">
      <c r="A396" s="196"/>
      <c r="B396" s="197" t="str">
        <f>IFERROR(__xludf.DUMMYFUNCTION("""COMPUTED_VALUE"""),"Greedy")</f>
        <v>Greedy</v>
      </c>
      <c r="C396" s="197">
        <f t="shared" si="1"/>
        <v>1</v>
      </c>
      <c r="D396" s="20" t="s">
        <v>2505</v>
      </c>
      <c r="E396" s="20">
        <v>1.0</v>
      </c>
    </row>
    <row r="397">
      <c r="A397" s="196" t="str">
        <f>IFERROR(__xludf.DUMMYFUNCTION("""COMPUTED_VALUE"""),"Goat")</f>
        <v>Goat</v>
      </c>
      <c r="B397" s="197" t="str">
        <f>IFERROR(__xludf.DUMMYFUNCTION("""COMPUTED_VALUE"""),"Senator")</f>
        <v>Senator</v>
      </c>
      <c r="C397" s="197">
        <f t="shared" si="1"/>
        <v>1</v>
      </c>
      <c r="D397" s="20" t="s">
        <v>2506</v>
      </c>
      <c r="E397" s="20">
        <v>1.0</v>
      </c>
    </row>
    <row r="398">
      <c r="A398" s="196" t="str">
        <f>IFERROR(__xludf.DUMMYFUNCTION("""COMPUTED_VALUE"""),"Oracle")</f>
        <v>Oracle</v>
      </c>
      <c r="B398" s="197" t="str">
        <f>IFERROR(__xludf.DUMMYFUNCTION("""COMPUTED_VALUE"""),"Armordillo")</f>
        <v>Armordillo</v>
      </c>
      <c r="C398" s="197">
        <f t="shared" si="1"/>
        <v>1</v>
      </c>
      <c r="D398" s="20" t="s">
        <v>2507</v>
      </c>
      <c r="E398" s="20">
        <v>1.0</v>
      </c>
    </row>
    <row r="399">
      <c r="A399" s="196"/>
      <c r="B399" s="197" t="str">
        <f>IFERROR(__xludf.DUMMYFUNCTION("""COMPUTED_VALUE"""),"Paragon")</f>
        <v>Paragon</v>
      </c>
      <c r="C399" s="197">
        <f t="shared" si="1"/>
        <v>1</v>
      </c>
      <c r="D399" s="20" t="s">
        <v>2508</v>
      </c>
      <c r="E399" s="20">
        <v>1.0</v>
      </c>
    </row>
    <row r="400">
      <c r="A400" s="196"/>
      <c r="B400" s="197" t="str">
        <f>IFERROR(__xludf.DUMMYFUNCTION("""COMPUTED_VALUE"""),"Conquest")</f>
        <v>Conquest</v>
      </c>
      <c r="C400" s="197">
        <f t="shared" si="1"/>
        <v>1</v>
      </c>
      <c r="D400" s="20" t="s">
        <v>2509</v>
      </c>
      <c r="E400" s="20">
        <v>1.0</v>
      </c>
    </row>
    <row r="401">
      <c r="A401" s="196"/>
      <c r="B401" s="197" t="str">
        <f>IFERROR(__xludf.DUMMYFUNCTION("""COMPUTED_VALUE"""),"Tilling")</f>
        <v>Tilling</v>
      </c>
      <c r="C401" s="197">
        <f t="shared" si="1"/>
        <v>1</v>
      </c>
      <c r="D401" s="20" t="s">
        <v>2510</v>
      </c>
      <c r="E401" s="20">
        <v>1.0</v>
      </c>
    </row>
    <row r="402">
      <c r="A402" s="196" t="str">
        <f>IFERROR(__xludf.DUMMYFUNCTION("""COMPUTED_VALUE"""),"Tranquil")</f>
        <v>Tranquil</v>
      </c>
      <c r="B402" s="197" t="str">
        <f>IFERROR(__xludf.DUMMYFUNCTION("""COMPUTED_VALUE"""),"Yoke")</f>
        <v>Yoke</v>
      </c>
      <c r="C402" s="197">
        <f t="shared" si="1"/>
        <v>1</v>
      </c>
      <c r="D402" s="20" t="s">
        <v>2511</v>
      </c>
      <c r="E402" s="20">
        <v>1.0</v>
      </c>
    </row>
    <row r="403">
      <c r="A403" s="196" t="str">
        <f>IFERROR(__xludf.DUMMYFUNCTION("""COMPUTED_VALUE"""),"Herd")</f>
        <v>Herd</v>
      </c>
      <c r="B403" s="197" t="str">
        <f>IFERROR(__xludf.DUMMYFUNCTION("""COMPUTED_VALUE"""),"Beast")</f>
        <v>Beast</v>
      </c>
      <c r="C403" s="197">
        <f t="shared" si="1"/>
        <v>1</v>
      </c>
      <c r="D403" s="20" t="s">
        <v>2512</v>
      </c>
      <c r="E403" s="20">
        <v>1.0</v>
      </c>
    </row>
    <row r="404">
      <c r="A404" s="196" t="str">
        <f>IFERROR(__xludf.DUMMYFUNCTION("""COMPUTED_VALUE"""),"Sagehorn")</f>
        <v>Sagehorn</v>
      </c>
      <c r="B404" s="197" t="str">
        <f>IFERROR(__xludf.DUMMYFUNCTION("""COMPUTED_VALUE"""),"Blossombeast")</f>
        <v>Blossombeast</v>
      </c>
      <c r="C404" s="197">
        <f t="shared" si="1"/>
        <v>1</v>
      </c>
      <c r="D404" s="20" t="s">
        <v>2513</v>
      </c>
      <c r="E404" s="20">
        <v>1.0</v>
      </c>
    </row>
    <row r="405">
      <c r="A405" s="196"/>
      <c r="B405" s="197" t="str">
        <f>IFERROR(__xludf.DUMMYFUNCTION("""COMPUTED_VALUE"""),"Bug")</f>
        <v>Bug</v>
      </c>
      <c r="C405" s="197">
        <f t="shared" si="1"/>
        <v>2</v>
      </c>
      <c r="D405" s="20" t="s">
        <v>2514</v>
      </c>
      <c r="E405" s="20">
        <v>1.0</v>
      </c>
    </row>
    <row r="406">
      <c r="A406" s="196"/>
      <c r="B406" s="197" t="str">
        <f>IFERROR(__xludf.DUMMYFUNCTION("""COMPUTED_VALUE"""),"Curator")</f>
        <v>Curator</v>
      </c>
      <c r="C406" s="197">
        <f t="shared" si="1"/>
        <v>1</v>
      </c>
      <c r="D406" s="20" t="s">
        <v>1375</v>
      </c>
      <c r="E406" s="20">
        <v>1.0</v>
      </c>
    </row>
    <row r="407">
      <c r="A407" s="196" t="str">
        <f>IFERROR(__xludf.DUMMYFUNCTION("""COMPUTED_VALUE"""),"Sunblessed")</f>
        <v>Sunblessed</v>
      </c>
      <c r="B407" s="197" t="str">
        <f>IFERROR(__xludf.DUMMYFUNCTION("""COMPUTED_VALUE"""),"Buzzing")</f>
        <v>Buzzing</v>
      </c>
      <c r="C407" s="197">
        <f t="shared" si="1"/>
        <v>1</v>
      </c>
      <c r="D407" s="20" t="s">
        <v>2515</v>
      </c>
      <c r="E407" s="20">
        <v>1.0</v>
      </c>
    </row>
    <row r="408">
      <c r="A408" s="196" t="str">
        <f>IFERROR(__xludf.DUMMYFUNCTION("""COMPUTED_VALUE"""),"Crocodile")</f>
        <v>Crocodile</v>
      </c>
      <c r="B408" s="197" t="str">
        <f>IFERROR(__xludf.DUMMYFUNCTION("""COMPUTED_VALUE"""),"Hivetitan")</f>
        <v>Hivetitan</v>
      </c>
      <c r="C408" s="197">
        <f t="shared" si="1"/>
        <v>1</v>
      </c>
      <c r="D408" s="20" t="s">
        <v>2516</v>
      </c>
      <c r="E408" s="20">
        <v>1.0</v>
      </c>
    </row>
    <row r="409">
      <c r="A409" s="196"/>
      <c r="B409" s="197" t="str">
        <f>IFERROR(__xludf.DUMMYFUNCTION("""COMPUTED_VALUE"""),"Caleidoscope")</f>
        <v>Caleidoscope</v>
      </c>
      <c r="C409" s="197">
        <f t="shared" si="1"/>
        <v>1</v>
      </c>
      <c r="D409" s="20" t="s">
        <v>2517</v>
      </c>
      <c r="E409" s="20">
        <v>1.0</v>
      </c>
    </row>
    <row r="410">
      <c r="A410" s="196"/>
      <c r="B410" s="197" t="str">
        <f>IFERROR(__xludf.DUMMYFUNCTION("""COMPUTED_VALUE"""),"Spider")</f>
        <v>Spider</v>
      </c>
      <c r="C410" s="197">
        <f t="shared" si="1"/>
        <v>1</v>
      </c>
      <c r="D410" s="20" t="s">
        <v>2518</v>
      </c>
      <c r="E410" s="20">
        <v>1.0</v>
      </c>
    </row>
    <row r="411">
      <c r="A411" s="196"/>
      <c r="B411" s="197" t="str">
        <f>IFERROR(__xludf.DUMMYFUNCTION("""COMPUTED_VALUE"""),"Emberblade")</f>
        <v>Emberblade</v>
      </c>
      <c r="C411" s="197">
        <f t="shared" si="1"/>
        <v>1</v>
      </c>
      <c r="D411" s="20" t="s">
        <v>2519</v>
      </c>
      <c r="E411" s="20">
        <v>1.0</v>
      </c>
    </row>
    <row r="412">
      <c r="A412" s="196" t="str">
        <f>IFERROR(__xludf.DUMMYFUNCTION("""COMPUTED_VALUE"""),"Kois")</f>
        <v>Kois</v>
      </c>
      <c r="B412" s="197" t="str">
        <f>IFERROR(__xludf.DUMMYFUNCTION("""COMPUTED_VALUE"""),"Senatorial")</f>
        <v>Senatorial</v>
      </c>
      <c r="C412" s="197">
        <f t="shared" si="1"/>
        <v>1</v>
      </c>
      <c r="D412" s="20" t="s">
        <v>2520</v>
      </c>
      <c r="E412" s="20">
        <v>1.0</v>
      </c>
    </row>
    <row r="413">
      <c r="A413" s="196" t="str">
        <f>IFERROR(__xludf.DUMMYFUNCTION("""COMPUTED_VALUE"""),"of")</f>
        <v>of</v>
      </c>
      <c r="B413" s="197" t="str">
        <f>IFERROR(__xludf.DUMMYFUNCTION("""COMPUTED_VALUE"""),"Phalanx")</f>
        <v>Phalanx</v>
      </c>
      <c r="C413" s="197">
        <f t="shared" si="1"/>
        <v>1</v>
      </c>
      <c r="D413" s="20" t="s">
        <v>2521</v>
      </c>
      <c r="E413" s="20">
        <v>1.0</v>
      </c>
    </row>
    <row r="414">
      <c r="A414" s="196" t="str">
        <f>IFERROR(__xludf.DUMMYFUNCTION("""COMPUTED_VALUE"""),"Duality")</f>
        <v>Duality</v>
      </c>
      <c r="B414" s="197" t="str">
        <f>IFERROR(__xludf.DUMMYFUNCTION("""COMPUTED_VALUE"""),"Ferromancer")</f>
        <v>Ferromancer</v>
      </c>
      <c r="C414" s="197">
        <f t="shared" si="1"/>
        <v>1</v>
      </c>
      <c r="D414" s="20" t="s">
        <v>2522</v>
      </c>
      <c r="E414" s="20">
        <v>1.0</v>
      </c>
    </row>
    <row r="415">
      <c r="A415" s="196"/>
      <c r="B415" s="197" t="str">
        <f>IFERROR(__xludf.DUMMYFUNCTION("""COMPUTED_VALUE"""),"Frontier")</f>
        <v>Frontier</v>
      </c>
      <c r="C415" s="197">
        <f t="shared" si="1"/>
        <v>1</v>
      </c>
      <c r="D415" s="20" t="s">
        <v>2523</v>
      </c>
      <c r="E415" s="20">
        <v>1.0</v>
      </c>
    </row>
    <row r="416">
      <c r="A416" s="196"/>
      <c r="B416" s="197" t="str">
        <f>IFERROR(__xludf.DUMMYFUNCTION("""COMPUTED_VALUE"""),"Centurion")</f>
        <v>Centurion</v>
      </c>
      <c r="C416" s="197">
        <f t="shared" si="1"/>
        <v>1</v>
      </c>
      <c r="D416" s="20" t="s">
        <v>2524</v>
      </c>
      <c r="E416" s="20">
        <v>1.0</v>
      </c>
    </row>
    <row r="417">
      <c r="A417" s="196" t="str">
        <f>IFERROR(__xludf.DUMMYFUNCTION("""COMPUTED_VALUE"""),"Ivoryscar")</f>
        <v>Ivoryscar</v>
      </c>
      <c r="B417" s="197" t="str">
        <f>IFERROR(__xludf.DUMMYFUNCTION("""COMPUTED_VALUE"""),"Saboteur")</f>
        <v>Saboteur</v>
      </c>
      <c r="C417" s="197">
        <f t="shared" si="1"/>
        <v>1</v>
      </c>
      <c r="D417" s="20" t="s">
        <v>2525</v>
      </c>
      <c r="E417" s="20">
        <v>1.0</v>
      </c>
    </row>
    <row r="418">
      <c r="A418" s="196" t="str">
        <f>IFERROR(__xludf.DUMMYFUNCTION("""COMPUTED_VALUE"""),"Eclipsion")</f>
        <v>Eclipsion</v>
      </c>
      <c r="B418" s="197" t="str">
        <f>IFERROR(__xludf.DUMMYFUNCTION("""COMPUTED_VALUE"""),"Rustblood")</f>
        <v>Rustblood</v>
      </c>
      <c r="C418" s="197">
        <f t="shared" si="1"/>
        <v>1</v>
      </c>
      <c r="D418" s="20" t="s">
        <v>2526</v>
      </c>
      <c r="E418" s="20">
        <v>1.0</v>
      </c>
    </row>
    <row r="419">
      <c r="A419" s="196"/>
      <c r="B419" s="197" t="str">
        <f>IFERROR(__xludf.DUMMYFUNCTION("""COMPUTED_VALUE"""),"Fairgrove")</f>
        <v>Fairgrove</v>
      </c>
      <c r="C419" s="197">
        <f t="shared" si="1"/>
        <v>1</v>
      </c>
      <c r="D419" s="20" t="s">
        <v>2527</v>
      </c>
      <c r="E419" s="20">
        <v>1.0</v>
      </c>
    </row>
    <row r="420">
      <c r="A420" s="196"/>
      <c r="B420" s="197" t="str">
        <f>IFERROR(__xludf.DUMMYFUNCTION("""COMPUTED_VALUE"""),"Dryad")</f>
        <v>Dryad</v>
      </c>
      <c r="C420" s="197">
        <f t="shared" si="1"/>
        <v>1</v>
      </c>
      <c r="D420" s="20" t="s">
        <v>2528</v>
      </c>
      <c r="E420" s="20">
        <v>1.0</v>
      </c>
    </row>
    <row r="421">
      <c r="A421" s="196"/>
      <c r="B421" s="197" t="str">
        <f>IFERROR(__xludf.DUMMYFUNCTION("""COMPUTED_VALUE"""),"Fairy")</f>
        <v>Fairy</v>
      </c>
      <c r="C421" s="197">
        <f t="shared" si="1"/>
        <v>1</v>
      </c>
      <c r="D421" s="20" t="s">
        <v>2529</v>
      </c>
      <c r="E421" s="20">
        <v>1.0</v>
      </c>
    </row>
    <row r="422">
      <c r="A422" s="196" t="str">
        <f>IFERROR(__xludf.DUMMYFUNCTION("""COMPUTED_VALUE"""),"Fallen")</f>
        <v>Fallen</v>
      </c>
      <c r="B422" s="197" t="str">
        <f>IFERROR(__xludf.DUMMYFUNCTION("""COMPUTED_VALUE"""),"Fountain")</f>
        <v>Fountain</v>
      </c>
      <c r="C422" s="197">
        <f t="shared" si="1"/>
        <v>1</v>
      </c>
      <c r="D422" s="20" t="s">
        <v>1443</v>
      </c>
      <c r="E422" s="20">
        <v>1.0</v>
      </c>
    </row>
    <row r="423">
      <c r="A423" s="196" t="str">
        <f>IFERROR(__xludf.DUMMYFUNCTION("""COMPUTED_VALUE"""),"Angel")</f>
        <v>Angel</v>
      </c>
      <c r="B423" s="197" t="str">
        <f>IFERROR(__xludf.DUMMYFUNCTION("""COMPUTED_VALUE"""),"Harvest")</f>
        <v>Harvest</v>
      </c>
      <c r="C423" s="197">
        <f t="shared" si="1"/>
        <v>1</v>
      </c>
      <c r="D423" s="20" t="s">
        <v>2530</v>
      </c>
      <c r="E423" s="20">
        <v>1.0</v>
      </c>
    </row>
    <row r="424">
      <c r="A424" s="196"/>
      <c r="B424" s="197" t="str">
        <f>IFERROR(__xludf.DUMMYFUNCTION("""COMPUTED_VALUE"""),"Sanctifier")</f>
        <v>Sanctifier</v>
      </c>
      <c r="C424" s="197">
        <f t="shared" si="1"/>
        <v>1</v>
      </c>
      <c r="D424" s="20" t="s">
        <v>2531</v>
      </c>
      <c r="E424" s="20">
        <v>1.0</v>
      </c>
    </row>
    <row r="425">
      <c r="A425" s="196"/>
      <c r="B425" s="197" t="str">
        <f>IFERROR(__xludf.DUMMYFUNCTION("""COMPUTED_VALUE"""),"Goliath")</f>
        <v>Goliath</v>
      </c>
      <c r="C425" s="197">
        <f t="shared" si="1"/>
        <v>1</v>
      </c>
      <c r="D425" s="20" t="s">
        <v>2532</v>
      </c>
      <c r="E425" s="20">
        <v>1.0</v>
      </c>
    </row>
    <row r="426">
      <c r="A426" s="196"/>
      <c r="B426" s="197" t="str">
        <f>IFERROR(__xludf.DUMMYFUNCTION("""COMPUTED_VALUE"""),"Green")</f>
        <v>Green</v>
      </c>
      <c r="C426" s="197">
        <f t="shared" si="1"/>
        <v>2</v>
      </c>
      <c r="D426" s="20" t="s">
        <v>2533</v>
      </c>
      <c r="E426" s="20">
        <v>1.0</v>
      </c>
    </row>
    <row r="427">
      <c r="A427" s="196" t="str">
        <f>IFERROR(__xludf.DUMMYFUNCTION("""COMPUTED_VALUE"""),"Diamond")</f>
        <v>Diamond</v>
      </c>
      <c r="B427" s="197" t="str">
        <f>IFERROR(__xludf.DUMMYFUNCTION("""COMPUTED_VALUE"""),"Grizzly")</f>
        <v>Grizzly</v>
      </c>
      <c r="C427" s="197">
        <f t="shared" si="1"/>
        <v>1</v>
      </c>
      <c r="D427" s="20" t="s">
        <v>2534</v>
      </c>
      <c r="E427" s="20">
        <v>1.0</v>
      </c>
    </row>
    <row r="428">
      <c r="A428" s="196" t="str">
        <f>IFERROR(__xludf.DUMMYFUNCTION("""COMPUTED_VALUE"""),"Phantom")</f>
        <v>Phantom</v>
      </c>
      <c r="B428" s="197" t="str">
        <f>IFERROR(__xludf.DUMMYFUNCTION("""COMPUTED_VALUE"""),"Trap")</f>
        <v>Trap</v>
      </c>
      <c r="C428" s="197">
        <f t="shared" si="1"/>
        <v>1</v>
      </c>
      <c r="D428" s="20" t="s">
        <v>1463</v>
      </c>
      <c r="E428" s="20">
        <v>1.0</v>
      </c>
    </row>
    <row r="429">
      <c r="A429" s="196"/>
      <c r="B429" s="197" t="str">
        <f>IFERROR(__xludf.DUMMYFUNCTION("""COMPUTED_VALUE"""),"Volatile")</f>
        <v>Volatile</v>
      </c>
      <c r="C429" s="197">
        <f t="shared" si="1"/>
        <v>1</v>
      </c>
      <c r="D429" s="20" t="s">
        <v>2535</v>
      </c>
      <c r="E429" s="20">
        <v>1.0</v>
      </c>
    </row>
    <row r="430">
      <c r="A430" s="196"/>
      <c r="B430" s="197" t="str">
        <f>IFERROR(__xludf.DUMMYFUNCTION("""COMPUTED_VALUE"""),"Battlemage")</f>
        <v>Battlemage</v>
      </c>
      <c r="C430" s="197">
        <f t="shared" si="1"/>
        <v>1</v>
      </c>
      <c r="D430" s="20" t="s">
        <v>2536</v>
      </c>
      <c r="E430" s="20">
        <v>1.0</v>
      </c>
    </row>
    <row r="431">
      <c r="A431" s="196"/>
      <c r="B431" s="197" t="str">
        <f>IFERROR(__xludf.DUMMYFUNCTION("""COMPUTED_VALUE"""),"Ordinary")</f>
        <v>Ordinary</v>
      </c>
      <c r="C431" s="197">
        <f t="shared" si="1"/>
        <v>1</v>
      </c>
      <c r="D431" s="20" t="s">
        <v>2537</v>
      </c>
      <c r="E431" s="20">
        <v>1.0</v>
      </c>
    </row>
    <row r="432">
      <c r="A432" s="196" t="str">
        <f>IFERROR(__xludf.DUMMYFUNCTION("""COMPUTED_VALUE"""),"Draconic")</f>
        <v>Draconic</v>
      </c>
      <c r="B432" s="197" t="str">
        <f>IFERROR(__xludf.DUMMYFUNCTION("""COMPUTED_VALUE"""),"Flower")</f>
        <v>Flower</v>
      </c>
      <c r="C432" s="197">
        <f t="shared" si="1"/>
        <v>1</v>
      </c>
      <c r="D432" s="20" t="s">
        <v>2538</v>
      </c>
      <c r="E432" s="20">
        <v>1.0</v>
      </c>
    </row>
    <row r="433">
      <c r="A433" s="196" t="str">
        <f>IFERROR(__xludf.DUMMYFUNCTION("""COMPUTED_VALUE"""),"Highpriest")</f>
        <v>Highpriest</v>
      </c>
      <c r="B433" s="197" t="str">
        <f>IFERROR(__xludf.DUMMYFUNCTION("""COMPUTED_VALUE"""),"Pot")</f>
        <v>Pot</v>
      </c>
      <c r="C433" s="197">
        <f t="shared" si="1"/>
        <v>1</v>
      </c>
      <c r="D433" s="20" t="s">
        <v>2539</v>
      </c>
      <c r="E433" s="20">
        <v>1.0</v>
      </c>
    </row>
    <row r="434">
      <c r="A434" s="196"/>
      <c r="B434" s="197" t="str">
        <f>IFERROR(__xludf.DUMMYFUNCTION("""COMPUTED_VALUE"""),"Ancient")</f>
        <v>Ancient</v>
      </c>
      <c r="C434" s="197">
        <f t="shared" si="1"/>
        <v>3</v>
      </c>
      <c r="D434" s="20" t="s">
        <v>2540</v>
      </c>
      <c r="E434" s="20">
        <v>1.0</v>
      </c>
    </row>
    <row r="435">
      <c r="A435" s="196"/>
      <c r="B435" s="197" t="str">
        <f>IFERROR(__xludf.DUMMYFUNCTION("""COMPUTED_VALUE"""),"Scholar")</f>
        <v>Scholar</v>
      </c>
      <c r="C435" s="197">
        <f t="shared" si="1"/>
        <v>1</v>
      </c>
      <c r="D435" s="20" t="s">
        <v>2541</v>
      </c>
      <c r="E435" s="20">
        <v>1.0</v>
      </c>
    </row>
    <row r="436">
      <c r="A436" s="196"/>
      <c r="B436" s="197" t="str">
        <f>IFERROR(__xludf.DUMMYFUNCTION("""COMPUTED_VALUE"""),"Little")</f>
        <v>Little</v>
      </c>
      <c r="C436" s="197">
        <f t="shared" si="1"/>
        <v>1</v>
      </c>
      <c r="D436" s="20" t="s">
        <v>2542</v>
      </c>
      <c r="E436" s="20">
        <v>1.0</v>
      </c>
    </row>
    <row r="437">
      <c r="A437" s="196" t="str">
        <f>IFERROR(__xludf.DUMMYFUNCTION("""COMPUTED_VALUE"""),"Cavern")</f>
        <v>Cavern</v>
      </c>
      <c r="B437" s="197" t="str">
        <f>IFERROR(__xludf.DUMMYFUNCTION("""COMPUTED_VALUE"""),"Lamb")</f>
        <v>Lamb</v>
      </c>
      <c r="C437" s="197">
        <f t="shared" si="1"/>
        <v>1</v>
      </c>
      <c r="D437" s="20" t="s">
        <v>1483</v>
      </c>
      <c r="E437" s="20">
        <v>1.0</v>
      </c>
    </row>
    <row r="438">
      <c r="A438" s="196" t="str">
        <f>IFERROR(__xludf.DUMMYFUNCTION("""COMPUTED_VALUE"""),"Lindwurm")</f>
        <v>Lindwurm</v>
      </c>
      <c r="B438" s="197" t="str">
        <f>IFERROR(__xludf.DUMMYFUNCTION("""COMPUTED_VALUE"""),"Weaponized")</f>
        <v>Weaponized</v>
      </c>
      <c r="C438" s="197">
        <f t="shared" si="1"/>
        <v>1</v>
      </c>
      <c r="D438" s="20" t="s">
        <v>2543</v>
      </c>
      <c r="E438" s="20">
        <v>1.0</v>
      </c>
    </row>
    <row r="439">
      <c r="A439" s="196"/>
      <c r="B439" s="197" t="str">
        <f>IFERROR(__xludf.DUMMYFUNCTION("""COMPUTED_VALUE"""),"Pest")</f>
        <v>Pest</v>
      </c>
      <c r="C439" s="197">
        <f t="shared" si="1"/>
        <v>1</v>
      </c>
      <c r="D439" s="20" t="s">
        <v>2544</v>
      </c>
      <c r="E439" s="20">
        <v>1.0</v>
      </c>
    </row>
    <row r="440">
      <c r="A440" s="196"/>
      <c r="B440" s="197" t="str">
        <f>IFERROR(__xludf.DUMMYFUNCTION("""COMPUTED_VALUE"""),"Beastcaster")</f>
        <v>Beastcaster</v>
      </c>
      <c r="C440" s="197">
        <f t="shared" si="1"/>
        <v>1</v>
      </c>
      <c r="D440" s="20" t="s">
        <v>2545</v>
      </c>
      <c r="E440" s="20">
        <v>1.0</v>
      </c>
    </row>
    <row r="441">
      <c r="A441" s="196"/>
      <c r="B441" s="197" t="str">
        <f>IFERROR(__xludf.DUMMYFUNCTION("""COMPUTED_VALUE"""),"Trained")</f>
        <v>Trained</v>
      </c>
      <c r="C441" s="197">
        <f t="shared" si="1"/>
        <v>1</v>
      </c>
      <c r="D441" s="20" t="s">
        <v>1508</v>
      </c>
      <c r="E441" s="20">
        <v>1.0</v>
      </c>
    </row>
    <row r="442">
      <c r="A442" s="196" t="str">
        <f>IFERROR(__xludf.DUMMYFUNCTION("""COMPUTED_VALUE"""),"Cheerful")</f>
        <v>Cheerful</v>
      </c>
      <c r="B442" s="197" t="str">
        <f>IFERROR(__xludf.DUMMYFUNCTION("""COMPUTED_VALUE"""),"War")</f>
        <v>War</v>
      </c>
      <c r="C442" s="197">
        <f t="shared" si="1"/>
        <v>1</v>
      </c>
      <c r="D442" s="20" t="s">
        <v>2546</v>
      </c>
      <c r="E442" s="20">
        <v>1.0</v>
      </c>
    </row>
    <row r="443">
      <c r="A443" s="196" t="str">
        <f>IFERROR(__xludf.DUMMYFUNCTION("""COMPUTED_VALUE"""),"Pixies")</f>
        <v>Pixies</v>
      </c>
      <c r="B443" s="197" t="str">
        <f>IFERROR(__xludf.DUMMYFUNCTION("""COMPUTED_VALUE"""),"Elephant")</f>
        <v>Elephant</v>
      </c>
      <c r="C443" s="197">
        <f t="shared" si="1"/>
        <v>1</v>
      </c>
      <c r="D443" s="20" t="s">
        <v>2547</v>
      </c>
      <c r="E443" s="20">
        <v>1.0</v>
      </c>
    </row>
    <row r="444">
      <c r="A444" s="196"/>
      <c r="B444" s="197" t="str">
        <f>IFERROR(__xludf.DUMMYFUNCTION("""COMPUTED_VALUE"""),"Starborne")</f>
        <v>Starborne</v>
      </c>
      <c r="C444" s="197">
        <f t="shared" si="1"/>
        <v>1</v>
      </c>
      <c r="D444" s="20" t="s">
        <v>2548</v>
      </c>
      <c r="E444" s="20">
        <v>1.0</v>
      </c>
    </row>
    <row r="445">
      <c r="A445" s="196"/>
      <c r="B445" s="197" t="str">
        <f>IFERROR(__xludf.DUMMYFUNCTION("""COMPUTED_VALUE"""),"Kyudo")</f>
        <v>Kyudo</v>
      </c>
      <c r="C445" s="197">
        <f t="shared" si="1"/>
        <v>1</v>
      </c>
      <c r="D445" s="20" t="s">
        <v>2549</v>
      </c>
      <c r="E445" s="20">
        <v>1.0</v>
      </c>
    </row>
    <row r="446">
      <c r="A446" s="196"/>
      <c r="B446" s="197" t="str">
        <f>IFERROR(__xludf.DUMMYFUNCTION("""COMPUTED_VALUE"""),"Chalice")</f>
        <v>Chalice</v>
      </c>
      <c r="C446" s="197">
        <f t="shared" si="1"/>
        <v>1</v>
      </c>
      <c r="D446" s="20" t="s">
        <v>2550</v>
      </c>
      <c r="E446" s="20">
        <v>1.0</v>
      </c>
    </row>
    <row r="447">
      <c r="A447" s="196" t="str">
        <f>IFERROR(__xludf.DUMMYFUNCTION("""COMPUTED_VALUE"""),"Cinderguard")</f>
        <v>Cinderguard</v>
      </c>
      <c r="B447" s="197" t="str">
        <f>IFERROR(__xludf.DUMMYFUNCTION("""COMPUTED_VALUE"""),"Bloodbrewer")</f>
        <v>Bloodbrewer</v>
      </c>
      <c r="C447" s="197">
        <f t="shared" si="1"/>
        <v>1</v>
      </c>
      <c r="D447" s="20" t="s">
        <v>2551</v>
      </c>
      <c r="E447" s="20">
        <v>1.0</v>
      </c>
    </row>
    <row r="448">
      <c r="A448" s="196" t="str">
        <f>IFERROR(__xludf.DUMMYFUNCTION("""COMPUTED_VALUE"""),"Scribe")</f>
        <v>Scribe</v>
      </c>
      <c r="B448" s="197" t="str">
        <f>IFERROR(__xludf.DUMMYFUNCTION("""COMPUTED_VALUE"""),"Packhunting")</f>
        <v>Packhunting</v>
      </c>
      <c r="C448" s="197">
        <f t="shared" si="1"/>
        <v>1</v>
      </c>
      <c r="D448" s="20" t="s">
        <v>2552</v>
      </c>
      <c r="E448" s="20">
        <v>1.0</v>
      </c>
    </row>
    <row r="449">
      <c r="A449" s="196"/>
      <c r="B449" s="197" t="str">
        <f>IFERROR(__xludf.DUMMYFUNCTION("""COMPUTED_VALUE"""),"Crystalbeast")</f>
        <v>Crystalbeast</v>
      </c>
      <c r="C449" s="197">
        <f t="shared" si="1"/>
        <v>1</v>
      </c>
      <c r="D449" s="20" t="s">
        <v>2553</v>
      </c>
      <c r="E449" s="20">
        <v>1.0</v>
      </c>
    </row>
    <row r="450">
      <c r="A450" s="196"/>
      <c r="B450" s="197" t="str">
        <f>IFERROR(__xludf.DUMMYFUNCTION("""COMPUTED_VALUE"""),"Pebble")</f>
        <v>Pebble</v>
      </c>
      <c r="C450" s="197">
        <f t="shared" si="1"/>
        <v>1</v>
      </c>
      <c r="D450" s="20" t="s">
        <v>2554</v>
      </c>
      <c r="E450" s="20">
        <v>1.0</v>
      </c>
    </row>
    <row r="451">
      <c r="A451" s="196"/>
      <c r="B451" s="197" t="str">
        <f>IFERROR(__xludf.DUMMYFUNCTION("""COMPUTED_VALUE"""),"Gekko")</f>
        <v>Gekko</v>
      </c>
      <c r="C451" s="197">
        <f t="shared" si="1"/>
        <v>1</v>
      </c>
      <c r="D451" s="20" t="s">
        <v>2555</v>
      </c>
      <c r="E451" s="20">
        <v>1.0</v>
      </c>
    </row>
    <row r="452">
      <c r="A452" s="196" t="str">
        <f>IFERROR(__xludf.DUMMYFUNCTION("""COMPUTED_VALUE"""),"Daredevil")</f>
        <v>Daredevil</v>
      </c>
      <c r="B452" s="197" t="str">
        <f>IFERROR(__xludf.DUMMYFUNCTION("""COMPUTED_VALUE"""),"Platinum")</f>
        <v>Platinum</v>
      </c>
      <c r="C452" s="197">
        <f t="shared" si="1"/>
        <v>1</v>
      </c>
      <c r="D452" s="20" t="s">
        <v>2556</v>
      </c>
      <c r="E452" s="20">
        <v>1.0</v>
      </c>
    </row>
    <row r="453">
      <c r="A453" s="196" t="str">
        <f>IFERROR(__xludf.DUMMYFUNCTION("""COMPUTED_VALUE"""),"Duo")</f>
        <v>Duo</v>
      </c>
      <c r="B453" s="197" t="str">
        <f>IFERROR(__xludf.DUMMYFUNCTION("""COMPUTED_VALUE"""),"Ladybug")</f>
        <v>Ladybug</v>
      </c>
      <c r="C453" s="197">
        <f t="shared" si="1"/>
        <v>1</v>
      </c>
      <c r="D453" s="20" t="s">
        <v>2557</v>
      </c>
      <c r="E453" s="20">
        <v>1.0</v>
      </c>
    </row>
    <row r="454">
      <c r="A454" s="196"/>
      <c r="B454" s="197" t="str">
        <f>IFERROR(__xludf.DUMMYFUNCTION("""COMPUTED_VALUE"""),"Necromancer")</f>
        <v>Necromancer</v>
      </c>
      <c r="C454" s="197">
        <f t="shared" si="1"/>
        <v>1</v>
      </c>
      <c r="D454" s="20" t="s">
        <v>2558</v>
      </c>
      <c r="E454" s="20">
        <v>1.0</v>
      </c>
    </row>
    <row r="455">
      <c r="A455" s="196"/>
      <c r="B455" s="197" t="str">
        <f>IFERROR(__xludf.DUMMYFUNCTION("""COMPUTED_VALUE"""),"Pollen")</f>
        <v>Pollen</v>
      </c>
      <c r="C455" s="197">
        <f t="shared" si="1"/>
        <v>1</v>
      </c>
      <c r="D455" s="20" t="s">
        <v>2559</v>
      </c>
      <c r="E455" s="20">
        <v>1.0</v>
      </c>
    </row>
    <row r="456">
      <c r="A456" s="196"/>
      <c r="B456" s="197" t="str">
        <f>IFERROR(__xludf.DUMMYFUNCTION("""COMPUTED_VALUE"""),"Buzz")</f>
        <v>Buzz</v>
      </c>
      <c r="C456" s="197">
        <f t="shared" si="1"/>
        <v>1</v>
      </c>
      <c r="D456" s="20" t="s">
        <v>2560</v>
      </c>
      <c r="E456" s="20">
        <v>1.0</v>
      </c>
    </row>
    <row r="457">
      <c r="A457" s="196" t="str">
        <f>IFERROR(__xludf.DUMMYFUNCTION("""COMPUTED_VALUE"""),"Echo")</f>
        <v>Echo</v>
      </c>
      <c r="B457" s="197" t="str">
        <f>IFERROR(__xludf.DUMMYFUNCTION("""COMPUTED_VALUE"""),"Primal")</f>
        <v>Primal</v>
      </c>
      <c r="C457" s="197">
        <f t="shared" si="1"/>
        <v>1</v>
      </c>
      <c r="D457" s="20" t="s">
        <v>2561</v>
      </c>
      <c r="E457" s="20">
        <v>1.0</v>
      </c>
    </row>
    <row r="458">
      <c r="A458" s="196" t="str">
        <f>IFERROR(__xludf.DUMMYFUNCTION("""COMPUTED_VALUE"""),"Beetle")</f>
        <v>Beetle</v>
      </c>
      <c r="B458" s="197" t="str">
        <f>IFERROR(__xludf.DUMMYFUNCTION("""COMPUTED_VALUE"""),"Horde")</f>
        <v>Horde</v>
      </c>
      <c r="C458" s="197">
        <f t="shared" si="1"/>
        <v>1</v>
      </c>
      <c r="D458" s="20" t="s">
        <v>2562</v>
      </c>
      <c r="E458" s="20">
        <v>1.0</v>
      </c>
    </row>
    <row r="459">
      <c r="A459" s="196"/>
      <c r="B459" s="197" t="str">
        <f>IFERROR(__xludf.DUMMYFUNCTION("""COMPUTED_VALUE"""),"Prowling")</f>
        <v>Prowling</v>
      </c>
      <c r="C459" s="197">
        <f t="shared" si="1"/>
        <v>1</v>
      </c>
      <c r="D459" s="20" t="s">
        <v>2563</v>
      </c>
      <c r="E459" s="20">
        <v>1.0</v>
      </c>
    </row>
    <row r="460">
      <c r="A460" s="196"/>
      <c r="B460" s="197" t="str">
        <f>IFERROR(__xludf.DUMMYFUNCTION("""COMPUTED_VALUE"""),"Puma")</f>
        <v>Puma</v>
      </c>
      <c r="C460" s="197">
        <f t="shared" si="1"/>
        <v>1</v>
      </c>
      <c r="D460" s="20" t="s">
        <v>2564</v>
      </c>
      <c r="E460" s="20">
        <v>1.0</v>
      </c>
    </row>
    <row r="461">
      <c r="A461" s="196"/>
      <c r="B461" s="197" t="str">
        <f>IFERROR(__xludf.DUMMYFUNCTION("""COMPUTED_VALUE"""),"Crystal")</f>
        <v>Crystal</v>
      </c>
      <c r="C461" s="197">
        <f t="shared" si="1"/>
        <v>2</v>
      </c>
      <c r="D461" s="20" t="s">
        <v>1536</v>
      </c>
      <c r="E461" s="20">
        <v>1.0</v>
      </c>
    </row>
    <row r="462">
      <c r="A462" s="196" t="str">
        <f>IFERROR(__xludf.DUMMYFUNCTION("""COMPUTED_VALUE"""),"Ember")</f>
        <v>Ember</v>
      </c>
      <c r="B462" s="197" t="str">
        <f>IFERROR(__xludf.DUMMYFUNCTION("""COMPUTED_VALUE"""),"Catacombs")</f>
        <v>Catacombs</v>
      </c>
      <c r="C462" s="197">
        <f t="shared" si="1"/>
        <v>1</v>
      </c>
      <c r="D462" s="20" t="s">
        <v>2565</v>
      </c>
      <c r="E462" s="20">
        <v>1.0</v>
      </c>
    </row>
    <row r="463">
      <c r="A463" s="196" t="str">
        <f>IFERROR(__xludf.DUMMYFUNCTION("""COMPUTED_VALUE"""),"Whelp")</f>
        <v>Whelp</v>
      </c>
      <c r="B463" s="197" t="str">
        <f>IFERROR(__xludf.DUMMYFUNCTION("""COMPUTED_VALUE"""),"Aristocrat")</f>
        <v>Aristocrat</v>
      </c>
      <c r="C463" s="197">
        <f t="shared" si="1"/>
        <v>1</v>
      </c>
      <c r="D463" s="20" t="s">
        <v>2566</v>
      </c>
      <c r="E463" s="20">
        <v>1.0</v>
      </c>
    </row>
    <row r="464">
      <c r="A464" s="196"/>
      <c r="B464" s="197" t="str">
        <f>IFERROR(__xludf.DUMMYFUNCTION("""COMPUTED_VALUE"""),"Roar")</f>
        <v>Roar</v>
      </c>
      <c r="C464" s="197">
        <f t="shared" si="1"/>
        <v>1</v>
      </c>
      <c r="D464" s="20" t="s">
        <v>2567</v>
      </c>
      <c r="E464" s="20">
        <v>1.0</v>
      </c>
    </row>
    <row r="465">
      <c r="A465" s="196"/>
      <c r="B465" s="197" t="str">
        <f>IFERROR(__xludf.DUMMYFUNCTION("""COMPUTED_VALUE"""),"from")</f>
        <v>from</v>
      </c>
      <c r="C465" s="197">
        <f t="shared" si="1"/>
        <v>2</v>
      </c>
      <c r="D465" s="20" t="s">
        <v>2568</v>
      </c>
      <c r="E465" s="20">
        <v>1.0</v>
      </c>
    </row>
    <row r="466">
      <c r="A466" s="196"/>
      <c r="B466" s="197" t="str">
        <f>IFERROR(__xludf.DUMMYFUNCTION("""COMPUTED_VALUE"""),"Past")</f>
        <v>Past</v>
      </c>
      <c r="C466" s="197">
        <f t="shared" si="1"/>
        <v>1</v>
      </c>
      <c r="D466" s="20" t="s">
        <v>2569</v>
      </c>
      <c r="E466" s="20">
        <v>1.0</v>
      </c>
    </row>
    <row r="467">
      <c r="A467" s="196" t="str">
        <f>IFERROR(__xludf.DUMMYFUNCTION("""COMPUTED_VALUE"""),"Floating")</f>
        <v>Floating</v>
      </c>
      <c r="B467" s="197" t="str">
        <f>IFERROR(__xludf.DUMMYFUNCTION("""COMPUTED_VALUE"""),"Rootseed")</f>
        <v>Rootseed</v>
      </c>
      <c r="C467" s="197">
        <f t="shared" si="1"/>
        <v>1</v>
      </c>
      <c r="D467" s="20" t="s">
        <v>2570</v>
      </c>
      <c r="E467" s="20">
        <v>1.0</v>
      </c>
    </row>
    <row r="468">
      <c r="A468" s="196" t="str">
        <f>IFERROR(__xludf.DUMMYFUNCTION("""COMPUTED_VALUE"""),"Djinn")</f>
        <v>Djinn</v>
      </c>
      <c r="B468" s="197" t="str">
        <f>IFERROR(__xludf.DUMMYFUNCTION("""COMPUTED_VALUE"""),"Snapscale")</f>
        <v>Snapscale</v>
      </c>
      <c r="C468" s="197">
        <f t="shared" si="1"/>
        <v>1</v>
      </c>
      <c r="D468" s="20" t="s">
        <v>2571</v>
      </c>
      <c r="E468" s="20">
        <v>1.0</v>
      </c>
    </row>
    <row r="469">
      <c r="A469" s="196"/>
      <c r="B469" s="197" t="str">
        <f>IFERROR(__xludf.DUMMYFUNCTION("""COMPUTED_VALUE"""),"Alpha")</f>
        <v>Alpha</v>
      </c>
      <c r="C469" s="197">
        <f t="shared" si="1"/>
        <v>1</v>
      </c>
      <c r="D469" s="20" t="s">
        <v>2572</v>
      </c>
      <c r="E469" s="20">
        <v>1.0</v>
      </c>
    </row>
    <row r="470">
      <c r="A470" s="196"/>
      <c r="B470" s="197" t="str">
        <f>IFERROR(__xludf.DUMMYFUNCTION("""COMPUTED_VALUE"""),"Stampede")</f>
        <v>Stampede</v>
      </c>
      <c r="C470" s="197">
        <f t="shared" si="1"/>
        <v>1</v>
      </c>
      <c r="D470" s="20" t="s">
        <v>2573</v>
      </c>
      <c r="E470" s="20">
        <v>1.0</v>
      </c>
    </row>
    <row r="471">
      <c r="A471" s="196"/>
      <c r="B471" s="197" t="str">
        <f>IFERROR(__xludf.DUMMYFUNCTION("""COMPUTED_VALUE"""),"Amethyst")</f>
        <v>Amethyst</v>
      </c>
      <c r="C471" s="197">
        <f t="shared" si="1"/>
        <v>1</v>
      </c>
      <c r="D471" s="20" t="s">
        <v>2574</v>
      </c>
      <c r="E471" s="20">
        <v>1.0</v>
      </c>
    </row>
    <row r="472">
      <c r="A472" s="196" t="str">
        <f>IFERROR(__xludf.DUMMYFUNCTION("""COMPUTED_VALUE"""),"Dewdrop")</f>
        <v>Dewdrop</v>
      </c>
      <c r="B472" s="197" t="str">
        <f>IFERROR(__xludf.DUMMYFUNCTION("""COMPUTED_VALUE"""),"Argosaurus")</f>
        <v>Argosaurus</v>
      </c>
      <c r="C472" s="197">
        <f t="shared" si="1"/>
        <v>1</v>
      </c>
      <c r="D472" s="20" t="s">
        <v>2575</v>
      </c>
      <c r="E472" s="20">
        <v>1.0</v>
      </c>
    </row>
    <row r="473">
      <c r="A473" s="196" t="str">
        <f>IFERROR(__xludf.DUMMYFUNCTION("""COMPUTED_VALUE"""),"Sprite")</f>
        <v>Sprite</v>
      </c>
      <c r="B473" s="197" t="str">
        <f>IFERROR(__xludf.DUMMYFUNCTION("""COMPUTED_VALUE"""),"Astral")</f>
        <v>Astral</v>
      </c>
      <c r="C473" s="197">
        <f t="shared" si="1"/>
        <v>1</v>
      </c>
      <c r="D473" s="20" t="s">
        <v>2576</v>
      </c>
      <c r="E473" s="20">
        <v>1.0</v>
      </c>
    </row>
    <row r="474">
      <c r="A474" s="196"/>
      <c r="B474" s="197" t="str">
        <f>IFERROR(__xludf.DUMMYFUNCTION("""COMPUTED_VALUE"""),"Unicorn")</f>
        <v>Unicorn</v>
      </c>
      <c r="C474" s="197">
        <f t="shared" si="1"/>
        <v>1</v>
      </c>
      <c r="D474" s="20" t="s">
        <v>2577</v>
      </c>
      <c r="E474" s="20">
        <v>1.0</v>
      </c>
    </row>
    <row r="475">
      <c r="A475" s="196"/>
      <c r="B475" s="197" t="str">
        <f>IFERROR(__xludf.DUMMYFUNCTION("""COMPUTED_VALUE"""),"Spectra")</f>
        <v>Spectra</v>
      </c>
      <c r="C475" s="197">
        <f t="shared" si="1"/>
        <v>1</v>
      </c>
      <c r="D475" s="20" t="s">
        <v>1566</v>
      </c>
      <c r="E475" s="20">
        <v>1.0</v>
      </c>
    </row>
    <row r="476">
      <c r="A476" s="196"/>
      <c r="B476" s="197" t="str">
        <f>IFERROR(__xludf.DUMMYFUNCTION("""COMPUTED_VALUE"""),"Stick")</f>
        <v>Stick</v>
      </c>
      <c r="C476" s="197">
        <f t="shared" si="1"/>
        <v>1</v>
      </c>
      <c r="D476" s="20" t="s">
        <v>2578</v>
      </c>
      <c r="E476" s="20">
        <v>1.0</v>
      </c>
    </row>
    <row r="477">
      <c r="A477" s="196" t="str">
        <f>IFERROR(__xludf.DUMMYFUNCTION("""COMPUTED_VALUE"""),"Dragon")</f>
        <v>Dragon</v>
      </c>
      <c r="B477" s="197" t="str">
        <f>IFERROR(__xludf.DUMMYFUNCTION("""COMPUTED_VALUE"""),"Calming")</f>
        <v>Calming</v>
      </c>
      <c r="C477" s="197">
        <f t="shared" si="1"/>
        <v>1</v>
      </c>
      <c r="D477" s="20" t="s">
        <v>2579</v>
      </c>
      <c r="E477" s="20">
        <v>1.0</v>
      </c>
    </row>
    <row r="478">
      <c r="A478" s="196" t="str">
        <f>IFERROR(__xludf.DUMMYFUNCTION("""COMPUTED_VALUE"""),"Egg")</f>
        <v>Egg</v>
      </c>
      <c r="B478" s="197" t="str">
        <f>IFERROR(__xludf.DUMMYFUNCTION("""COMPUTED_VALUE"""),"Apparition")</f>
        <v>Apparition</v>
      </c>
      <c r="C478" s="197">
        <f t="shared" si="1"/>
        <v>1</v>
      </c>
      <c r="D478" s="20" t="s">
        <v>2580</v>
      </c>
      <c r="E478" s="20">
        <v>1.0</v>
      </c>
    </row>
    <row r="479">
      <c r="A479" s="196"/>
      <c r="B479" s="197" t="str">
        <f>IFERROR(__xludf.DUMMYFUNCTION("""COMPUTED_VALUE"""),"Sylvan")</f>
        <v>Sylvan</v>
      </c>
      <c r="C479" s="197">
        <f t="shared" si="1"/>
        <v>1</v>
      </c>
      <c r="D479" s="20" t="s">
        <v>2581</v>
      </c>
      <c r="E479" s="20">
        <v>1.0</v>
      </c>
    </row>
    <row r="480">
      <c r="A480" s="196"/>
      <c r="B480" s="197" t="str">
        <f>IFERROR(__xludf.DUMMYFUNCTION("""COMPUTED_VALUE"""),"Gamekeeper")</f>
        <v>Gamekeeper</v>
      </c>
      <c r="C480" s="197">
        <f t="shared" si="1"/>
        <v>1</v>
      </c>
      <c r="D480" s="20" t="s">
        <v>2582</v>
      </c>
      <c r="E480" s="20">
        <v>1.0</v>
      </c>
    </row>
    <row r="481">
      <c r="A481" s="196"/>
      <c r="B481" s="197" t="str">
        <f>IFERROR(__xludf.DUMMYFUNCTION("""COMPUTED_VALUE"""),"Tainted")</f>
        <v>Tainted</v>
      </c>
      <c r="C481" s="197">
        <f t="shared" si="1"/>
        <v>3</v>
      </c>
      <c r="D481" s="20" t="s">
        <v>2583</v>
      </c>
      <c r="E481" s="20">
        <v>1.0</v>
      </c>
    </row>
    <row r="482">
      <c r="A482" s="196" t="str">
        <f>IFERROR(__xludf.DUMMYFUNCTION("""COMPUTED_VALUE"""),"Dustdance")</f>
        <v>Dustdance</v>
      </c>
      <c r="B482" s="197" t="str">
        <f>IFERROR(__xludf.DUMMYFUNCTION("""COMPUTED_VALUE"""),"Jade")</f>
        <v>Jade</v>
      </c>
      <c r="C482" s="197">
        <f t="shared" si="1"/>
        <v>3</v>
      </c>
      <c r="D482" s="20" t="s">
        <v>2584</v>
      </c>
      <c r="E482" s="20">
        <v>1.0</v>
      </c>
    </row>
    <row r="483">
      <c r="A483" s="196" t="str">
        <f>IFERROR(__xludf.DUMMYFUNCTION("""COMPUTED_VALUE"""),"Efreet")</f>
        <v>Efreet</v>
      </c>
      <c r="B483" s="197" t="str">
        <f>IFERROR(__xludf.DUMMYFUNCTION("""COMPUTED_VALUE"""),"Monstrosity")</f>
        <v>Monstrosity</v>
      </c>
      <c r="C483" s="197">
        <f t="shared" si="1"/>
        <v>1</v>
      </c>
      <c r="D483" s="20" t="s">
        <v>2585</v>
      </c>
      <c r="E483" s="20">
        <v>1.0</v>
      </c>
    </row>
    <row r="484">
      <c r="A484" s="196"/>
      <c r="B484" s="197" t="str">
        <f>IFERROR(__xludf.DUMMYFUNCTION("""COMPUTED_VALUE"""),"Mycomancer")</f>
        <v>Mycomancer</v>
      </c>
      <c r="C484" s="197">
        <f t="shared" si="1"/>
        <v>1</v>
      </c>
      <c r="D484" s="20" t="s">
        <v>2586</v>
      </c>
      <c r="E484" s="20">
        <v>1.0</v>
      </c>
    </row>
    <row r="485">
      <c r="A485" s="196"/>
      <c r="B485" s="197" t="str">
        <f>IFERROR(__xludf.DUMMYFUNCTION("""COMPUTED_VALUE"""),"Matriarch")</f>
        <v>Matriarch</v>
      </c>
      <c r="C485" s="197">
        <f t="shared" si="1"/>
        <v>2</v>
      </c>
      <c r="D485" s="20" t="s">
        <v>2587</v>
      </c>
      <c r="E485" s="20">
        <v>1.0</v>
      </c>
    </row>
    <row r="486">
      <c r="A486" s="196"/>
      <c r="B486" s="197" t="str">
        <f>IFERROR(__xludf.DUMMYFUNCTION("""COMPUTED_VALUE"""),"Trickster")</f>
        <v>Trickster</v>
      </c>
      <c r="C486" s="197">
        <f t="shared" si="1"/>
        <v>2</v>
      </c>
      <c r="D486" s="20" t="s">
        <v>2588</v>
      </c>
      <c r="E486" s="20">
        <v>1.0</v>
      </c>
    </row>
    <row r="487">
      <c r="A487" s="196" t="str">
        <f>IFERROR(__xludf.DUMMYFUNCTION("""COMPUTED_VALUE"""),"Hermit")</f>
        <v>Hermit</v>
      </c>
      <c r="B487" s="197" t="str">
        <f>IFERROR(__xludf.DUMMYFUNCTION("""COMPUTED_VALUE"""),"Venomleaf")</f>
        <v>Venomleaf</v>
      </c>
      <c r="C487" s="197">
        <f t="shared" si="1"/>
        <v>1</v>
      </c>
      <c r="D487" s="20" t="s">
        <v>2589</v>
      </c>
      <c r="E487" s="20">
        <v>1.0</v>
      </c>
    </row>
    <row r="488">
      <c r="A488" s="196" t="str">
        <f>IFERROR(__xludf.DUMMYFUNCTION("""COMPUTED_VALUE"""),"of")</f>
        <v>of</v>
      </c>
      <c r="B488" s="197" t="str">
        <f>IFERROR(__xludf.DUMMYFUNCTION("""COMPUTED_VALUE"""),"Croaker")</f>
        <v>Croaker</v>
      </c>
      <c r="C488" s="197">
        <f t="shared" si="1"/>
        <v>1</v>
      </c>
      <c r="D488" s="20" t="s">
        <v>2590</v>
      </c>
      <c r="E488" s="20">
        <v>1.0</v>
      </c>
    </row>
    <row r="489">
      <c r="A489" s="196" t="str">
        <f>IFERROR(__xludf.DUMMYFUNCTION("""COMPUTED_VALUE"""),"the")</f>
        <v>the</v>
      </c>
      <c r="B489" s="197" t="str">
        <f>IFERROR(__xludf.DUMMYFUNCTION("""COMPUTED_VALUE"""),"Darkwood")</f>
        <v>Darkwood</v>
      </c>
      <c r="C489" s="197">
        <f t="shared" si="1"/>
        <v>1</v>
      </c>
      <c r="D489" s="20" t="s">
        <v>2591</v>
      </c>
      <c r="E489" s="20">
        <v>1.0</v>
      </c>
    </row>
    <row r="490">
      <c r="A490" s="196" t="str">
        <f>IFERROR(__xludf.DUMMYFUNCTION("""COMPUTED_VALUE"""),"Horizon")</f>
        <v>Horizon</v>
      </c>
      <c r="B490" s="197" t="str">
        <f>IFERROR(__xludf.DUMMYFUNCTION("""COMPUTED_VALUE"""),"Tracker")</f>
        <v>Tracker</v>
      </c>
      <c r="C490" s="197">
        <f t="shared" si="1"/>
        <v>1</v>
      </c>
      <c r="D490" s="20" t="s">
        <v>2592</v>
      </c>
      <c r="E490" s="20">
        <v>1.0</v>
      </c>
    </row>
    <row r="491">
      <c r="A491" s="196"/>
      <c r="B491" s="197" t="str">
        <f>IFERROR(__xludf.DUMMYFUNCTION("""COMPUTED_VALUE"""),"Verdant")</f>
        <v>Verdant</v>
      </c>
      <c r="C491" s="197">
        <f t="shared" si="1"/>
        <v>1</v>
      </c>
      <c r="D491" s="20" t="s">
        <v>2593</v>
      </c>
      <c r="E491" s="20">
        <v>1.0</v>
      </c>
    </row>
    <row r="492">
      <c r="A492" s="196" t="str">
        <f>IFERROR(__xludf.DUMMYFUNCTION("""COMPUTED_VALUE"""),"Roughlands")</f>
        <v>Roughlands</v>
      </c>
      <c r="B492" s="197" t="str">
        <f>IFERROR(__xludf.DUMMYFUNCTION("""COMPUTED_VALUE"""),"Sakura")</f>
        <v>Sakura</v>
      </c>
      <c r="C492" s="197">
        <f t="shared" si="1"/>
        <v>1</v>
      </c>
      <c r="D492" s="20" t="s">
        <v>2594</v>
      </c>
      <c r="E492" s="20">
        <v>1.0</v>
      </c>
    </row>
    <row r="493">
      <c r="A493" s="196" t="str">
        <f>IFERROR(__xludf.DUMMYFUNCTION("""COMPUTED_VALUE"""),"Scourge")</f>
        <v>Scourge</v>
      </c>
      <c r="B493" s="197" t="str">
        <f>IFERROR(__xludf.DUMMYFUNCTION("""COMPUTED_VALUE"""),"Forgotten")</f>
        <v>Forgotten</v>
      </c>
      <c r="C493" s="197">
        <f t="shared" si="1"/>
        <v>1</v>
      </c>
      <c r="D493" s="20" t="s">
        <v>2595</v>
      </c>
      <c r="E493" s="20">
        <v>1.0</v>
      </c>
    </row>
    <row r="494">
      <c r="A494" s="196"/>
      <c r="B494" s="197" t="str">
        <f>IFERROR(__xludf.DUMMYFUNCTION("""COMPUTED_VALUE"""),"Locust")</f>
        <v>Locust</v>
      </c>
      <c r="C494" s="197">
        <f t="shared" si="1"/>
        <v>1</v>
      </c>
      <c r="D494" s="20" t="s">
        <v>2596</v>
      </c>
      <c r="E494" s="20">
        <v>1.0</v>
      </c>
    </row>
    <row r="495">
      <c r="A495" s="196"/>
      <c r="B495" s="197" t="str">
        <f>IFERROR(__xludf.DUMMYFUNCTION("""COMPUTED_VALUE"""),"Swarm")</f>
        <v>Swarm</v>
      </c>
      <c r="C495" s="197">
        <f t="shared" si="1"/>
        <v>1</v>
      </c>
      <c r="D495" s="20" t="s">
        <v>2597</v>
      </c>
      <c r="E495" s="20">
        <v>1.0</v>
      </c>
    </row>
    <row r="496">
      <c r="A496" s="196"/>
      <c r="B496" s="197" t="str">
        <f>IFERROR(__xludf.DUMMYFUNCTION("""COMPUTED_VALUE"""),"Emerald")</f>
        <v>Emerald</v>
      </c>
      <c r="C496" s="197">
        <f t="shared" si="1"/>
        <v>1</v>
      </c>
      <c r="D496" s="20" t="s">
        <v>2598</v>
      </c>
      <c r="E496" s="20">
        <v>1.0</v>
      </c>
    </row>
    <row r="497">
      <c r="A497" s="196" t="str">
        <f>IFERROR(__xludf.DUMMYFUNCTION("""COMPUTED_VALUE"""),"Mirrorworld")</f>
        <v>Mirrorworld</v>
      </c>
      <c r="B497" s="197" t="str">
        <f>IFERROR(__xludf.DUMMYFUNCTION("""COMPUTED_VALUE"""),"Fang")</f>
        <v>Fang</v>
      </c>
      <c r="C497" s="197">
        <f t="shared" si="1"/>
        <v>1</v>
      </c>
      <c r="D497" s="20" t="s">
        <v>2599</v>
      </c>
      <c r="E497" s="20">
        <v>1.0</v>
      </c>
    </row>
    <row r="498">
      <c r="A498" s="196" t="str">
        <f>IFERROR(__xludf.DUMMYFUNCTION("""COMPUTED_VALUE"""),"Bloodseeker")</f>
        <v>Bloodseeker</v>
      </c>
      <c r="B498" s="197" t="str">
        <f>IFERROR(__xludf.DUMMYFUNCTION("""COMPUTED_VALUE"""),"Cobra")</f>
        <v>Cobra</v>
      </c>
      <c r="C498" s="197">
        <f t="shared" si="1"/>
        <v>1</v>
      </c>
      <c r="D498" s="20" t="s">
        <v>2600</v>
      </c>
      <c r="E498" s="20">
        <v>1.0</v>
      </c>
    </row>
    <row r="499">
      <c r="A499" s="196"/>
      <c r="B499" s="197" t="str">
        <f>IFERROR(__xludf.DUMMYFUNCTION("""COMPUTED_VALUE"""),"Entwining")</f>
        <v>Entwining</v>
      </c>
      <c r="C499" s="197">
        <f t="shared" si="1"/>
        <v>1</v>
      </c>
      <c r="D499" s="20" t="s">
        <v>2601</v>
      </c>
      <c r="E499" s="20">
        <v>1.0</v>
      </c>
    </row>
    <row r="500">
      <c r="A500" s="196"/>
      <c r="B500" s="197" t="str">
        <f>IFERROR(__xludf.DUMMYFUNCTION("""COMPUTED_VALUE"""),"Creeper")</f>
        <v>Creeper</v>
      </c>
      <c r="C500" s="197">
        <f t="shared" si="1"/>
        <v>2</v>
      </c>
      <c r="D500" s="20" t="s">
        <v>2602</v>
      </c>
      <c r="E500" s="20">
        <v>1.0</v>
      </c>
    </row>
    <row r="501">
      <c r="A501" s="196"/>
      <c r="B501" s="197" t="str">
        <f>IFERROR(__xludf.DUMMYFUNCTION("""COMPUTED_VALUE"""),"Jeweled")</f>
        <v>Jeweled</v>
      </c>
      <c r="C501" s="197">
        <f t="shared" si="1"/>
        <v>1</v>
      </c>
      <c r="D501" s="20" t="s">
        <v>2603</v>
      </c>
      <c r="E501" s="20">
        <v>1.0</v>
      </c>
    </row>
    <row r="502">
      <c r="A502" s="196" t="str">
        <f>IFERROR(__xludf.DUMMYFUNCTION("""COMPUTED_VALUE"""),"Mountain")</f>
        <v>Mountain</v>
      </c>
      <c r="B502" s="197" t="str">
        <f>IFERROR(__xludf.DUMMYFUNCTION("""COMPUTED_VALUE"""),"Triceratops")</f>
        <v>Triceratops</v>
      </c>
      <c r="C502" s="197">
        <f t="shared" si="1"/>
        <v>1</v>
      </c>
      <c r="D502" s="20" t="s">
        <v>2604</v>
      </c>
      <c r="E502" s="20">
        <v>1.0</v>
      </c>
    </row>
    <row r="503">
      <c r="A503" s="196" t="str">
        <f>IFERROR(__xludf.DUMMYFUNCTION("""COMPUTED_VALUE"""),"Sage")</f>
        <v>Sage</v>
      </c>
      <c r="B503" s="197" t="str">
        <f>IFERROR(__xludf.DUMMYFUNCTION("""COMPUTED_VALUE"""),"Jolly")</f>
        <v>Jolly</v>
      </c>
      <c r="C503" s="197">
        <f t="shared" si="1"/>
        <v>1</v>
      </c>
      <c r="D503" s="20" t="s">
        <v>2605</v>
      </c>
      <c r="E503" s="20">
        <v>1.0</v>
      </c>
    </row>
    <row r="504">
      <c r="A504" s="196"/>
      <c r="B504" s="197" t="str">
        <f>IFERROR(__xludf.DUMMYFUNCTION("""COMPUTED_VALUE"""),"Tamarin")</f>
        <v>Tamarin</v>
      </c>
      <c r="C504" s="197">
        <f t="shared" si="1"/>
        <v>1</v>
      </c>
      <c r="D504" s="20" t="s">
        <v>2606</v>
      </c>
      <c r="E504" s="20">
        <v>1.0</v>
      </c>
    </row>
    <row r="505">
      <c r="A505" s="196"/>
      <c r="B505" s="197" t="str">
        <f>IFERROR(__xludf.DUMMYFUNCTION("""COMPUTED_VALUE"""),"Leech")</f>
        <v>Leech</v>
      </c>
      <c r="C505" s="197">
        <f t="shared" si="1"/>
        <v>1</v>
      </c>
      <c r="D505" s="20" t="s">
        <v>2607</v>
      </c>
      <c r="E505" s="20">
        <v>1.0</v>
      </c>
    </row>
    <row r="506">
      <c r="A506" s="196"/>
      <c r="B506" s="197" t="str">
        <f>IFERROR(__xludf.DUMMYFUNCTION("""COMPUTED_VALUE"""),"Dragonfly")</f>
        <v>Dragonfly</v>
      </c>
      <c r="C506" s="197">
        <f t="shared" si="1"/>
        <v>1</v>
      </c>
      <c r="D506" s="20" t="s">
        <v>2608</v>
      </c>
      <c r="E506" s="20">
        <v>1.0</v>
      </c>
    </row>
    <row r="507">
      <c r="A507" s="196" t="str">
        <f>IFERROR(__xludf.DUMMYFUNCTION("""COMPUTED_VALUE"""),"Nimbus")</f>
        <v>Nimbus</v>
      </c>
      <c r="B507" s="197" t="str">
        <f>IFERROR(__xludf.DUMMYFUNCTION("""COMPUTED_VALUE"""),"Nurseplant")</f>
        <v>Nurseplant</v>
      </c>
      <c r="C507" s="197">
        <f t="shared" si="1"/>
        <v>1</v>
      </c>
      <c r="D507" s="20" t="s">
        <v>2609</v>
      </c>
      <c r="E507" s="20">
        <v>1.0</v>
      </c>
    </row>
    <row r="508">
      <c r="A508" s="196" t="str">
        <f>IFERROR(__xludf.DUMMYFUNCTION("""COMPUTED_VALUE"""),"Claw")</f>
        <v>Claw</v>
      </c>
      <c r="B508" s="197" t="str">
        <f>IFERROR(__xludf.DUMMYFUNCTION("""COMPUTED_VALUE"""),"Bloodthrone")</f>
        <v>Bloodthrone</v>
      </c>
      <c r="C508" s="197">
        <f t="shared" si="1"/>
        <v>3</v>
      </c>
      <c r="D508" s="20" t="s">
        <v>2610</v>
      </c>
      <c r="E508" s="20">
        <v>1.0</v>
      </c>
    </row>
    <row r="509">
      <c r="A509" s="196"/>
      <c r="B509" s="197" t="str">
        <f>IFERROR(__xludf.DUMMYFUNCTION("""COMPUTED_VALUE"""),"Nurturing")</f>
        <v>Nurturing</v>
      </c>
      <c r="C509" s="197">
        <f t="shared" si="1"/>
        <v>1</v>
      </c>
      <c r="D509" s="20" t="s">
        <v>2611</v>
      </c>
      <c r="E509" s="20">
        <v>1.0</v>
      </c>
    </row>
    <row r="510">
      <c r="A510" s="196"/>
      <c r="B510" s="197" t="str">
        <f>IFERROR(__xludf.DUMMYFUNCTION("""COMPUTED_VALUE"""),"Rootsaurus")</f>
        <v>Rootsaurus</v>
      </c>
      <c r="C510" s="197">
        <f t="shared" si="1"/>
        <v>1</v>
      </c>
      <c r="D510" s="20" t="s">
        <v>2612</v>
      </c>
      <c r="E510" s="20">
        <v>1.0</v>
      </c>
    </row>
    <row r="511">
      <c r="A511" s="196"/>
      <c r="B511" s="197" t="str">
        <f>IFERROR(__xludf.DUMMYFUNCTION("""COMPUTED_VALUE"""),"Carnage")</f>
        <v>Carnage</v>
      </c>
      <c r="C511" s="197">
        <f t="shared" si="1"/>
        <v>1</v>
      </c>
      <c r="D511" s="20" t="s">
        <v>2613</v>
      </c>
      <c r="E511" s="20">
        <v>1.0</v>
      </c>
    </row>
    <row r="512">
      <c r="A512" s="196" t="str">
        <f>IFERROR(__xludf.DUMMYFUNCTION("""COMPUTED_VALUE"""),"Omen")</f>
        <v>Omen</v>
      </c>
      <c r="B512" s="197" t="str">
        <f>IFERROR(__xludf.DUMMYFUNCTION("""COMPUTED_VALUE"""),"Hornet")</f>
        <v>Hornet</v>
      </c>
      <c r="C512" s="197">
        <f t="shared" si="1"/>
        <v>1</v>
      </c>
      <c r="D512" s="20" t="s">
        <v>2614</v>
      </c>
      <c r="E512" s="20">
        <v>1.0</v>
      </c>
    </row>
    <row r="513">
      <c r="A513" s="196" t="str">
        <f>IFERROR(__xludf.DUMMYFUNCTION("""COMPUTED_VALUE"""),"Firefly")</f>
        <v>Firefly</v>
      </c>
      <c r="B513" s="197" t="str">
        <f>IFERROR(__xludf.DUMMYFUNCTION("""COMPUTED_VALUE"""),"Champion")</f>
        <v>Champion</v>
      </c>
      <c r="C513" s="197">
        <f t="shared" si="1"/>
        <v>1</v>
      </c>
      <c r="D513" s="20" t="s">
        <v>2615</v>
      </c>
      <c r="E513" s="20">
        <v>1.0</v>
      </c>
    </row>
    <row r="514">
      <c r="A514" s="196"/>
      <c r="B514" s="197" t="str">
        <f>IFERROR(__xludf.DUMMYFUNCTION("""COMPUTED_VALUE"""),"Hell")</f>
        <v>Hell</v>
      </c>
      <c r="C514" s="197">
        <f t="shared" si="1"/>
        <v>1</v>
      </c>
      <c r="D514" s="20" t="s">
        <v>2616</v>
      </c>
      <c r="E514" s="20">
        <v>1.0</v>
      </c>
    </row>
    <row r="515">
      <c r="A515" s="196"/>
      <c r="B515" s="197" t="str">
        <f>IFERROR(__xludf.DUMMYFUNCTION("""COMPUTED_VALUE"""),"Colorgorger")</f>
        <v>Colorgorger</v>
      </c>
      <c r="C515" s="197">
        <f t="shared" si="1"/>
        <v>1</v>
      </c>
      <c r="D515" s="20" t="s">
        <v>2617</v>
      </c>
      <c r="E515" s="20">
        <v>1.0</v>
      </c>
    </row>
    <row r="516">
      <c r="A516" s="196"/>
      <c r="B516" s="197" t="str">
        <f>IFERROR(__xludf.DUMMYFUNCTION("""COMPUTED_VALUE"""),"Dark")</f>
        <v>Dark</v>
      </c>
      <c r="C516" s="197">
        <f t="shared" si="1"/>
        <v>1</v>
      </c>
      <c r="D516" s="20" t="s">
        <v>2618</v>
      </c>
      <c r="E516" s="20">
        <v>1.0</v>
      </c>
    </row>
    <row r="517">
      <c r="A517" s="196" t="str">
        <f>IFERROR(__xludf.DUMMYFUNCTION("""COMPUTED_VALUE"""),"Pixie")</f>
        <v>Pixie</v>
      </c>
      <c r="B517" s="197" t="str">
        <f>IFERROR(__xludf.DUMMYFUNCTION("""COMPUTED_VALUE"""),"Spoon")</f>
        <v>Spoon</v>
      </c>
      <c r="C517" s="197">
        <f t="shared" si="1"/>
        <v>1</v>
      </c>
      <c r="D517" s="20" t="s">
        <v>2619</v>
      </c>
      <c r="E517" s="20">
        <v>1.0</v>
      </c>
    </row>
    <row r="518">
      <c r="A518" s="196" t="str">
        <f>IFERROR(__xludf.DUMMYFUNCTION("""COMPUTED_VALUE"""),"Summoner")</f>
        <v>Summoner</v>
      </c>
      <c r="B518" s="197" t="str">
        <f>IFERROR(__xludf.DUMMYFUNCTION("""COMPUTED_VALUE"""),"Dawnbreak")</f>
        <v>Dawnbreak</v>
      </c>
      <c r="C518" s="197">
        <f t="shared" si="1"/>
        <v>1</v>
      </c>
      <c r="D518" s="20" t="s">
        <v>2620</v>
      </c>
      <c r="E518" s="20">
        <v>1.0</v>
      </c>
    </row>
    <row r="519">
      <c r="A519" s="196"/>
      <c r="B519" s="197" t="str">
        <f>IFERROR(__xludf.DUMMYFUNCTION("""COMPUTED_VALUE"""),"Wendigo")</f>
        <v>Wendigo</v>
      </c>
      <c r="C519" s="197">
        <f t="shared" si="1"/>
        <v>1</v>
      </c>
      <c r="D519" s="20" t="s">
        <v>2621</v>
      </c>
      <c r="E519" s="20">
        <v>1.0</v>
      </c>
    </row>
    <row r="520">
      <c r="A520" s="196"/>
      <c r="B520" s="197" t="str">
        <f>IFERROR(__xludf.DUMMYFUNCTION("""COMPUTED_VALUE"""),"Depthdragger")</f>
        <v>Depthdragger</v>
      </c>
      <c r="C520" s="197">
        <f t="shared" si="1"/>
        <v>1</v>
      </c>
      <c r="D520" s="20" t="s">
        <v>2622</v>
      </c>
      <c r="E520" s="20">
        <v>1.0</v>
      </c>
    </row>
    <row r="521">
      <c r="A521" s="196"/>
      <c r="B521" s="197" t="str">
        <f>IFERROR(__xludf.DUMMYFUNCTION("""COMPUTED_VALUE"""),"Discarded")</f>
        <v>Discarded</v>
      </c>
      <c r="C521" s="197">
        <f t="shared" si="1"/>
        <v>1</v>
      </c>
      <c r="D521" s="20" t="s">
        <v>1659</v>
      </c>
      <c r="E521" s="20">
        <v>1.0</v>
      </c>
    </row>
    <row r="522">
      <c r="A522" s="196" t="str">
        <f>IFERROR(__xludf.DUMMYFUNCTION("""COMPUTED_VALUE"""),"Pyretic")</f>
        <v>Pyretic</v>
      </c>
      <c r="B522" s="197" t="str">
        <f>IFERROR(__xludf.DUMMYFUNCTION("""COMPUTED_VALUE"""),"Abomination")</f>
        <v>Abomination</v>
      </c>
      <c r="C522" s="197">
        <f t="shared" si="1"/>
        <v>2</v>
      </c>
      <c r="D522" s="20" t="s">
        <v>2623</v>
      </c>
      <c r="E522" s="20">
        <v>1.0</v>
      </c>
    </row>
    <row r="523">
      <c r="A523" s="196" t="str">
        <f>IFERROR(__xludf.DUMMYFUNCTION("""COMPUTED_VALUE"""),"Pet")</f>
        <v>Pet</v>
      </c>
      <c r="B523" s="197" t="str">
        <f>IFERROR(__xludf.DUMMYFUNCTION("""COMPUTED_VALUE"""),"Doomgaze")</f>
        <v>Doomgaze</v>
      </c>
      <c r="C523" s="197">
        <f t="shared" si="1"/>
        <v>1</v>
      </c>
      <c r="D523" s="20" t="s">
        <v>2624</v>
      </c>
      <c r="E523" s="20">
        <v>1.0</v>
      </c>
    </row>
    <row r="524">
      <c r="A524" s="196"/>
      <c r="B524" s="197" t="str">
        <f>IFERROR(__xludf.DUMMYFUNCTION("""COMPUTED_VALUE"""),"Dread")</f>
        <v>Dread</v>
      </c>
      <c r="C524" s="197">
        <f t="shared" si="1"/>
        <v>2</v>
      </c>
      <c r="D524" s="20" t="s">
        <v>2625</v>
      </c>
      <c r="E524" s="20">
        <v>1.0</v>
      </c>
    </row>
    <row r="525">
      <c r="A525" s="196"/>
      <c r="B525" s="197" t="str">
        <f>IFERROR(__xludf.DUMMYFUNCTION("""COMPUTED_VALUE"""),"Cryptlord")</f>
        <v>Cryptlord</v>
      </c>
      <c r="C525" s="197">
        <f t="shared" si="1"/>
        <v>1</v>
      </c>
      <c r="D525" s="20" t="s">
        <v>2626</v>
      </c>
      <c r="E525" s="20">
        <v>1.0</v>
      </c>
    </row>
    <row r="526">
      <c r="A526" s="196"/>
      <c r="B526" s="197" t="str">
        <f>IFERROR(__xludf.DUMMYFUNCTION("""COMPUTED_VALUE"""),"Nutrient")</f>
        <v>Nutrient</v>
      </c>
      <c r="C526" s="197">
        <f t="shared" si="1"/>
        <v>1</v>
      </c>
      <c r="D526" s="20" t="s">
        <v>2627</v>
      </c>
      <c r="E526" s="20">
        <v>1.0</v>
      </c>
    </row>
    <row r="527">
      <c r="A527" s="196" t="str">
        <f>IFERROR(__xludf.DUMMYFUNCTION("""COMPUTED_VALUE"""),"Shifting")</f>
        <v>Shifting</v>
      </c>
      <c r="B527" s="197" t="str">
        <f>IFERROR(__xludf.DUMMYFUNCTION("""COMPUTED_VALUE"""),"Nexus")</f>
        <v>Nexus</v>
      </c>
      <c r="C527" s="197">
        <f t="shared" si="1"/>
        <v>2</v>
      </c>
      <c r="D527" s="20" t="s">
        <v>2628</v>
      </c>
      <c r="E527" s="20">
        <v>1.0</v>
      </c>
    </row>
    <row r="528">
      <c r="A528" s="196" t="str">
        <f>IFERROR(__xludf.DUMMYFUNCTION("""COMPUTED_VALUE"""),"Sands")</f>
        <v>Sands</v>
      </c>
      <c r="B528" s="197" t="str">
        <f>IFERROR(__xludf.DUMMYFUNCTION("""COMPUTED_VALUE"""),"Fatepeek")</f>
        <v>Fatepeek</v>
      </c>
      <c r="C528" s="197">
        <f t="shared" si="1"/>
        <v>1</v>
      </c>
      <c r="D528" s="20" t="s">
        <v>1680</v>
      </c>
      <c r="E528" s="20">
        <v>1.0</v>
      </c>
    </row>
    <row r="529">
      <c r="A529" s="196"/>
      <c r="B529" s="197" t="str">
        <f>IFERROR(__xludf.DUMMYFUNCTION("""COMPUTED_VALUE"""),"Imp")</f>
        <v>Imp</v>
      </c>
      <c r="C529" s="197">
        <f t="shared" si="1"/>
        <v>2</v>
      </c>
      <c r="D529" s="20" t="s">
        <v>2629</v>
      </c>
      <c r="E529" s="20">
        <v>1.0</v>
      </c>
    </row>
    <row r="530">
      <c r="A530" s="196"/>
      <c r="B530" s="197" t="str">
        <f>IFERROR(__xludf.DUMMYFUNCTION("""COMPUTED_VALUE"""),"Eyed")</f>
        <v>Eyed</v>
      </c>
      <c r="C530" s="197">
        <f t="shared" si="1"/>
        <v>1</v>
      </c>
      <c r="D530" s="20" t="s">
        <v>2630</v>
      </c>
      <c r="E530" s="20">
        <v>1.0</v>
      </c>
    </row>
    <row r="531">
      <c r="A531" s="196"/>
      <c r="B531" s="197" t="str">
        <f>IFERROR(__xludf.DUMMYFUNCTION("""COMPUTED_VALUE"""),"Plunderpillar")</f>
        <v>Plunderpillar</v>
      </c>
      <c r="C531" s="197">
        <f t="shared" si="1"/>
        <v>1</v>
      </c>
      <c r="D531" s="20" t="s">
        <v>2631</v>
      </c>
      <c r="E531" s="20">
        <v>1.0</v>
      </c>
    </row>
    <row r="532">
      <c r="A532" s="196" t="str">
        <f>IFERROR(__xludf.DUMMYFUNCTION("""COMPUTED_VALUE"""),"Torii")</f>
        <v>Torii</v>
      </c>
      <c r="B532" s="197" t="str">
        <f>IFERROR(__xludf.DUMMYFUNCTION("""COMPUTED_VALUE"""),"Raptor")</f>
        <v>Raptor</v>
      </c>
      <c r="C532" s="197">
        <f t="shared" si="1"/>
        <v>1</v>
      </c>
      <c r="D532" s="20" t="s">
        <v>2632</v>
      </c>
      <c r="E532" s="20">
        <v>1.0</v>
      </c>
    </row>
    <row r="533">
      <c r="A533" s="196" t="str">
        <f>IFERROR(__xludf.DUMMYFUNCTION("""COMPUTED_VALUE"""),"Spirit")</f>
        <v>Spirit</v>
      </c>
      <c r="B533" s="197" t="str">
        <f>IFERROR(__xludf.DUMMYFUNCTION("""COMPUTED_VALUE"""),"Pack")</f>
        <v>Pack</v>
      </c>
      <c r="C533" s="197">
        <f t="shared" si="1"/>
        <v>1</v>
      </c>
      <c r="D533" s="20" t="s">
        <v>1692</v>
      </c>
      <c r="E533" s="20">
        <v>1.0</v>
      </c>
    </row>
    <row r="534">
      <c r="A534" s="196"/>
      <c r="B534" s="197" t="str">
        <f>IFERROR(__xludf.DUMMYFUNCTION("""COMPUTED_VALUE"""),"Saurian")</f>
        <v>Saurian</v>
      </c>
      <c r="C534" s="197">
        <f t="shared" si="1"/>
        <v>1</v>
      </c>
      <c r="D534" s="20" t="s">
        <v>2633</v>
      </c>
      <c r="E534" s="20">
        <v>1.0</v>
      </c>
    </row>
    <row r="535">
      <c r="A535" s="196"/>
      <c r="B535" s="197" t="str">
        <f>IFERROR(__xludf.DUMMYFUNCTION("""COMPUTED_VALUE"""),"Wraith")</f>
        <v>Wraith</v>
      </c>
      <c r="C535" s="197">
        <f t="shared" si="1"/>
        <v>1</v>
      </c>
      <c r="D535" s="20" t="s">
        <v>2634</v>
      </c>
      <c r="E535" s="20">
        <v>1.0</v>
      </c>
    </row>
    <row r="536">
      <c r="A536" s="196"/>
      <c r="B536" s="197" t="str">
        <f>IFERROR(__xludf.DUMMYFUNCTION("""COMPUTED_VALUE"""),"Gravebound")</f>
        <v>Gravebound</v>
      </c>
      <c r="C536" s="197">
        <f t="shared" si="1"/>
        <v>1</v>
      </c>
      <c r="D536" s="20" t="s">
        <v>2635</v>
      </c>
      <c r="E536" s="20">
        <v>1.0</v>
      </c>
    </row>
    <row r="537">
      <c r="A537" s="196" t="str">
        <f>IFERROR(__xludf.DUMMYFUNCTION("""COMPUTED_VALUE"""),"Red")</f>
        <v>Red</v>
      </c>
      <c r="B537" s="197" t="str">
        <f>IFERROR(__xludf.DUMMYFUNCTION("""COMPUTED_VALUE"""),"Ghoul")</f>
        <v>Ghoul</v>
      </c>
      <c r="C537" s="197">
        <f t="shared" si="1"/>
        <v>1</v>
      </c>
      <c r="D537" s="20" t="s">
        <v>2636</v>
      </c>
      <c r="E537" s="20">
        <v>1.0</v>
      </c>
    </row>
    <row r="538">
      <c r="A538" s="196" t="str">
        <f>IFERROR(__xludf.DUMMYFUNCTION("""COMPUTED_VALUE"""),"Crusader")</f>
        <v>Crusader</v>
      </c>
      <c r="B538" s="197" t="str">
        <f>IFERROR(__xludf.DUMMYFUNCTION("""COMPUTED_VALUE"""),"Graverobber")</f>
        <v>Graverobber</v>
      </c>
      <c r="C538" s="197">
        <f t="shared" si="1"/>
        <v>1</v>
      </c>
      <c r="D538" s="20" t="s">
        <v>2637</v>
      </c>
      <c r="E538" s="20">
        <v>1.0</v>
      </c>
    </row>
    <row r="539">
      <c r="A539" s="196"/>
      <c r="B539" s="197" t="str">
        <f>IFERROR(__xludf.DUMMYFUNCTION("""COMPUTED_VALUE"""),"Greedspawn")</f>
        <v>Greedspawn</v>
      </c>
      <c r="C539" s="197">
        <f t="shared" si="1"/>
        <v>1</v>
      </c>
      <c r="D539" s="20" t="s">
        <v>2638</v>
      </c>
      <c r="E539" s="20">
        <v>1.0</v>
      </c>
    </row>
    <row r="540">
      <c r="A540" s="196"/>
      <c r="B540" s="197" t="str">
        <f>IFERROR(__xludf.DUMMYFUNCTION("""COMPUTED_VALUE"""),"Grim")</f>
        <v>Grim</v>
      </c>
      <c r="C540" s="197">
        <f t="shared" si="1"/>
        <v>1</v>
      </c>
      <c r="D540" s="20" t="s">
        <v>1713</v>
      </c>
      <c r="E540" s="20">
        <v>1.0</v>
      </c>
    </row>
    <row r="541">
      <c r="A541" s="196"/>
      <c r="B541" s="197" t="str">
        <f>IFERROR(__xludf.DUMMYFUNCTION("""COMPUTED_VALUE"""),"Shadowpounce")</f>
        <v>Shadowpounce</v>
      </c>
      <c r="C541" s="197">
        <f t="shared" si="1"/>
        <v>1</v>
      </c>
      <c r="D541" s="20" t="s">
        <v>2639</v>
      </c>
      <c r="E541" s="20">
        <v>1.0</v>
      </c>
    </row>
    <row r="542">
      <c r="A542" s="196" t="str">
        <f>IFERROR(__xludf.DUMMYFUNCTION("""COMPUTED_VALUE"""),"Windkite")</f>
        <v>Windkite</v>
      </c>
      <c r="B542" s="197" t="str">
        <f>IFERROR(__xludf.DUMMYFUNCTION("""COMPUTED_VALUE"""),"Panther")</f>
        <v>Panther</v>
      </c>
      <c r="C542" s="197">
        <f t="shared" si="1"/>
        <v>1</v>
      </c>
      <c r="D542" s="20" t="s">
        <v>2640</v>
      </c>
      <c r="E542" s="20">
        <v>1.0</v>
      </c>
    </row>
    <row r="543">
      <c r="A543" s="196" t="str">
        <f>IFERROR(__xludf.DUMMYFUNCTION("""COMPUTED_VALUE"""),"Acolyte")</f>
        <v>Acolyte</v>
      </c>
      <c r="B543" s="197" t="str">
        <f>IFERROR(__xludf.DUMMYFUNCTION("""COMPUTED_VALUE"""),"Shardtooth")</f>
        <v>Shardtooth</v>
      </c>
      <c r="C543" s="197">
        <f t="shared" si="1"/>
        <v>1</v>
      </c>
      <c r="D543" s="20" t="s">
        <v>2641</v>
      </c>
      <c r="E543" s="20">
        <v>1.0</v>
      </c>
    </row>
    <row r="544">
      <c r="A544" s="196"/>
      <c r="B544" s="197" t="str">
        <f>IFERROR(__xludf.DUMMYFUNCTION("""COMPUTED_VALUE"""),"Hungry")</f>
        <v>Hungry</v>
      </c>
      <c r="C544" s="197">
        <f t="shared" si="1"/>
        <v>1</v>
      </c>
      <c r="D544" s="20" t="s">
        <v>2642</v>
      </c>
      <c r="E544" s="20">
        <v>1.0</v>
      </c>
    </row>
    <row r="545">
      <c r="A545" s="196"/>
      <c r="B545" s="197" t="str">
        <f>IFERROR(__xludf.DUMMYFUNCTION("""COMPUTED_VALUE"""),"Shambler")</f>
        <v>Shambler</v>
      </c>
      <c r="C545" s="197">
        <f t="shared" si="1"/>
        <v>1</v>
      </c>
      <c r="D545" s="20" t="s">
        <v>2643</v>
      </c>
      <c r="E545" s="20">
        <v>1.0</v>
      </c>
    </row>
    <row r="546">
      <c r="A546" s="196"/>
      <c r="B546" s="197" t="str">
        <f>IFERROR(__xludf.DUMMYFUNCTION("""COMPUTED_VALUE"""),"Sunflower")</f>
        <v>Sunflower</v>
      </c>
      <c r="C546" s="197">
        <f t="shared" si="1"/>
        <v>1</v>
      </c>
      <c r="D546" s="20" t="s">
        <v>2644</v>
      </c>
      <c r="E546" s="20">
        <v>1.0</v>
      </c>
    </row>
    <row r="547">
      <c r="A547" s="196" t="str">
        <f>IFERROR(__xludf.DUMMYFUNCTION("""COMPUTED_VALUE"""),"Blood")</f>
        <v>Blood</v>
      </c>
      <c r="B547" s="197" t="str">
        <f>IFERROR(__xludf.DUMMYFUNCTION("""COMPUTED_VALUE"""),"Tiger")</f>
        <v>Tiger</v>
      </c>
      <c r="C547" s="197">
        <f t="shared" si="1"/>
        <v>1</v>
      </c>
      <c r="D547" s="20" t="s">
        <v>1725</v>
      </c>
      <c r="E547" s="20">
        <v>1.0</v>
      </c>
    </row>
    <row r="548">
      <c r="A548" s="196" t="str">
        <f>IFERROR(__xludf.DUMMYFUNCTION("""COMPUTED_VALUE"""),"Moon")</f>
        <v>Moon</v>
      </c>
      <c r="B548" s="197" t="str">
        <f>IFERROR(__xludf.DUMMYFUNCTION("""COMPUTED_VALUE"""),"Meekbone")</f>
        <v>Meekbone</v>
      </c>
      <c r="C548" s="197">
        <f t="shared" si="1"/>
        <v>1</v>
      </c>
      <c r="D548" s="20" t="s">
        <v>1729</v>
      </c>
      <c r="E548" s="20">
        <v>1.0</v>
      </c>
    </row>
    <row r="549">
      <c r="A549" s="196" t="str">
        <f>IFERROR(__xludf.DUMMYFUNCTION("""COMPUTED_VALUE"""),"Scarab")</f>
        <v>Scarab</v>
      </c>
      <c r="B549" s="197" t="str">
        <f>IFERROR(__xludf.DUMMYFUNCTION("""COMPUTED_VALUE"""),"Soldier")</f>
        <v>Soldier</v>
      </c>
      <c r="C549" s="197">
        <f t="shared" si="1"/>
        <v>1</v>
      </c>
      <c r="D549" s="20" t="s">
        <v>2645</v>
      </c>
      <c r="E549" s="20">
        <v>1.0</v>
      </c>
    </row>
    <row r="550">
      <c r="A550" s="196"/>
      <c r="B550" s="197" t="str">
        <f>IFERROR(__xludf.DUMMYFUNCTION("""COMPUTED_VALUE"""),"Monarch")</f>
        <v>Monarch</v>
      </c>
      <c r="C550" s="197">
        <f t="shared" si="1"/>
        <v>1</v>
      </c>
      <c r="D550" s="20" t="s">
        <v>2646</v>
      </c>
      <c r="E550" s="20">
        <v>1.0</v>
      </c>
    </row>
    <row r="551">
      <c r="A551" s="196"/>
      <c r="B551" s="197" t="str">
        <f>IFERROR(__xludf.DUMMYFUNCTION("""COMPUTED_VALUE"""),"Shadows")</f>
        <v>Shadows</v>
      </c>
      <c r="C551" s="197">
        <f t="shared" si="1"/>
        <v>1</v>
      </c>
      <c r="D551" s="20" t="s">
        <v>2647</v>
      </c>
      <c r="E551" s="20">
        <v>1.0</v>
      </c>
    </row>
    <row r="552">
      <c r="A552" s="196" t="str">
        <f>IFERROR(__xludf.DUMMYFUNCTION("""COMPUTED_VALUE"""),"Sand")</f>
        <v>Sand</v>
      </c>
      <c r="B552" s="197" t="str">
        <f>IFERROR(__xludf.DUMMYFUNCTION("""COMPUTED_VALUE"""),"Venus")</f>
        <v>Venus</v>
      </c>
      <c r="C552" s="197">
        <f t="shared" si="1"/>
        <v>1</v>
      </c>
      <c r="D552" s="20" t="s">
        <v>1738</v>
      </c>
      <c r="E552" s="20">
        <v>1.0</v>
      </c>
    </row>
    <row r="553">
      <c r="A553" s="196" t="str">
        <f>IFERROR(__xludf.DUMMYFUNCTION("""COMPUTED_VALUE"""),"Witch")</f>
        <v>Witch</v>
      </c>
      <c r="B553" s="197" t="str">
        <f>IFERROR(__xludf.DUMMYFUNCTION("""COMPUTED_VALUE"""),"Flytrap")</f>
        <v>Flytrap</v>
      </c>
      <c r="C553" s="197">
        <f t="shared" si="1"/>
        <v>1</v>
      </c>
      <c r="D553" s="20" t="s">
        <v>2648</v>
      </c>
      <c r="E553" s="20">
        <v>1.0</v>
      </c>
    </row>
    <row r="554">
      <c r="A554" s="196"/>
      <c r="B554" s="197" t="str">
        <f>IFERROR(__xludf.DUMMYFUNCTION("""COMPUTED_VALUE"""),"Arcane")</f>
        <v>Arcane</v>
      </c>
      <c r="C554" s="197">
        <f t="shared" si="1"/>
        <v>1</v>
      </c>
      <c r="D554" s="20" t="s">
        <v>2649</v>
      </c>
      <c r="E554" s="20">
        <v>1.0</v>
      </c>
    </row>
    <row r="555">
      <c r="A555" s="196"/>
      <c r="B555" s="197" t="str">
        <f>IFERROR(__xludf.DUMMYFUNCTION("""COMPUTED_VALUE"""),"Gorgosaur")</f>
        <v>Gorgosaur</v>
      </c>
      <c r="C555" s="197">
        <f t="shared" si="1"/>
        <v>1</v>
      </c>
      <c r="D555" s="20" t="s">
        <v>2650</v>
      </c>
      <c r="E555" s="20">
        <v>1.0</v>
      </c>
    </row>
    <row r="556">
      <c r="A556" s="196"/>
      <c r="B556" s="197" t="str">
        <f>IFERROR(__xludf.DUMMYFUNCTION("""COMPUTED_VALUE"""),"Bloodclaw")</f>
        <v>Bloodclaw</v>
      </c>
      <c r="C556" s="197">
        <f t="shared" si="1"/>
        <v>1</v>
      </c>
      <c r="D556" s="20" t="s">
        <v>2651</v>
      </c>
      <c r="E556" s="20">
        <v>1.0</v>
      </c>
    </row>
    <row r="557">
      <c r="A557" s="196" t="str">
        <f>IFERROR(__xludf.DUMMYFUNCTION("""COMPUTED_VALUE"""),"Shardhorde")</f>
        <v>Shardhorde</v>
      </c>
      <c r="B557" s="197" t="str">
        <f>IFERROR(__xludf.DUMMYFUNCTION("""COMPUTED_VALUE"""),"Duke")</f>
        <v>Duke</v>
      </c>
      <c r="C557" s="197">
        <f t="shared" si="1"/>
        <v>1</v>
      </c>
      <c r="D557" s="20" t="s">
        <v>2652</v>
      </c>
      <c r="E557" s="20">
        <v>1.0</v>
      </c>
    </row>
    <row r="558">
      <c r="A558" s="196" t="str">
        <f>IFERROR(__xludf.DUMMYFUNCTION("""COMPUTED_VALUE"""),"Galewhelp")</f>
        <v>Galewhelp</v>
      </c>
      <c r="B558" s="197" t="str">
        <f>IFERROR(__xludf.DUMMYFUNCTION("""COMPUTED_VALUE"""),"Grove")</f>
        <v>Grove</v>
      </c>
      <c r="C558" s="197">
        <f t="shared" si="1"/>
        <v>2</v>
      </c>
      <c r="D558" s="20" t="s">
        <v>2653</v>
      </c>
      <c r="E558" s="20">
        <v>1.0</v>
      </c>
    </row>
    <row r="559">
      <c r="A559" s="196"/>
      <c r="B559" s="197" t="str">
        <f>IFERROR(__xludf.DUMMYFUNCTION("""COMPUTED_VALUE"""),"Omenshadow")</f>
        <v>Omenshadow</v>
      </c>
      <c r="C559" s="197">
        <f t="shared" si="1"/>
        <v>1</v>
      </c>
      <c r="D559" s="20" t="s">
        <v>2654</v>
      </c>
      <c r="E559" s="20">
        <v>1.0</v>
      </c>
    </row>
    <row r="560">
      <c r="A560" s="196"/>
      <c r="B560" s="197" t="str">
        <f>IFERROR(__xludf.DUMMYFUNCTION("""COMPUTED_VALUE"""),"Mantis")</f>
        <v>Mantis</v>
      </c>
      <c r="C560" s="197">
        <f t="shared" si="1"/>
        <v>1</v>
      </c>
      <c r="D560" s="20" t="s">
        <v>2655</v>
      </c>
      <c r="E560" s="20">
        <v>1.0</v>
      </c>
    </row>
    <row r="561">
      <c r="A561" s="196"/>
      <c r="B561" s="197" t="str">
        <f>IFERROR(__xludf.DUMMYFUNCTION("""COMPUTED_VALUE"""),"Queen")</f>
        <v>Queen</v>
      </c>
      <c r="C561" s="197">
        <f t="shared" si="1"/>
        <v>2</v>
      </c>
      <c r="D561" s="20" t="s">
        <v>2656</v>
      </c>
      <c r="E561" s="20">
        <v>1.0</v>
      </c>
    </row>
    <row r="562">
      <c r="A562" s="196" t="str">
        <f>IFERROR(__xludf.DUMMYFUNCTION("""COMPUTED_VALUE"""),"Amberlock")</f>
        <v>Amberlock</v>
      </c>
      <c r="B562" s="197" t="str">
        <f>IFERROR(__xludf.DUMMYFUNCTION("""COMPUTED_VALUE"""),"Purple")</f>
        <v>Purple</v>
      </c>
      <c r="C562" s="197">
        <f t="shared" si="1"/>
        <v>2</v>
      </c>
      <c r="D562" s="20" t="s">
        <v>2657</v>
      </c>
      <c r="E562" s="20">
        <v>1.0</v>
      </c>
    </row>
    <row r="563">
      <c r="A563" s="196" t="str">
        <f>IFERROR(__xludf.DUMMYFUNCTION("""COMPUTED_VALUE"""),"Dragonling")</f>
        <v>Dragonling</v>
      </c>
      <c r="B563" s="197" t="str">
        <f>IFERROR(__xludf.DUMMYFUNCTION("""COMPUTED_VALUE"""),"Reborn")</f>
        <v>Reborn</v>
      </c>
      <c r="C563" s="197">
        <f t="shared" si="1"/>
        <v>1</v>
      </c>
      <c r="D563" s="20" t="s">
        <v>2658</v>
      </c>
      <c r="E563" s="20">
        <v>1.0</v>
      </c>
    </row>
    <row r="564">
      <c r="A564" s="196"/>
      <c r="B564" s="197" t="str">
        <f>IFERROR(__xludf.DUMMYFUNCTION("""COMPUTED_VALUE"""),"Stargazer")</f>
        <v>Stargazer</v>
      </c>
      <c r="C564" s="197">
        <f t="shared" si="1"/>
        <v>1</v>
      </c>
      <c r="D564" s="20" t="s">
        <v>2659</v>
      </c>
      <c r="E564" s="20">
        <v>1.0</v>
      </c>
    </row>
    <row r="565">
      <c r="A565" s="196"/>
      <c r="B565" s="197" t="str">
        <f>IFERROR(__xludf.DUMMYFUNCTION("""COMPUTED_VALUE"""),"Relentless")</f>
        <v>Relentless</v>
      </c>
      <c r="C565" s="197">
        <f t="shared" si="1"/>
        <v>1</v>
      </c>
      <c r="D565" s="20" t="s">
        <v>1764</v>
      </c>
      <c r="E565" s="20">
        <v>1.0</v>
      </c>
    </row>
    <row r="566">
      <c r="A566" s="196"/>
      <c r="B566" s="197" t="str">
        <f>IFERROR(__xludf.DUMMYFUNCTION("""COMPUTED_VALUE"""),"Runic")</f>
        <v>Runic</v>
      </c>
      <c r="C566" s="197">
        <f t="shared" si="1"/>
        <v>1</v>
      </c>
      <c r="D566" s="20" t="s">
        <v>2660</v>
      </c>
      <c r="E566" s="20">
        <v>1.0</v>
      </c>
    </row>
    <row r="567">
      <c r="A567" s="196" t="str">
        <f>IFERROR(__xludf.DUMMYFUNCTION("""COMPUTED_VALUE"""),"Dragonfire")</f>
        <v>Dragonfire</v>
      </c>
      <c r="B567" s="197" t="str">
        <f>IFERROR(__xludf.DUMMYFUNCTION("""COMPUTED_VALUE"""),"Arachnid")</f>
        <v>Arachnid</v>
      </c>
      <c r="C567" s="197">
        <f t="shared" si="1"/>
        <v>1</v>
      </c>
      <c r="D567" s="20" t="s">
        <v>1770</v>
      </c>
      <c r="E567" s="20">
        <v>1.0</v>
      </c>
    </row>
    <row r="568">
      <c r="A568" s="196" t="str">
        <f>IFERROR(__xludf.DUMMYFUNCTION("""COMPUTED_VALUE"""),"Warlock")</f>
        <v>Warlock</v>
      </c>
      <c r="B568" s="197" t="str">
        <f>IFERROR(__xludf.DUMMYFUNCTION("""COMPUTED_VALUE"""),"Teapot")</f>
        <v>Teapot</v>
      </c>
      <c r="C568" s="197">
        <f t="shared" si="1"/>
        <v>1</v>
      </c>
      <c r="D568" s="20" t="s">
        <v>2661</v>
      </c>
      <c r="E568" s="20">
        <v>1.0</v>
      </c>
    </row>
    <row r="569">
      <c r="A569" s="196"/>
      <c r="B569" s="197" t="str">
        <f>IFERROR(__xludf.DUMMYFUNCTION("""COMPUTED_VALUE"""),"Sun")</f>
        <v>Sun</v>
      </c>
      <c r="C569" s="197">
        <f t="shared" si="1"/>
        <v>1</v>
      </c>
      <c r="D569" s="20" t="s">
        <v>2662</v>
      </c>
      <c r="E569" s="20">
        <v>1.0</v>
      </c>
    </row>
    <row r="570">
      <c r="A570" s="196"/>
      <c r="B570" s="197" t="str">
        <f>IFERROR(__xludf.DUMMYFUNCTION("""COMPUTED_VALUE"""),"Saurus")</f>
        <v>Saurus</v>
      </c>
      <c r="C570" s="197">
        <f t="shared" si="1"/>
        <v>1</v>
      </c>
      <c r="D570" s="20" t="s">
        <v>2663</v>
      </c>
      <c r="E570" s="20">
        <v>1.0</v>
      </c>
    </row>
    <row r="571">
      <c r="A571" s="196"/>
      <c r="B571" s="197" t="str">
        <f>IFERROR(__xludf.DUMMYFUNCTION("""COMPUTED_VALUE"""),"Sandsilk")</f>
        <v>Sandsilk</v>
      </c>
      <c r="C571" s="197">
        <f t="shared" si="1"/>
        <v>1</v>
      </c>
      <c r="D571" s="20" t="s">
        <v>2664</v>
      </c>
      <c r="E571" s="20">
        <v>1.0</v>
      </c>
    </row>
    <row r="572">
      <c r="A572" s="196" t="str">
        <f>IFERROR(__xludf.DUMMYFUNCTION("""COMPUTED_VALUE"""),"Dragonwind")</f>
        <v>Dragonwind</v>
      </c>
      <c r="B572" s="197" t="str">
        <f>IFERROR(__xludf.DUMMYFUNCTION("""COMPUTED_VALUE"""),"Fox")</f>
        <v>Fox</v>
      </c>
      <c r="C572" s="197">
        <f t="shared" si="1"/>
        <v>1</v>
      </c>
      <c r="D572" s="20" t="s">
        <v>2665</v>
      </c>
      <c r="E572" s="20">
        <v>1.0</v>
      </c>
    </row>
    <row r="573">
      <c r="A573" s="196" t="str">
        <f>IFERROR(__xludf.DUMMYFUNCTION("""COMPUTED_VALUE"""),"Harbinger")</f>
        <v>Harbinger</v>
      </c>
      <c r="B573" s="197" t="str">
        <f>IFERROR(__xludf.DUMMYFUNCTION("""COMPUTED_VALUE"""),"Living")</f>
        <v>Living</v>
      </c>
      <c r="C573" s="197">
        <f t="shared" si="1"/>
        <v>1</v>
      </c>
      <c r="D573" s="20" t="s">
        <v>2666</v>
      </c>
      <c r="E573" s="20">
        <v>1.0</v>
      </c>
    </row>
    <row r="574">
      <c r="A574" s="196"/>
      <c r="B574" s="197" t="str">
        <f>IFERROR(__xludf.DUMMYFUNCTION("""COMPUTED_VALUE"""),"Thicket")</f>
        <v>Thicket</v>
      </c>
      <c r="C574" s="197">
        <f t="shared" si="1"/>
        <v>1</v>
      </c>
      <c r="D574" s="20" t="s">
        <v>2667</v>
      </c>
      <c r="E574" s="20">
        <v>1.0</v>
      </c>
    </row>
    <row r="575">
      <c r="A575" s="196"/>
      <c r="B575" s="197" t="str">
        <f>IFERROR(__xludf.DUMMYFUNCTION("""COMPUTED_VALUE"""),"Shrouded")</f>
        <v>Shrouded</v>
      </c>
      <c r="C575" s="197">
        <f t="shared" si="1"/>
        <v>1</v>
      </c>
      <c r="D575" s="20" t="s">
        <v>2668</v>
      </c>
      <c r="E575" s="20">
        <v>1.0</v>
      </c>
    </row>
    <row r="576">
      <c r="A576" s="196"/>
      <c r="B576" s="197" t="str">
        <f>IFERROR(__xludf.DUMMYFUNCTION("""COMPUTED_VALUE"""),"Advocate")</f>
        <v>Advocate</v>
      </c>
      <c r="C576" s="197">
        <f t="shared" si="1"/>
        <v>1</v>
      </c>
      <c r="D576" s="20" t="s">
        <v>2669</v>
      </c>
      <c r="E576" s="20">
        <v>1.0</v>
      </c>
    </row>
    <row r="577">
      <c r="A577" s="196" t="str">
        <f>IFERROR(__xludf.DUMMYFUNCTION("""COMPUTED_VALUE"""),"Sparkwielder")</f>
        <v>Sparkwielder</v>
      </c>
      <c r="B577" s="197" t="str">
        <f>IFERROR(__xludf.DUMMYFUNCTION("""COMPUTED_VALUE"""),"Fiend")</f>
        <v>Fiend</v>
      </c>
      <c r="C577" s="197">
        <f t="shared" si="1"/>
        <v>1</v>
      </c>
      <c r="D577" s="20" t="s">
        <v>2670</v>
      </c>
      <c r="E577" s="20">
        <v>1.0</v>
      </c>
    </row>
    <row r="578">
      <c r="A578" s="196"/>
      <c r="B578" s="197" t="str">
        <f>IFERROR(__xludf.DUMMYFUNCTION("""COMPUTED_VALUE"""),"Invigorating")</f>
        <v>Invigorating</v>
      </c>
      <c r="C578" s="197">
        <f t="shared" si="1"/>
        <v>1</v>
      </c>
      <c r="D578" s="20" t="s">
        <v>2671</v>
      </c>
      <c r="E578" s="20">
        <v>1.0</v>
      </c>
    </row>
    <row r="579">
      <c r="A579" s="196"/>
      <c r="B579" s="197" t="str">
        <f>IFERROR(__xludf.DUMMYFUNCTION("""COMPUTED_VALUE"""),"Lotus")</f>
        <v>Lotus</v>
      </c>
      <c r="C579" s="197">
        <f t="shared" si="1"/>
        <v>1</v>
      </c>
      <c r="D579" s="20" t="s">
        <v>2672</v>
      </c>
      <c r="E579" s="20">
        <v>1.0</v>
      </c>
    </row>
    <row r="580">
      <c r="A580" s="196"/>
      <c r="B580" s="197" t="str">
        <f>IFERROR(__xludf.DUMMYFUNCTION("""COMPUTED_VALUE"""),"Bloom")</f>
        <v>Bloom</v>
      </c>
      <c r="C580" s="197">
        <f t="shared" si="1"/>
        <v>1</v>
      </c>
      <c r="D580" s="20" t="s">
        <v>2673</v>
      </c>
      <c r="E580" s="20">
        <v>1.0</v>
      </c>
    </row>
    <row r="581">
      <c r="A581" s="196"/>
      <c r="B581" s="197" t="str">
        <f>IFERROR(__xludf.DUMMYFUNCTION("""COMPUTED_VALUE"""),"Photosynthaurus")</f>
        <v>Photosynthaurus</v>
      </c>
      <c r="C581" s="197">
        <f t="shared" si="1"/>
        <v>1</v>
      </c>
      <c r="D581" s="20" t="s">
        <v>2674</v>
      </c>
      <c r="E581" s="20">
        <v>1.0</v>
      </c>
    </row>
    <row r="582">
      <c r="A582" s="196" t="str">
        <f>IFERROR(__xludf.DUMMYFUNCTION("""COMPUTED_VALUE"""),"Gashopper")</f>
        <v>Gashopper</v>
      </c>
      <c r="B582" s="197" t="str">
        <f>IFERROR(__xludf.DUMMYFUNCTION("""COMPUTED_VALUE"""),"Southern")</f>
        <v>Southern</v>
      </c>
      <c r="C582" s="197">
        <f t="shared" si="1"/>
        <v>1</v>
      </c>
      <c r="D582" s="20" t="s">
        <v>2675</v>
      </c>
      <c r="E582" s="20">
        <v>1.0</v>
      </c>
    </row>
    <row r="583">
      <c r="A583" s="196"/>
      <c r="B583" s="197" t="str">
        <f>IFERROR(__xludf.DUMMYFUNCTION("""COMPUTED_VALUE"""),"Reach")</f>
        <v>Reach</v>
      </c>
      <c r="C583" s="197">
        <f t="shared" si="1"/>
        <v>1</v>
      </c>
      <c r="D583" s="20" t="s">
        <v>2676</v>
      </c>
      <c r="E583" s="20">
        <v>1.0</v>
      </c>
    </row>
    <row r="584">
      <c r="A584" s="196"/>
      <c r="B584" s="197" t="str">
        <f>IFERROR(__xludf.DUMMYFUNCTION("""COMPUTED_VALUE"""),"Bulwark")</f>
        <v>Bulwark</v>
      </c>
      <c r="C584" s="197">
        <f t="shared" si="1"/>
        <v>1</v>
      </c>
      <c r="D584" s="20" t="s">
        <v>2677</v>
      </c>
      <c r="E584" s="20">
        <v>1.0</v>
      </c>
    </row>
    <row r="585">
      <c r="A585" s="196"/>
      <c r="B585" s="197" t="str">
        <f>IFERROR(__xludf.DUMMYFUNCTION("""COMPUTED_VALUE"""),"Thoughtfeaster")</f>
        <v>Thoughtfeaster</v>
      </c>
      <c r="C585" s="197">
        <f t="shared" si="1"/>
        <v>1</v>
      </c>
      <c r="D585" s="20" t="s">
        <v>2678</v>
      </c>
      <c r="E585" s="20">
        <v>1.0</v>
      </c>
    </row>
    <row r="586">
      <c r="A586" s="196"/>
      <c r="B586" s="197" t="str">
        <f>IFERROR(__xludf.DUMMYFUNCTION("""COMPUTED_VALUE"""),"Tombstone")</f>
        <v>Tombstone</v>
      </c>
      <c r="C586" s="197">
        <f t="shared" si="1"/>
        <v>1</v>
      </c>
      <c r="D586" s="20" t="s">
        <v>2679</v>
      </c>
      <c r="E586" s="20">
        <v>1.0</v>
      </c>
    </row>
    <row r="587">
      <c r="A587" s="196" t="str">
        <f>IFERROR(__xludf.DUMMYFUNCTION("""COMPUTED_VALUE"""),"Hailbringer")</f>
        <v>Hailbringer</v>
      </c>
      <c r="B587" s="197" t="str">
        <f>IFERROR(__xludf.DUMMYFUNCTION("""COMPUTED_VALUE"""),"Umbral")</f>
        <v>Umbral</v>
      </c>
      <c r="C587" s="197">
        <f t="shared" si="1"/>
        <v>1</v>
      </c>
      <c r="D587" s="20" t="s">
        <v>1813</v>
      </c>
      <c r="E587" s="20">
        <v>1.0</v>
      </c>
    </row>
    <row r="588">
      <c r="A588" s="196"/>
      <c r="B588" s="197" t="str">
        <f>IFERROR(__xludf.DUMMYFUNCTION("""COMPUTED_VALUE"""),"Voidkiss")</f>
        <v>Voidkiss</v>
      </c>
      <c r="C588" s="197">
        <f t="shared" si="1"/>
        <v>1</v>
      </c>
      <c r="D588" s="20" t="s">
        <v>2680</v>
      </c>
      <c r="E588" s="20">
        <v>1.0</v>
      </c>
    </row>
    <row r="589">
      <c r="A589" s="196"/>
      <c r="B589" s="197" t="str">
        <f>IFERROR(__xludf.DUMMYFUNCTION("""COMPUTED_VALUE"""),"Siren")</f>
        <v>Siren</v>
      </c>
      <c r="C589" s="197">
        <f t="shared" si="1"/>
        <v>1</v>
      </c>
      <c r="D589" s="20" t="s">
        <v>2681</v>
      </c>
      <c r="E589" s="20">
        <v>1.0</v>
      </c>
    </row>
    <row r="590">
      <c r="A590" s="196"/>
      <c r="B590" s="197" t="str">
        <f>IFERROR(__xludf.DUMMYFUNCTION("""COMPUTED_VALUE"""),"Rootstrosity")</f>
        <v>Rootstrosity</v>
      </c>
      <c r="C590" s="197">
        <f t="shared" si="1"/>
        <v>1</v>
      </c>
      <c r="D590" s="20" t="s">
        <v>2682</v>
      </c>
      <c r="E590" s="20">
        <v>1.0</v>
      </c>
    </row>
    <row r="591">
      <c r="A591" s="196"/>
      <c r="B591" s="197" t="str">
        <f>IFERROR(__xludf.DUMMYFUNCTION("""COMPUTED_VALUE"""),"Voodoo")</f>
        <v>Voodoo</v>
      </c>
      <c r="C591" s="197">
        <f t="shared" si="1"/>
        <v>1</v>
      </c>
      <c r="D591" s="20" t="s">
        <v>1817</v>
      </c>
      <c r="E591" s="20">
        <v>1.0</v>
      </c>
    </row>
    <row r="592">
      <c r="A592" s="196" t="str">
        <f>IFERROR(__xludf.DUMMYFUNCTION("""COMPUTED_VALUE"""),"Stormlash")</f>
        <v>Stormlash</v>
      </c>
      <c r="B592" s="197" t="str">
        <f>IFERROR(__xludf.DUMMYFUNCTION("""COMPUTED_VALUE"""),"Doctor")</f>
        <v>Doctor</v>
      </c>
      <c r="C592" s="197">
        <f t="shared" si="1"/>
        <v>1</v>
      </c>
      <c r="D592" s="20" t="s">
        <v>2683</v>
      </c>
      <c r="E592" s="20">
        <v>1.0</v>
      </c>
    </row>
    <row r="593">
      <c r="A593" s="196"/>
      <c r="B593" s="197" t="str">
        <f>IFERROR(__xludf.DUMMYFUNCTION("""COMPUTED_VALUE"""),"Whispering")</f>
        <v>Whispering</v>
      </c>
      <c r="C593" s="197">
        <f t="shared" si="1"/>
        <v>1</v>
      </c>
      <c r="D593" s="20" t="s">
        <v>2684</v>
      </c>
      <c r="E593" s="20">
        <v>1.0</v>
      </c>
    </row>
    <row r="594">
      <c r="A594" s="196"/>
      <c r="B594" s="197" t="str">
        <f>IFERROR(__xludf.DUMMYFUNCTION("""COMPUTED_VALUE"""),"Tome")</f>
        <v>Tome</v>
      </c>
      <c r="C594" s="197">
        <f t="shared" si="1"/>
        <v>1</v>
      </c>
      <c r="D594" s="20" t="s">
        <v>2685</v>
      </c>
      <c r="E594" s="20">
        <v>1.0</v>
      </c>
    </row>
    <row r="595">
      <c r="A595" s="196"/>
      <c r="B595" s="197" t="str">
        <f>IFERROR(__xludf.DUMMYFUNCTION("""COMPUTED_VALUE"""),"Choking")</f>
        <v>Choking</v>
      </c>
      <c r="C595" s="197">
        <f t="shared" si="1"/>
        <v>1</v>
      </c>
      <c r="D595" s="20" t="s">
        <v>2686</v>
      </c>
      <c r="E595" s="20">
        <v>1.0</v>
      </c>
    </row>
    <row r="596">
      <c r="A596" s="196"/>
      <c r="B596" s="197" t="str">
        <f>IFERROR(__xludf.DUMMYFUNCTION("""COMPUTED_VALUE"""),"Vines")</f>
        <v>Vines</v>
      </c>
      <c r="C596" s="197">
        <f t="shared" si="1"/>
        <v>1</v>
      </c>
      <c r="D596" s="20" t="s">
        <v>1831</v>
      </c>
      <c r="E596" s="20">
        <v>1.0</v>
      </c>
    </row>
    <row r="597">
      <c r="A597" s="196" t="str">
        <f>IFERROR(__xludf.DUMMYFUNCTION("""COMPUTED_VALUE"""),"Stormworn")</f>
        <v>Stormworn</v>
      </c>
      <c r="B597" s="197" t="str">
        <f>IFERROR(__xludf.DUMMYFUNCTION("""COMPUTED_VALUE"""),"Heathborn")</f>
        <v>Heathborn</v>
      </c>
      <c r="C597" s="197">
        <f t="shared" si="1"/>
        <v>1</v>
      </c>
      <c r="D597" s="20" t="s">
        <v>2687</v>
      </c>
      <c r="E597" s="20">
        <v>1.0</v>
      </c>
    </row>
    <row r="598">
      <c r="A598" s="196" t="str">
        <f>IFERROR(__xludf.DUMMYFUNCTION("""COMPUTED_VALUE"""),"Horn")</f>
        <v>Horn</v>
      </c>
      <c r="B598" s="197" t="str">
        <f>IFERROR(__xludf.DUMMYFUNCTION("""COMPUTED_VALUE"""),"Protector")</f>
        <v>Protector</v>
      </c>
      <c r="C598" s="197">
        <f t="shared" si="1"/>
        <v>1</v>
      </c>
      <c r="D598" s="20" t="s">
        <v>2688</v>
      </c>
      <c r="E598" s="20">
        <v>1.0</v>
      </c>
    </row>
    <row r="599">
      <c r="A599" s="196"/>
      <c r="B599" s="197" t="str">
        <f>IFERROR(__xludf.DUMMYFUNCTION("""COMPUTED_VALUE"""),"Wastelands")</f>
        <v>Wastelands</v>
      </c>
      <c r="C599" s="197">
        <f t="shared" si="1"/>
        <v>1</v>
      </c>
      <c r="D599" s="20" t="s">
        <v>2689</v>
      </c>
      <c r="E599" s="20">
        <v>1.0</v>
      </c>
    </row>
    <row r="600">
      <c r="A600" s="196"/>
      <c r="B600" s="197" t="str">
        <f>IFERROR(__xludf.DUMMYFUNCTION("""COMPUTED_VALUE"""),"Crystalbane")</f>
        <v>Crystalbane</v>
      </c>
      <c r="C600" s="197">
        <f t="shared" si="1"/>
        <v>1</v>
      </c>
      <c r="D600" s="20" t="s">
        <v>2690</v>
      </c>
      <c r="E600" s="20">
        <v>1.0</v>
      </c>
    </row>
    <row r="601">
      <c r="A601" s="196"/>
      <c r="B601" s="197" t="str">
        <f>IFERROR(__xludf.DUMMYFUNCTION("""COMPUTED_VALUE"""),"Glutton")</f>
        <v>Glutton</v>
      </c>
      <c r="C601" s="197">
        <f t="shared" si="1"/>
        <v>1</v>
      </c>
      <c r="D601" s="20" t="s">
        <v>2691</v>
      </c>
      <c r="E601" s="20">
        <v>1.0</v>
      </c>
    </row>
    <row r="602">
      <c r="A602" s="196" t="str">
        <f>IFERROR(__xludf.DUMMYFUNCTION("""COMPUTED_VALUE"""),"Glinteye")</f>
        <v>Glinteye</v>
      </c>
      <c r="B602" s="197" t="str">
        <f>IFERROR(__xludf.DUMMYFUNCTION("""COMPUTED_VALUE"""),"Crystalline")</f>
        <v>Crystalline</v>
      </c>
      <c r="C602" s="197">
        <f t="shared" si="1"/>
        <v>1</v>
      </c>
      <c r="D602" s="20" t="s">
        <v>2692</v>
      </c>
      <c r="E602" s="20">
        <v>1.0</v>
      </c>
    </row>
    <row r="603">
      <c r="A603" s="196" t="str">
        <f>IFERROR(__xludf.DUMMYFUNCTION("""COMPUTED_VALUE"""),"Hoarder")</f>
        <v>Hoarder</v>
      </c>
      <c r="B603" s="197" t="str">
        <f>IFERROR(__xludf.DUMMYFUNCTION("""COMPUTED_VALUE"""),"Parasite")</f>
        <v>Parasite</v>
      </c>
      <c r="C603" s="197">
        <f t="shared" si="1"/>
        <v>1</v>
      </c>
      <c r="D603" s="20" t="s">
        <v>2693</v>
      </c>
      <c r="E603" s="20">
        <v>1.0</v>
      </c>
    </row>
    <row r="604">
      <c r="A604" s="196"/>
      <c r="B604" s="197" t="str">
        <f>IFERROR(__xludf.DUMMYFUNCTION("""COMPUTED_VALUE"""),"Fortune's")</f>
        <v>Fortune's</v>
      </c>
      <c r="C604" s="197">
        <f t="shared" si="1"/>
        <v>1</v>
      </c>
      <c r="D604" s="20" t="s">
        <v>2694</v>
      </c>
      <c r="E604" s="20">
        <v>1.0</v>
      </c>
    </row>
    <row r="605">
      <c r="A605" s="196"/>
      <c r="B605" s="197" t="str">
        <f>IFERROR(__xludf.DUMMYFUNCTION("""COMPUTED_VALUE"""),"Favorite")</f>
        <v>Favorite</v>
      </c>
      <c r="C605" s="197">
        <f t="shared" si="1"/>
        <v>1</v>
      </c>
      <c r="D605" s="20" t="s">
        <v>2695</v>
      </c>
      <c r="E605" s="20">
        <v>1.0</v>
      </c>
    </row>
    <row r="606">
      <c r="A606" s="196"/>
      <c r="B606" s="197" t="str">
        <f>IFERROR(__xludf.DUMMYFUNCTION("""COMPUTED_VALUE"""),"Gigantic")</f>
        <v>Gigantic</v>
      </c>
      <c r="C606" s="197">
        <f t="shared" si="1"/>
        <v>1</v>
      </c>
      <c r="D606" s="20" t="s">
        <v>2696</v>
      </c>
      <c r="E606" s="20">
        <v>1.0</v>
      </c>
    </row>
    <row r="607">
      <c r="A607" s="196" t="str">
        <f>IFERROR(__xludf.DUMMYFUNCTION("""COMPUTED_VALUE"""),"The")</f>
        <v>The</v>
      </c>
      <c r="B607" s="197" t="str">
        <f>IFERROR(__xludf.DUMMYFUNCTION("""COMPUTED_VALUE"""),"Terrormaw")</f>
        <v>Terrormaw</v>
      </c>
      <c r="C607" s="197">
        <f t="shared" si="1"/>
        <v>1</v>
      </c>
      <c r="D607" s="20" t="s">
        <v>2697</v>
      </c>
      <c r="E607" s="20">
        <v>1.0</v>
      </c>
    </row>
    <row r="608">
      <c r="A608" s="196" t="str">
        <f>IFERROR(__xludf.DUMMYFUNCTION("""COMPUTED_VALUE"""),"Culling")</f>
        <v>Culling</v>
      </c>
      <c r="B608" s="197" t="str">
        <f>IFERROR(__xludf.DUMMYFUNCTION("""COMPUTED_VALUE"""),"Null")</f>
        <v>Null</v>
      </c>
      <c r="C608" s="197">
        <f t="shared" si="1"/>
        <v>1</v>
      </c>
      <c r="D608" s="20" t="s">
        <v>2698</v>
      </c>
      <c r="E608" s="20">
        <v>1.0</v>
      </c>
    </row>
    <row r="609">
      <c r="A609" s="196" t="str">
        <f>IFERROR(__xludf.DUMMYFUNCTION("""COMPUTED_VALUE"""),"Claw")</f>
        <v>Claw</v>
      </c>
      <c r="B609" s="197" t="str">
        <f>IFERROR(__xludf.DUMMYFUNCTION("""COMPUTED_VALUE"""),"Ghost")</f>
        <v>Ghost</v>
      </c>
      <c r="C609" s="197">
        <f t="shared" si="1"/>
        <v>1</v>
      </c>
      <c r="D609" s="20" t="s">
        <v>2699</v>
      </c>
      <c r="E609" s="20">
        <v>1.0</v>
      </c>
    </row>
    <row r="610">
      <c r="A610" s="196"/>
      <c r="B610" s="197" t="str">
        <f>IFERROR(__xludf.DUMMYFUNCTION("""COMPUTED_VALUE"""),"Bear")</f>
        <v>Bear</v>
      </c>
      <c r="C610" s="197">
        <f t="shared" si="1"/>
        <v>1</v>
      </c>
      <c r="D610" s="20" t="s">
        <v>2700</v>
      </c>
      <c r="E610" s="20">
        <v>1.0</v>
      </c>
    </row>
    <row r="611">
      <c r="A611" s="196"/>
      <c r="B611" s="197" t="str">
        <f>IFERROR(__xludf.DUMMYFUNCTION("""COMPUTED_VALUE"""),"Cub")</f>
        <v>Cub</v>
      </c>
      <c r="C611" s="197">
        <f t="shared" si="1"/>
        <v>1</v>
      </c>
      <c r="D611" s="20" t="s">
        <v>2701</v>
      </c>
      <c r="E611" s="20">
        <v>1.0</v>
      </c>
    </row>
    <row r="612">
      <c r="A612" s="196" t="str">
        <f>IFERROR(__xludf.DUMMYFUNCTION("""COMPUTED_VALUE"""),"Thunderfox")</f>
        <v>Thunderfox</v>
      </c>
      <c r="B612" s="197" t="str">
        <f>IFERROR(__xludf.DUMMYFUNCTION("""COMPUTED_VALUE"""),"Necroconut")</f>
        <v>Necroconut</v>
      </c>
      <c r="C612" s="197">
        <f t="shared" si="1"/>
        <v>1</v>
      </c>
      <c r="D612" s="20" t="s">
        <v>2702</v>
      </c>
      <c r="E612" s="20">
        <v>1.0</v>
      </c>
    </row>
    <row r="613">
      <c r="A613" s="196"/>
      <c r="B613" s="197" t="str">
        <f>IFERROR(__xludf.DUMMYFUNCTION("""COMPUTED_VALUE"""),"Crab")</f>
        <v>Crab</v>
      </c>
      <c r="C613" s="197">
        <f t="shared" si="1"/>
        <v>1</v>
      </c>
      <c r="D613" s="20" t="s">
        <v>2703</v>
      </c>
      <c r="E613" s="20">
        <v>1.0</v>
      </c>
    </row>
    <row r="614">
      <c r="A614" s="196"/>
      <c r="B614" s="197" t="str">
        <f>IFERROR(__xludf.DUMMYFUNCTION("""COMPUTED_VALUE"""),"Rotting")</f>
        <v>Rotting</v>
      </c>
      <c r="C614" s="197">
        <f t="shared" si="1"/>
        <v>1</v>
      </c>
      <c r="D614" s="20" t="s">
        <v>2704</v>
      </c>
      <c r="E614" s="20">
        <v>1.0</v>
      </c>
    </row>
    <row r="615">
      <c r="A615" s="196"/>
      <c r="B615" s="197" t="str">
        <f>IFERROR(__xludf.DUMMYFUNCTION("""COMPUTED_VALUE"""),"Alicorn")</f>
        <v>Alicorn</v>
      </c>
      <c r="C615" s="197">
        <f t="shared" si="1"/>
        <v>1</v>
      </c>
      <c r="D615" s="20" t="s">
        <v>2705</v>
      </c>
      <c r="E615" s="20">
        <v>1.0</v>
      </c>
    </row>
    <row r="616">
      <c r="A616" s="196"/>
      <c r="B616" s="197" t="str">
        <f>IFERROR(__xludf.DUMMYFUNCTION("""COMPUTED_VALUE"""),"Initiate")</f>
        <v>Initiate</v>
      </c>
      <c r="C616" s="197">
        <f t="shared" si="1"/>
        <v>1</v>
      </c>
      <c r="D616" s="20" t="s">
        <v>2706</v>
      </c>
      <c r="E616" s="20">
        <v>1.0</v>
      </c>
    </row>
    <row r="617">
      <c r="A617" s="196" t="str">
        <f>IFERROR(__xludf.DUMMYFUNCTION("""COMPUTED_VALUE"""),"Raijin's")</f>
        <v>Raijin's</v>
      </c>
      <c r="B617" s="197" t="str">
        <f>IFERROR(__xludf.DUMMYFUNCTION("""COMPUTED_VALUE"""),"Cryptroach")</f>
        <v>Cryptroach</v>
      </c>
      <c r="C617" s="197">
        <f t="shared" si="1"/>
        <v>1</v>
      </c>
      <c r="D617" s="20" t="s">
        <v>2707</v>
      </c>
      <c r="E617" s="20">
        <v>1.0</v>
      </c>
    </row>
    <row r="618">
      <c r="A618" s="196" t="str">
        <f>IFERROR(__xludf.DUMMYFUNCTION("""COMPUTED_VALUE"""),"Familiar")</f>
        <v>Familiar</v>
      </c>
      <c r="B618" s="197" t="str">
        <f>IFERROR(__xludf.DUMMYFUNCTION("""COMPUTED_VALUE"""),"Abyssal")</f>
        <v>Abyssal</v>
      </c>
      <c r="C618" s="197">
        <f t="shared" si="1"/>
        <v>1</v>
      </c>
      <c r="D618" s="20" t="s">
        <v>2708</v>
      </c>
      <c r="E618" s="20">
        <v>1.0</v>
      </c>
    </row>
    <row r="619">
      <c r="A619" s="196"/>
      <c r="B619" s="197" t="str">
        <f>IFERROR(__xludf.DUMMYFUNCTION("""COMPUTED_VALUE"""),"Silencer")</f>
        <v>Silencer</v>
      </c>
      <c r="C619" s="197">
        <f t="shared" si="1"/>
        <v>1</v>
      </c>
      <c r="D619" s="20" t="s">
        <v>2709</v>
      </c>
      <c r="E619" s="20">
        <v>1.0</v>
      </c>
    </row>
    <row r="620">
      <c r="A620" s="196"/>
      <c r="B620" s="197" t="str">
        <f>IFERROR(__xludf.DUMMYFUNCTION("""COMPUTED_VALUE"""),"Blightcoven")</f>
        <v>Blightcoven</v>
      </c>
      <c r="C620" s="197">
        <f t="shared" si="1"/>
        <v>1</v>
      </c>
      <c r="D620" s="20" t="s">
        <v>2710</v>
      </c>
      <c r="E620" s="20">
        <v>1.0</v>
      </c>
    </row>
    <row r="621">
      <c r="A621" s="196"/>
      <c r="B621" s="197" t="str">
        <f>IFERROR(__xludf.DUMMYFUNCTION("""COMPUTED_VALUE"""),"Puppeteer")</f>
        <v>Puppeteer</v>
      </c>
      <c r="C621" s="197">
        <f t="shared" si="1"/>
        <v>1</v>
      </c>
      <c r="D621" s="20" t="s">
        <v>2711</v>
      </c>
      <c r="E621" s="20">
        <v>1.0</v>
      </c>
    </row>
    <row r="622">
      <c r="A622" s="196" t="str">
        <f>IFERROR(__xludf.DUMMYFUNCTION("""COMPUTED_VALUE"""),"Twin")</f>
        <v>Twin</v>
      </c>
      <c r="B622" s="197" t="str">
        <f>IFERROR(__xludf.DUMMYFUNCTION("""COMPUTED_VALUE"""),"Ambassador")</f>
        <v>Ambassador</v>
      </c>
      <c r="C622" s="197">
        <f t="shared" si="1"/>
        <v>1</v>
      </c>
      <c r="D622" s="20" t="s">
        <v>2712</v>
      </c>
      <c r="E622" s="20">
        <v>1.0</v>
      </c>
    </row>
    <row r="623">
      <c r="A623" s="196" t="str">
        <f>IFERROR(__xludf.DUMMYFUNCTION("""COMPUTED_VALUE"""),"Thundertail")</f>
        <v>Thundertail</v>
      </c>
      <c r="B623" s="197" t="str">
        <f>IFERROR(__xludf.DUMMYFUNCTION("""COMPUTED_VALUE"""),"Sovereign")</f>
        <v>Sovereign</v>
      </c>
      <c r="C623" s="197">
        <f t="shared" si="1"/>
        <v>2</v>
      </c>
      <c r="D623" s="20" t="s">
        <v>1881</v>
      </c>
      <c r="E623" s="20">
        <v>1.0</v>
      </c>
    </row>
    <row r="624">
      <c r="A624" s="196"/>
      <c r="B624" s="197" t="str">
        <f>IFERROR(__xludf.DUMMYFUNCTION("""COMPUTED_VALUE"""),"Emissary")</f>
        <v>Emissary</v>
      </c>
      <c r="C624" s="197">
        <f t="shared" si="1"/>
        <v>1</v>
      </c>
      <c r="D624" s="20" t="s">
        <v>2713</v>
      </c>
      <c r="E624" s="20">
        <v>1.0</v>
      </c>
    </row>
    <row r="625">
      <c r="A625" s="196"/>
      <c r="B625" s="197" t="str">
        <f>IFERROR(__xludf.DUMMYFUNCTION("""COMPUTED_VALUE"""),"Darkness")</f>
        <v>Darkness</v>
      </c>
      <c r="C625" s="197">
        <f t="shared" si="1"/>
        <v>1</v>
      </c>
      <c r="D625" s="20" t="s">
        <v>2714</v>
      </c>
      <c r="E625" s="20">
        <v>1.0</v>
      </c>
    </row>
    <row r="626">
      <c r="A626" s="196"/>
      <c r="B626" s="197" t="str">
        <f>IFERROR(__xludf.DUMMYFUNCTION("""COMPUTED_VALUE"""),"Chronicler")</f>
        <v>Chronicler</v>
      </c>
      <c r="C626" s="197">
        <f t="shared" si="1"/>
        <v>1</v>
      </c>
      <c r="D626" s="20" t="s">
        <v>2715</v>
      </c>
      <c r="E626" s="20">
        <v>1.0</v>
      </c>
    </row>
    <row r="627">
      <c r="A627" s="196" t="str">
        <f>IFERROR(__xludf.DUMMYFUNCTION("""COMPUTED_VALUE"""),"Vengeful")</f>
        <v>Vengeful</v>
      </c>
      <c r="B627" s="197" t="str">
        <f>IFERROR(__xludf.DUMMYFUNCTION("""COMPUTED_VALUE"""),"Serenader")</f>
        <v>Serenader</v>
      </c>
      <c r="C627" s="197">
        <f t="shared" si="1"/>
        <v>1</v>
      </c>
      <c r="D627" s="20" t="s">
        <v>2716</v>
      </c>
      <c r="E627" s="20">
        <v>1.0</v>
      </c>
    </row>
    <row r="628">
      <c r="A628" s="196" t="str">
        <f>IFERROR(__xludf.DUMMYFUNCTION("""COMPUTED_VALUE"""),"Gust")</f>
        <v>Gust</v>
      </c>
      <c r="B628" s="197" t="str">
        <f>IFERROR(__xludf.DUMMYFUNCTION("""COMPUTED_VALUE"""),"Foul")</f>
        <v>Foul</v>
      </c>
      <c r="C628" s="197">
        <f t="shared" si="1"/>
        <v>1</v>
      </c>
      <c r="D628" s="20" t="s">
        <v>2717</v>
      </c>
      <c r="E628" s="20">
        <v>1.0</v>
      </c>
    </row>
    <row r="629">
      <c r="A629" s="196"/>
      <c r="B629" s="197" t="str">
        <f>IFERROR(__xludf.DUMMYFUNCTION("""COMPUTED_VALUE"""),"Corruptor")</f>
        <v>Corruptor</v>
      </c>
      <c r="C629" s="197">
        <f t="shared" si="1"/>
        <v>1</v>
      </c>
      <c r="D629" s="20" t="s">
        <v>2718</v>
      </c>
      <c r="E629" s="20">
        <v>1.0</v>
      </c>
    </row>
    <row r="630">
      <c r="A630" s="196"/>
      <c r="B630" s="197" t="str">
        <f>IFERROR(__xludf.DUMMYFUNCTION("""COMPUTED_VALUE"""),"Ghoulflesh")</f>
        <v>Ghoulflesh</v>
      </c>
      <c r="C630" s="197">
        <f t="shared" si="1"/>
        <v>1</v>
      </c>
      <c r="D630" s="20" t="s">
        <v>2719</v>
      </c>
      <c r="E630" s="20">
        <v>1.0</v>
      </c>
    </row>
    <row r="631">
      <c r="A631" s="196"/>
      <c r="B631" s="197" t="str">
        <f>IFERROR(__xludf.DUMMYFUNCTION("""COMPUTED_VALUE"""),"Devourer")</f>
        <v>Devourer</v>
      </c>
      <c r="C631" s="197">
        <f t="shared" si="1"/>
        <v>1</v>
      </c>
      <c r="D631" s="20" t="s">
        <v>2720</v>
      </c>
      <c r="E631" s="20">
        <v>1.0</v>
      </c>
    </row>
    <row r="632">
      <c r="A632" s="196" t="str">
        <f>IFERROR(__xludf.DUMMYFUNCTION("""COMPUTED_VALUE"""),"Runecursed")</f>
        <v>Runecursed</v>
      </c>
      <c r="B632" s="197" t="str">
        <f>IFERROR(__xludf.DUMMYFUNCTION("""COMPUTED_VALUE"""),"Grinning")</f>
        <v>Grinning</v>
      </c>
      <c r="C632" s="197">
        <f t="shared" si="1"/>
        <v>1</v>
      </c>
      <c r="D632" s="20" t="s">
        <v>2721</v>
      </c>
      <c r="E632" s="20">
        <v>1.0</v>
      </c>
    </row>
    <row r="633">
      <c r="A633" s="196" t="str">
        <f>IFERROR(__xludf.DUMMYFUNCTION("""COMPUTED_VALUE"""),"Wyvern")</f>
        <v>Wyvern</v>
      </c>
      <c r="B633" s="197" t="str">
        <f>IFERROR(__xludf.DUMMYFUNCTION("""COMPUTED_VALUE"""),"Amphora")</f>
        <v>Amphora</v>
      </c>
      <c r="C633" s="197">
        <f t="shared" si="1"/>
        <v>1</v>
      </c>
      <c r="D633" s="20" t="s">
        <v>2722</v>
      </c>
      <c r="E633" s="20">
        <v>1.0</v>
      </c>
    </row>
    <row r="634">
      <c r="A634" s="196"/>
      <c r="B634" s="197" t="str">
        <f>IFERROR(__xludf.DUMMYFUNCTION("""COMPUTED_VALUE"""),"Intrusive")</f>
        <v>Intrusive</v>
      </c>
      <c r="C634" s="197">
        <f t="shared" si="1"/>
        <v>1</v>
      </c>
      <c r="D634" s="20" t="s">
        <v>2723</v>
      </c>
      <c r="E634" s="20">
        <v>1.0</v>
      </c>
    </row>
    <row r="635">
      <c r="A635" s="196"/>
      <c r="B635" s="197" t="str">
        <f>IFERROR(__xludf.DUMMYFUNCTION("""COMPUTED_VALUE"""),"Advisor")</f>
        <v>Advisor</v>
      </c>
      <c r="C635" s="197">
        <f t="shared" si="1"/>
        <v>1</v>
      </c>
      <c r="D635" s="20" t="s">
        <v>2724</v>
      </c>
      <c r="E635" s="20">
        <v>1.0</v>
      </c>
    </row>
    <row r="636">
      <c r="A636" s="196"/>
      <c r="B636" s="197" t="str">
        <f>IFERROR(__xludf.DUMMYFUNCTION("""COMPUTED_VALUE"""),"Heaven")</f>
        <v>Heaven</v>
      </c>
      <c r="C636" s="197">
        <f t="shared" si="1"/>
        <v>1</v>
      </c>
      <c r="D636" s="20" t="s">
        <v>2725</v>
      </c>
      <c r="E636" s="20">
        <v>1.0</v>
      </c>
    </row>
    <row r="637">
      <c r="A637" s="196" t="str">
        <f>IFERROR(__xludf.DUMMYFUNCTION("""COMPUTED_VALUE"""),"Skulloath")</f>
        <v>Skulloath</v>
      </c>
      <c r="B637" s="197" t="str">
        <f>IFERROR(__xludf.DUMMYFUNCTION("""COMPUTED_VALUE"""),"Pestilence")</f>
        <v>Pestilence</v>
      </c>
      <c r="C637" s="197">
        <f t="shared" si="1"/>
        <v>1</v>
      </c>
      <c r="D637" s="20" t="s">
        <v>2726</v>
      </c>
      <c r="E637" s="20">
        <v>1.0</v>
      </c>
    </row>
    <row r="638">
      <c r="A638" s="196" t="str">
        <f>IFERROR(__xludf.DUMMYFUNCTION("""COMPUTED_VALUE"""),"Lootclaimer")</f>
        <v>Lootclaimer</v>
      </c>
      <c r="B638" s="197" t="str">
        <f>IFERROR(__xludf.DUMMYFUNCTION("""COMPUTED_VALUE"""),"Haze")</f>
        <v>Haze</v>
      </c>
      <c r="C638" s="197">
        <f t="shared" si="1"/>
        <v>1</v>
      </c>
      <c r="D638" s="20" t="s">
        <v>2727</v>
      </c>
      <c r="E638" s="20">
        <v>1.0</v>
      </c>
    </row>
    <row r="639">
      <c r="A639" s="196"/>
      <c r="B639" s="197" t="str">
        <f>IFERROR(__xludf.DUMMYFUNCTION("""COMPUTED_VALUE"""),"Lamp")</f>
        <v>Lamp</v>
      </c>
      <c r="C639" s="197">
        <f t="shared" si="1"/>
        <v>1</v>
      </c>
      <c r="D639" s="20" t="s">
        <v>2728</v>
      </c>
      <c r="E639" s="20">
        <v>1.0</v>
      </c>
    </row>
    <row r="640">
      <c r="A640" s="196"/>
      <c r="B640" s="197" t="str">
        <f>IFERROR(__xludf.DUMMYFUNCTION("""COMPUTED_VALUE"""),"Oblivion")</f>
        <v>Oblivion</v>
      </c>
      <c r="C640" s="197">
        <f t="shared" si="1"/>
        <v>1</v>
      </c>
      <c r="D640" s="20" t="s">
        <v>2729</v>
      </c>
      <c r="E640" s="20">
        <v>1.0</v>
      </c>
    </row>
    <row r="641">
      <c r="A641" s="196"/>
      <c r="B641" s="197" t="str">
        <f>IFERROR(__xludf.DUMMYFUNCTION("""COMPUTED_VALUE"""),"Rejuvenating")</f>
        <v>Rejuvenating</v>
      </c>
      <c r="C641" s="197">
        <f t="shared" si="1"/>
        <v>1</v>
      </c>
      <c r="D641" s="20" t="s">
        <v>2730</v>
      </c>
      <c r="E641" s="20">
        <v>1.0</v>
      </c>
    </row>
    <row r="642">
      <c r="A642" s="196" t="str">
        <f>IFERROR(__xludf.DUMMYFUNCTION("""COMPUTED_VALUE"""),"Spell")</f>
        <v>Spell</v>
      </c>
      <c r="B642" s="197" t="str">
        <f>IFERROR(__xludf.DUMMYFUNCTION("""COMPUTED_VALUE"""),"Blinking")</f>
        <v>Blinking</v>
      </c>
      <c r="C642" s="197">
        <f t="shared" si="1"/>
        <v>1</v>
      </c>
      <c r="D642" s="20" t="s">
        <v>2731</v>
      </c>
      <c r="E642" s="20">
        <v>1.0</v>
      </c>
    </row>
    <row r="643">
      <c r="A643" s="196" t="str">
        <f>IFERROR(__xludf.DUMMYFUNCTION("""COMPUTED_VALUE"""),"Cat")</f>
        <v>Cat</v>
      </c>
      <c r="B643" s="197" t="str">
        <f>IFERROR(__xludf.DUMMYFUNCTION("""COMPUTED_VALUE"""),"Onyxion")</f>
        <v>Onyxion</v>
      </c>
      <c r="C643" s="197">
        <f t="shared" si="1"/>
        <v>1</v>
      </c>
      <c r="D643" s="20" t="s">
        <v>2732</v>
      </c>
      <c r="E643" s="20">
        <v>1.0</v>
      </c>
    </row>
    <row r="644">
      <c r="A644" s="196"/>
      <c r="B644" s="197" t="str">
        <f>IFERROR(__xludf.DUMMYFUNCTION("""COMPUTED_VALUE"""),"Thalis")</f>
        <v>Thalis</v>
      </c>
      <c r="C644" s="197">
        <f t="shared" si="1"/>
        <v>1</v>
      </c>
      <c r="D644" s="20" t="s">
        <v>2733</v>
      </c>
      <c r="E644" s="20">
        <v>1.0</v>
      </c>
    </row>
    <row r="645">
      <c r="A645" s="196"/>
      <c r="B645" s="197" t="str">
        <f>IFERROR(__xludf.DUMMYFUNCTION("""COMPUTED_VALUE"""),"Fuming")</f>
        <v>Fuming</v>
      </c>
      <c r="C645" s="197">
        <f t="shared" si="1"/>
        <v>1</v>
      </c>
      <c r="D645" s="20" t="s">
        <v>1936</v>
      </c>
      <c r="E645" s="20">
        <v>1.0</v>
      </c>
    </row>
    <row r="646">
      <c r="A646" s="196"/>
      <c r="B646" s="197" t="str">
        <f>IFERROR(__xludf.DUMMYFUNCTION("""COMPUTED_VALUE"""),"Fukuisaur")</f>
        <v>Fukuisaur</v>
      </c>
      <c r="C646" s="197">
        <f t="shared" si="1"/>
        <v>1</v>
      </c>
      <c r="D646" s="20" t="s">
        <v>2734</v>
      </c>
      <c r="E646" s="20">
        <v>1.0</v>
      </c>
    </row>
    <row r="647">
      <c r="A647" s="196" t="str">
        <f>IFERROR(__xludf.DUMMYFUNCTION("""COMPUTED_VALUE"""),"Vermillion")</f>
        <v>Vermillion</v>
      </c>
      <c r="B647" s="197" t="str">
        <f>IFERROR(__xludf.DUMMYFUNCTION("""COMPUTED_VALUE"""),"Spreading")</f>
        <v>Spreading</v>
      </c>
      <c r="C647" s="197">
        <f t="shared" si="1"/>
        <v>1</v>
      </c>
      <c r="D647" s="20" t="s">
        <v>2735</v>
      </c>
      <c r="E647" s="20">
        <v>1.0</v>
      </c>
    </row>
    <row r="648">
      <c r="A648" s="196" t="str">
        <f>IFERROR(__xludf.DUMMYFUNCTION("""COMPUTED_VALUE"""),"Firebird")</f>
        <v>Firebird</v>
      </c>
      <c r="B648" s="197" t="str">
        <f>IFERROR(__xludf.DUMMYFUNCTION("""COMPUTED_VALUE"""),"Spore")</f>
        <v>Spore</v>
      </c>
      <c r="C648" s="197">
        <f t="shared" si="1"/>
        <v>1</v>
      </c>
      <c r="D648" s="20" t="s">
        <v>2736</v>
      </c>
      <c r="E648" s="20">
        <v>1.0</v>
      </c>
    </row>
    <row r="649">
      <c r="A649" s="196"/>
      <c r="B649" s="197" t="str">
        <f>IFERROR(__xludf.DUMMYFUNCTION("""COMPUTED_VALUE"""),"Nightmare")</f>
        <v>Nightmare</v>
      </c>
      <c r="C649" s="197">
        <f t="shared" si="1"/>
        <v>2</v>
      </c>
      <c r="D649" s="20" t="s">
        <v>2737</v>
      </c>
      <c r="E649" s="20">
        <v>1.0</v>
      </c>
    </row>
    <row r="650">
      <c r="A650" s="196"/>
      <c r="B650" s="197" t="str">
        <f>IFERROR(__xludf.DUMMYFUNCTION("""COMPUTED_VALUE"""),"Chapel")</f>
        <v>Chapel</v>
      </c>
      <c r="C650" s="197">
        <f t="shared" si="1"/>
        <v>1</v>
      </c>
      <c r="D650" s="20" t="s">
        <v>2738</v>
      </c>
      <c r="E650" s="20">
        <v>1.0</v>
      </c>
    </row>
    <row r="651">
      <c r="A651" s="196"/>
      <c r="B651" s="197" t="str">
        <f>IFERROR(__xludf.DUMMYFUNCTION("""COMPUTED_VALUE"""),"Watcher")</f>
        <v>Watcher</v>
      </c>
      <c r="C651" s="197">
        <f t="shared" si="1"/>
        <v>1</v>
      </c>
      <c r="D651" s="20" t="s">
        <v>2739</v>
      </c>
      <c r="E651" s="20">
        <v>1.0</v>
      </c>
    </row>
    <row r="652">
      <c r="A652" s="196" t="str">
        <f>IFERROR(__xludf.DUMMYFUNCTION("""COMPUTED_VALUE"""),"Oasisdweller")</f>
        <v>Oasisdweller</v>
      </c>
      <c r="B652" s="197" t="str">
        <f>IFERROR(__xludf.DUMMYFUNCTION("""COMPUTED_VALUE"""),"Luring")</f>
        <v>Luring</v>
      </c>
      <c r="C652" s="197">
        <f t="shared" si="1"/>
        <v>1</v>
      </c>
      <c r="D652" s="20" t="s">
        <v>2740</v>
      </c>
      <c r="E652" s="20">
        <v>1.0</v>
      </c>
    </row>
    <row r="653">
      <c r="A653" s="196"/>
      <c r="B653" s="197" t="str">
        <f>IFERROR(__xludf.DUMMYFUNCTION("""COMPUTED_VALUE"""),"Flametooth")</f>
        <v>Flametooth</v>
      </c>
      <c r="C653" s="197">
        <f t="shared" si="1"/>
        <v>1</v>
      </c>
      <c r="D653" s="20" t="s">
        <v>2741</v>
      </c>
      <c r="E653" s="20">
        <v>1.0</v>
      </c>
    </row>
    <row r="654">
      <c r="A654" s="196"/>
      <c r="B654" s="197" t="str">
        <f>IFERROR(__xludf.DUMMYFUNCTION("""COMPUTED_VALUE"""),"Shardsplosion")</f>
        <v>Shardsplosion</v>
      </c>
      <c r="C654" s="197">
        <f t="shared" si="1"/>
        <v>1</v>
      </c>
      <c r="D654" s="20" t="s">
        <v>2742</v>
      </c>
      <c r="E654" s="20">
        <v>1.0</v>
      </c>
    </row>
    <row r="655">
      <c r="A655" s="196"/>
      <c r="B655" s="197" t="str">
        <f>IFERROR(__xludf.DUMMYFUNCTION("""COMPUTED_VALUE"""),"Dragoncaller")</f>
        <v>Dragoncaller</v>
      </c>
      <c r="C655" s="197">
        <f t="shared" si="1"/>
        <v>1</v>
      </c>
      <c r="D655" s="20" t="s">
        <v>2743</v>
      </c>
      <c r="E655" s="20">
        <v>1.0</v>
      </c>
    </row>
    <row r="656">
      <c r="A656" s="196"/>
      <c r="B656" s="197" t="str">
        <f>IFERROR(__xludf.DUMMYFUNCTION("""COMPUTED_VALUE"""),"Stalagmite")</f>
        <v>Stalagmite</v>
      </c>
      <c r="C656" s="197">
        <f t="shared" si="1"/>
        <v>1</v>
      </c>
      <c r="D656" s="20" t="s">
        <v>2744</v>
      </c>
      <c r="E656" s="20">
        <v>1.0</v>
      </c>
    </row>
    <row r="657">
      <c r="A657" s="196" t="str">
        <f>IFERROR(__xludf.DUMMYFUNCTION("""COMPUTED_VALUE"""),"Portalrunner")</f>
        <v>Portalrunner</v>
      </c>
      <c r="B657" s="197" t="str">
        <f>IFERROR(__xludf.DUMMYFUNCTION("""COMPUTED_VALUE"""),"Mirage")</f>
        <v>Mirage</v>
      </c>
      <c r="C657" s="197">
        <f t="shared" si="1"/>
        <v>1</v>
      </c>
      <c r="D657" s="20" t="s">
        <v>2745</v>
      </c>
      <c r="E657" s="20">
        <v>1.0</v>
      </c>
    </row>
    <row r="658">
      <c r="A658" s="196"/>
      <c r="B658" s="197" t="str">
        <f>IFERROR(__xludf.DUMMYFUNCTION("""COMPUTED_VALUE"""),"Heavenbound")</f>
        <v>Heavenbound</v>
      </c>
      <c r="C658" s="197">
        <f t="shared" si="1"/>
        <v>1</v>
      </c>
      <c r="D658" s="20" t="s">
        <v>1967</v>
      </c>
      <c r="E658" s="20">
        <v>1.0</v>
      </c>
    </row>
    <row r="659">
      <c r="A659" s="196"/>
      <c r="B659" s="197" t="str">
        <f>IFERROR(__xludf.DUMMYFUNCTION("""COMPUTED_VALUE"""),"Heka-Mage")</f>
        <v>Heka-Mage</v>
      </c>
      <c r="C659" s="197">
        <f t="shared" si="1"/>
        <v>1</v>
      </c>
      <c r="D659" s="20" t="s">
        <v>1969</v>
      </c>
      <c r="E659" s="20">
        <v>1.0</v>
      </c>
    </row>
    <row r="660">
      <c r="A660" s="196"/>
      <c r="B660" s="197" t="str">
        <f>IFERROR(__xludf.DUMMYFUNCTION("""COMPUTED_VALUE"""),"Twilight")</f>
        <v>Twilight</v>
      </c>
      <c r="C660" s="197">
        <f t="shared" si="1"/>
        <v>2</v>
      </c>
      <c r="D660" s="20" t="s">
        <v>2746</v>
      </c>
      <c r="E660" s="20">
        <v>1.0</v>
      </c>
    </row>
    <row r="661">
      <c r="A661" s="196"/>
      <c r="B661" s="197" t="str">
        <f>IFERROR(__xludf.DUMMYFUNCTION("""COMPUTED_VALUE"""),"Sorceress")</f>
        <v>Sorceress</v>
      </c>
      <c r="C661" s="197">
        <f t="shared" si="1"/>
        <v>1</v>
      </c>
      <c r="D661" s="20" t="s">
        <v>2747</v>
      </c>
      <c r="E661" s="20">
        <v>1.0</v>
      </c>
    </row>
    <row r="662">
      <c r="A662" s="196" t="str">
        <f>IFERROR(__xludf.DUMMYFUNCTION("""COMPUTED_VALUE"""),"Cinderguard")</f>
        <v>Cinderguard</v>
      </c>
      <c r="B662" s="197" t="str">
        <f>IFERROR(__xludf.DUMMYFUNCTION("""COMPUTED_VALUE"""),"Twinfang")</f>
        <v>Twinfang</v>
      </c>
      <c r="C662" s="197">
        <f t="shared" si="1"/>
        <v>1</v>
      </c>
      <c r="D662" s="20" t="s">
        <v>2748</v>
      </c>
      <c r="E662" s="20">
        <v>1.0</v>
      </c>
    </row>
    <row r="663">
      <c r="A663" s="196" t="str">
        <f>IFERROR(__xludf.DUMMYFUNCTION("""COMPUTED_VALUE"""),"Irregulars")</f>
        <v>Irregulars</v>
      </c>
      <c r="B663" s="197" t="str">
        <f>IFERROR(__xludf.DUMMYFUNCTION("""COMPUTED_VALUE"""),"Huntcaller")</f>
        <v>Huntcaller</v>
      </c>
      <c r="C663" s="197">
        <f t="shared" si="1"/>
        <v>1</v>
      </c>
      <c r="D663" s="20" t="s">
        <v>2749</v>
      </c>
      <c r="E663" s="20">
        <v>1.0</v>
      </c>
    </row>
    <row r="664">
      <c r="A664" s="196"/>
      <c r="B664" s="197" t="str">
        <f>IFERROR(__xludf.DUMMYFUNCTION("""COMPUTED_VALUE"""),"Vanguard")</f>
        <v>Vanguard</v>
      </c>
      <c r="C664" s="197">
        <f t="shared" si="1"/>
        <v>1</v>
      </c>
      <c r="D664" s="20" t="s">
        <v>2750</v>
      </c>
      <c r="E664" s="20">
        <v>1.0</v>
      </c>
    </row>
    <row r="665">
      <c r="A665" s="196"/>
      <c r="B665" s="197" t="str">
        <f>IFERROR(__xludf.DUMMYFUNCTION("""COMPUTED_VALUE"""),"#VALUE!")</f>
        <v>#VALUE!</v>
      </c>
      <c r="C665" s="197">
        <f t="shared" si="1"/>
        <v>1</v>
      </c>
      <c r="D665" s="20" t="s">
        <v>2751</v>
      </c>
      <c r="E665" s="20">
        <v>1.0</v>
      </c>
    </row>
    <row r="666">
      <c r="A666" s="196"/>
      <c r="B666" s="197" t="str">
        <f>IFERROR(__xludf.DUMMYFUNCTION("""COMPUTED_VALUE"""),"Behemoth")</f>
        <v>Behemoth</v>
      </c>
      <c r="C666" s="197">
        <f t="shared" si="1"/>
        <v>2</v>
      </c>
      <c r="D666" s="20" t="s">
        <v>2752</v>
      </c>
      <c r="E666" s="20">
        <v>1.0</v>
      </c>
    </row>
    <row r="667">
      <c r="A667" s="196" t="str">
        <f>IFERROR(__xludf.DUMMYFUNCTION("""COMPUTED_VALUE"""),"Steelclaw")</f>
        <v>Steelclaw</v>
      </c>
      <c r="B667" s="197" t="str">
        <f>IFERROR(__xludf.DUMMYFUNCTION("""COMPUTED_VALUE"""),"Guider")</f>
        <v>Guider</v>
      </c>
      <c r="C667" s="197">
        <f t="shared" si="1"/>
        <v>1</v>
      </c>
      <c r="D667" s="20" t="s">
        <v>2753</v>
      </c>
      <c r="E667" s="20">
        <v>1.0</v>
      </c>
    </row>
    <row r="668">
      <c r="A668" s="196" t="str">
        <f>IFERROR(__xludf.DUMMYFUNCTION("""COMPUTED_VALUE"""),"Veterans")</f>
        <v>Veterans</v>
      </c>
      <c r="B668" s="197" t="str">
        <f>IFERROR(__xludf.DUMMYFUNCTION("""COMPUTED_VALUE"""),"Yesterknight")</f>
        <v>Yesterknight</v>
      </c>
      <c r="C668" s="197">
        <f t="shared" si="1"/>
        <v>1</v>
      </c>
      <c r="D668" s="20" t="e">
        <v>#VALUE!</v>
      </c>
      <c r="E668" s="20">
        <v>1.0</v>
      </c>
    </row>
    <row r="669">
      <c r="A669" s="196"/>
      <c r="B669" s="197" t="str">
        <f>IFERROR(__xludf.DUMMYFUNCTION("""COMPUTED_VALUE"""),"Alchemist")</f>
        <v>Alchemist</v>
      </c>
      <c r="C669" s="197">
        <f t="shared" si="1"/>
        <v>1</v>
      </c>
      <c r="D669" s="20" t="s">
        <v>2754</v>
      </c>
      <c r="E669" s="20">
        <v>1.0</v>
      </c>
    </row>
    <row r="670">
      <c r="A670" s="196"/>
      <c r="B670" s="197" t="str">
        <f>IFERROR(__xludf.DUMMYFUNCTION("""COMPUTED_VALUE"""),"Mirrorkin")</f>
        <v>Mirrorkin</v>
      </c>
      <c r="C670" s="197">
        <f t="shared" si="1"/>
        <v>1</v>
      </c>
      <c r="D670" s="20" t="s">
        <v>2755</v>
      </c>
      <c r="E670" s="20">
        <v>1.0</v>
      </c>
    </row>
    <row r="671">
      <c r="A671" s="196"/>
      <c r="B671" s="197" t="str">
        <f>IFERROR(__xludf.DUMMYFUNCTION("""COMPUTED_VALUE"""),"Ticking")</f>
        <v>Ticking</v>
      </c>
      <c r="C671" s="197">
        <f t="shared" si="1"/>
        <v>1</v>
      </c>
      <c r="D671" s="20" t="s">
        <v>2756</v>
      </c>
      <c r="E671" s="20">
        <v>1.0</v>
      </c>
    </row>
    <row r="672">
      <c r="A672" s="196" t="str">
        <f>IFERROR(__xludf.DUMMYFUNCTION("""COMPUTED_VALUE"""),"Crazed")</f>
        <v>Crazed</v>
      </c>
      <c r="B672" s="197" t="str">
        <f>IFERROR(__xludf.DUMMYFUNCTION("""COMPUTED_VALUE"""),"Tick")</f>
        <v>Tick</v>
      </c>
      <c r="C672" s="197">
        <f t="shared" si="1"/>
        <v>1</v>
      </c>
      <c r="D672" s="20" t="s">
        <v>1994</v>
      </c>
      <c r="E672" s="20">
        <v>1.0</v>
      </c>
    </row>
    <row r="673">
      <c r="A673" s="196" t="str">
        <f>IFERROR(__xludf.DUMMYFUNCTION("""COMPUTED_VALUE"""),"Hermit")</f>
        <v>Hermit</v>
      </c>
      <c r="B673" s="197" t="str">
        <f>IFERROR(__xludf.DUMMYFUNCTION("""COMPUTED_VALUE"""),"Sucker")</f>
        <v>Sucker</v>
      </c>
      <c r="C673" s="197">
        <f t="shared" si="1"/>
        <v>5</v>
      </c>
      <c r="D673" s="20" t="s">
        <v>2757</v>
      </c>
      <c r="E673" s="20">
        <v>1.0</v>
      </c>
    </row>
    <row r="674">
      <c r="A674" s="196"/>
      <c r="B674" s="197" t="str">
        <f>IFERROR(__xludf.DUMMYFUNCTION("""COMPUTED_VALUE"""),"Conduit")</f>
        <v>Conduit</v>
      </c>
      <c r="C674" s="197">
        <f t="shared" si="1"/>
        <v>1</v>
      </c>
      <c r="D674" s="20" t="s">
        <v>2758</v>
      </c>
      <c r="E674" s="20">
        <v>1.0</v>
      </c>
    </row>
    <row r="675">
      <c r="A675" s="196"/>
      <c r="B675" s="197" t="str">
        <f>IFERROR(__xludf.DUMMYFUNCTION("""COMPUTED_VALUE"""),"Scale")</f>
        <v>Scale</v>
      </c>
      <c r="C675" s="197">
        <f t="shared" si="1"/>
        <v>1</v>
      </c>
      <c r="D675" s="20" t="s">
        <v>2759</v>
      </c>
      <c r="E675" s="20">
        <v>1.0</v>
      </c>
    </row>
    <row r="676">
      <c r="A676" s="196"/>
      <c r="B676" s="197" t="str">
        <f>IFERROR(__xludf.DUMMYFUNCTION("""COMPUTED_VALUE"""),"Nethersilk")</f>
        <v>Nethersilk</v>
      </c>
      <c r="C676" s="197">
        <f t="shared" si="1"/>
        <v>1</v>
      </c>
      <c r="D676" s="20" t="s">
        <v>2760</v>
      </c>
      <c r="E676" s="20">
        <v>1.0</v>
      </c>
    </row>
    <row r="677">
      <c r="A677" s="196" t="str">
        <f>IFERROR(__xludf.DUMMYFUNCTION("""COMPUTED_VALUE"""),"Galeweaver")</f>
        <v>Galeweaver</v>
      </c>
      <c r="B677" s="197" t="str">
        <f>IFERROR(__xludf.DUMMYFUNCTION("""COMPUTED_VALUE"""),"Moth")</f>
        <v>Moth</v>
      </c>
      <c r="C677" s="197">
        <f t="shared" si="1"/>
        <v>1</v>
      </c>
      <c r="D677" s="20" t="s">
        <v>2761</v>
      </c>
      <c r="E677" s="20">
        <v>1.0</v>
      </c>
    </row>
    <row r="678">
      <c r="A678" s="196"/>
      <c r="B678" s="197" t="str">
        <f>IFERROR(__xludf.DUMMYFUNCTION("""COMPUTED_VALUE"""),"Penguin")</f>
        <v>Penguin</v>
      </c>
      <c r="C678" s="197">
        <f t="shared" si="1"/>
        <v>1</v>
      </c>
      <c r="D678" s="20" t="s">
        <v>2762</v>
      </c>
      <c r="E678" s="20">
        <v>1.0</v>
      </c>
    </row>
    <row r="679">
      <c r="A679" s="196"/>
      <c r="B679" s="197" t="str">
        <f>IFERROR(__xludf.DUMMYFUNCTION("""COMPUTED_VALUE"""),"Possessed")</f>
        <v>Possessed</v>
      </c>
      <c r="C679" s="197">
        <f t="shared" si="1"/>
        <v>1</v>
      </c>
      <c r="D679" s="20" t="s">
        <v>2763</v>
      </c>
      <c r="E679" s="20">
        <v>1.0</v>
      </c>
    </row>
    <row r="680">
      <c r="A680" s="196"/>
      <c r="B680" s="197" t="str">
        <f>IFERROR(__xludf.DUMMYFUNCTION("""COMPUTED_VALUE"""),"Vermin")</f>
        <v>Vermin</v>
      </c>
      <c r="C680" s="197">
        <f t="shared" si="1"/>
        <v>1</v>
      </c>
      <c r="D680" s="20" t="s">
        <v>2764</v>
      </c>
      <c r="E680" s="20">
        <v>1.0</v>
      </c>
    </row>
    <row r="681">
      <c r="A681" s="196"/>
      <c r="B681" s="197" t="str">
        <f>IFERROR(__xludf.DUMMYFUNCTION("""COMPUTED_VALUE"""),"Brood")</f>
        <v>Brood</v>
      </c>
      <c r="C681" s="197">
        <f t="shared" si="1"/>
        <v>1</v>
      </c>
      <c r="D681" s="20" t="s">
        <v>2765</v>
      </c>
      <c r="E681" s="20">
        <v>1.0</v>
      </c>
    </row>
    <row r="682">
      <c r="A682" s="196" t="str">
        <f>IFERROR(__xludf.DUMMYFUNCTION("""COMPUTED_VALUE"""),"Lurking")</f>
        <v>Lurking</v>
      </c>
      <c r="B682" s="197" t="str">
        <f>IFERROR(__xludf.DUMMYFUNCTION("""COMPUTED_VALUE"""),"Shadowsting")</f>
        <v>Shadowsting</v>
      </c>
      <c r="C682" s="197">
        <f t="shared" si="1"/>
        <v>1</v>
      </c>
      <c r="D682" s="20" t="s">
        <v>2766</v>
      </c>
      <c r="E682" s="20">
        <v>1.0</v>
      </c>
    </row>
    <row r="683">
      <c r="A683" s="196" t="str">
        <f>IFERROR(__xludf.DUMMYFUNCTION("""COMPUTED_VALUE"""),"Canopystomper")</f>
        <v>Canopystomper</v>
      </c>
      <c r="B683" s="197" t="str">
        <f>IFERROR(__xludf.DUMMYFUNCTION("""COMPUTED_VALUE"""),"Shiverskull")</f>
        <v>Shiverskull</v>
      </c>
      <c r="C683" s="197">
        <f t="shared" si="1"/>
        <v>1</v>
      </c>
      <c r="D683" s="20" t="s">
        <v>2767</v>
      </c>
      <c r="E683" s="20">
        <v>1.0</v>
      </c>
    </row>
    <row r="684">
      <c r="A684" s="196"/>
      <c r="B684" s="197" t="str">
        <f>IFERROR(__xludf.DUMMYFUNCTION("""COMPUTED_VALUE"""),"Skull")</f>
        <v>Skull</v>
      </c>
      <c r="C684" s="197">
        <f t="shared" si="1"/>
        <v>1</v>
      </c>
      <c r="D684" s="20" t="s">
        <v>2030</v>
      </c>
      <c r="E684" s="20">
        <v>1.0</v>
      </c>
    </row>
    <row r="685">
      <c r="A685" s="196"/>
      <c r="B685" s="197" t="str">
        <f>IFERROR(__xludf.DUMMYFUNCTION("""COMPUTED_VALUE"""),"Crow")</f>
        <v>Crow</v>
      </c>
      <c r="C685" s="197">
        <f t="shared" si="1"/>
        <v>1</v>
      </c>
      <c r="D685" s="20" t="s">
        <v>2768</v>
      </c>
      <c r="E685" s="20">
        <v>1.0</v>
      </c>
    </row>
    <row r="686">
      <c r="A686" s="196"/>
      <c r="B686" s="197" t="str">
        <f>IFERROR(__xludf.DUMMYFUNCTION("""COMPUTED_VALUE"""),"Symbiotic")</f>
        <v>Symbiotic</v>
      </c>
      <c r="C686" s="197">
        <f t="shared" si="1"/>
        <v>1</v>
      </c>
      <c r="D686" s="20" t="s">
        <v>2769</v>
      </c>
      <c r="E686" s="20">
        <v>1.0</v>
      </c>
    </row>
    <row r="687">
      <c r="A687" s="196" t="str">
        <f>IFERROR(__xludf.DUMMYFUNCTION("""COMPUTED_VALUE"""),"Resourceful")</f>
        <v>Resourceful</v>
      </c>
      <c r="B687" s="197" t="str">
        <f>IFERROR(__xludf.DUMMYFUNCTION("""COMPUTED_VALUE"""),"Crawler")</f>
        <v>Crawler</v>
      </c>
      <c r="C687" s="197">
        <f t="shared" si="1"/>
        <v>1</v>
      </c>
      <c r="D687" s="20" t="s">
        <v>2770</v>
      </c>
      <c r="E687" s="20">
        <v>1.0</v>
      </c>
    </row>
    <row r="688">
      <c r="A688" s="196" t="str">
        <f>IFERROR(__xludf.DUMMYFUNCTION("""COMPUTED_VALUE"""),"Poacher")</f>
        <v>Poacher</v>
      </c>
      <c r="B688" s="197" t="str">
        <f>IFERROR(__xludf.DUMMYFUNCTION("""COMPUTED_VALUE"""),"Nightreaper")</f>
        <v>Nightreaper</v>
      </c>
      <c r="C688" s="197">
        <f t="shared" si="1"/>
        <v>1</v>
      </c>
      <c r="D688" s="20" t="s">
        <v>2771</v>
      </c>
      <c r="E688" s="20">
        <v>1.0</v>
      </c>
    </row>
    <row r="689">
      <c r="A689" s="196"/>
      <c r="B689" s="197" t="str">
        <f>IFERROR(__xludf.DUMMYFUNCTION("""COMPUTED_VALUE"""),"King")</f>
        <v>King</v>
      </c>
      <c r="C689" s="197">
        <f t="shared" si="1"/>
        <v>1</v>
      </c>
      <c r="D689" s="20" t="s">
        <v>2041</v>
      </c>
      <c r="E689" s="20">
        <v>1.0</v>
      </c>
    </row>
    <row r="690">
      <c r="A690" s="196"/>
      <c r="B690" s="197" t="str">
        <f>IFERROR(__xludf.DUMMYFUNCTION("""COMPUTED_VALUE"""),"Gorgon")</f>
        <v>Gorgon</v>
      </c>
      <c r="C690" s="197">
        <f t="shared" si="1"/>
        <v>1</v>
      </c>
      <c r="D690" s="20" t="s">
        <v>2772</v>
      </c>
      <c r="E690" s="20">
        <v>1.0</v>
      </c>
    </row>
    <row r="691">
      <c r="A691" s="196"/>
      <c r="B691" s="197" t="str">
        <f>IFERROR(__xludf.DUMMYFUNCTION("""COMPUTED_VALUE"""),"Serpentress")</f>
        <v>Serpentress</v>
      </c>
      <c r="C691" s="197">
        <f t="shared" si="1"/>
        <v>1</v>
      </c>
      <c r="D691" s="20" t="s">
        <v>2773</v>
      </c>
      <c r="E691" s="20">
        <v>1.0</v>
      </c>
    </row>
    <row r="692">
      <c r="A692" s="196" t="str">
        <f>IFERROR(__xludf.DUMMYFUNCTION("""COMPUTED_VALUE"""),"Infernoblight")</f>
        <v>Infernoblight</v>
      </c>
      <c r="B692" s="197" t="str">
        <f>IFERROR(__xludf.DUMMYFUNCTION("""COMPUTED_VALUE"""),"Ill-Tempered")</f>
        <v>Ill-Tempered</v>
      </c>
      <c r="C692" s="197">
        <f t="shared" si="1"/>
        <v>1</v>
      </c>
      <c r="D692" s="20" t="s">
        <v>2774</v>
      </c>
      <c r="E692" s="20">
        <v>1.0</v>
      </c>
    </row>
    <row r="693">
      <c r="A693" s="196"/>
      <c r="B693" s="197" t="str">
        <f>IFERROR(__xludf.DUMMYFUNCTION("""COMPUTED_VALUE"""),"Nightbloom")</f>
        <v>Nightbloom</v>
      </c>
      <c r="C693" s="197">
        <f t="shared" si="1"/>
        <v>1</v>
      </c>
      <c r="D693" s="20" t="s">
        <v>2775</v>
      </c>
      <c r="E693" s="20">
        <v>1.0</v>
      </c>
    </row>
    <row r="694">
      <c r="A694" s="196"/>
      <c r="B694" s="197" t="str">
        <f>IFERROR(__xludf.DUMMYFUNCTION("""COMPUTED_VALUE"""),"Owl")</f>
        <v>Owl</v>
      </c>
      <c r="C694" s="197">
        <f t="shared" si="1"/>
        <v>1</v>
      </c>
      <c r="D694" s="20" t="s">
        <v>2776</v>
      </c>
      <c r="E694" s="20">
        <v>1.0</v>
      </c>
    </row>
    <row r="695">
      <c r="A695" s="196"/>
      <c r="B695" s="197" t="str">
        <f>IFERROR(__xludf.DUMMYFUNCTION("""COMPUTED_VALUE"""),"Shroom")</f>
        <v>Shroom</v>
      </c>
      <c r="C695" s="197">
        <f t="shared" si="1"/>
        <v>1</v>
      </c>
      <c r="D695" s="20" t="s">
        <v>2777</v>
      </c>
      <c r="E695" s="20">
        <v>1.0</v>
      </c>
    </row>
    <row r="696">
      <c r="A696" s="196"/>
      <c r="B696" s="197" t="str">
        <f>IFERROR(__xludf.DUMMYFUNCTION("""COMPUTED_VALUE"""),"Hellblade")</f>
        <v>Hellblade</v>
      </c>
      <c r="C696" s="197">
        <f t="shared" si="1"/>
        <v>1</v>
      </c>
      <c r="D696" s="20" t="s">
        <v>2778</v>
      </c>
      <c r="E696" s="20">
        <v>1.0</v>
      </c>
    </row>
    <row r="697">
      <c r="A697" s="196" t="str">
        <f>IFERROR(__xludf.DUMMYFUNCTION("""COMPUTED_VALUE"""),"The")</f>
        <v>The</v>
      </c>
      <c r="B697" s="197" t="str">
        <f>IFERROR(__xludf.DUMMYFUNCTION("""COMPUTED_VALUE"""),"Eclipse")</f>
        <v>Eclipse</v>
      </c>
      <c r="C697" s="197">
        <f t="shared" si="1"/>
        <v>1</v>
      </c>
      <c r="D697" s="20" t="s">
        <v>2055</v>
      </c>
      <c r="E697" s="20">
        <v>1.0</v>
      </c>
    </row>
    <row r="698">
      <c r="A698" s="196" t="str">
        <f>IFERROR(__xludf.DUMMYFUNCTION("""COMPUTED_VALUE"""),"Skyshrieker")</f>
        <v>Skyshrieker</v>
      </c>
      <c r="B698" s="197" t="str">
        <f>IFERROR(__xludf.DUMMYFUNCTION("""COMPUTED_VALUE"""),"Scythe")</f>
        <v>Scythe</v>
      </c>
      <c r="C698" s="197">
        <f t="shared" si="1"/>
        <v>1</v>
      </c>
      <c r="D698" s="20" t="s">
        <v>2779</v>
      </c>
      <c r="E698" s="20">
        <v>1.0</v>
      </c>
    </row>
    <row r="699">
      <c r="A699" s="196"/>
      <c r="B699" s="197" t="str">
        <f>IFERROR(__xludf.DUMMYFUNCTION("""COMPUTED_VALUE"""),"Rotten")</f>
        <v>Rotten</v>
      </c>
      <c r="C699" s="197">
        <f t="shared" si="1"/>
        <v>1</v>
      </c>
      <c r="D699" s="20" t="s">
        <v>2780</v>
      </c>
      <c r="E699" s="20">
        <v>1.0</v>
      </c>
    </row>
    <row r="700">
      <c r="A700" s="196"/>
      <c r="B700" s="197" t="str">
        <f>IFERROR(__xludf.DUMMYFUNCTION("""COMPUTED_VALUE"""),"Stalker")</f>
        <v>Stalker</v>
      </c>
      <c r="C700" s="197">
        <f t="shared" si="1"/>
        <v>1</v>
      </c>
      <c r="D700" s="20" t="s">
        <v>2781</v>
      </c>
      <c r="E700" s="20">
        <v>1.0</v>
      </c>
    </row>
    <row r="701">
      <c r="A701" s="196"/>
      <c r="B701" s="197" t="str">
        <f>IFERROR(__xludf.DUMMYFUNCTION("""COMPUTED_VALUE"""),"Wringing")</f>
        <v>Wringing</v>
      </c>
      <c r="C701" s="197">
        <f t="shared" si="1"/>
        <v>1</v>
      </c>
      <c r="D701" s="20" t="s">
        <v>2782</v>
      </c>
      <c r="E701" s="20">
        <v>1.0</v>
      </c>
    </row>
    <row r="702">
      <c r="A702" s="196" t="str">
        <f>IFERROR(__xludf.DUMMYFUNCTION("""COMPUTED_VALUE"""),"Mistborn")</f>
        <v>Mistborn</v>
      </c>
      <c r="B702" s="197" t="str">
        <f>IFERROR(__xludf.DUMMYFUNCTION("""COMPUTED_VALUE"""),"Clawing")</f>
        <v>Clawing</v>
      </c>
      <c r="C702" s="197">
        <f t="shared" si="1"/>
        <v>1</v>
      </c>
      <c r="D702" s="20" t="s">
        <v>2783</v>
      </c>
      <c r="E702" s="20">
        <v>1.0</v>
      </c>
    </row>
    <row r="703">
      <c r="A703" s="196" t="str">
        <f>IFERROR(__xludf.DUMMYFUNCTION("""COMPUTED_VALUE"""),"Serpent")</f>
        <v>Serpent</v>
      </c>
      <c r="B703" s="197" t="str">
        <f>IFERROR(__xludf.DUMMYFUNCTION("""COMPUTED_VALUE"""),"Centipede")</f>
        <v>Centipede</v>
      </c>
      <c r="C703" s="197">
        <f t="shared" si="1"/>
        <v>1</v>
      </c>
      <c r="D703" s="20" t="s">
        <v>2784</v>
      </c>
      <c r="E703" s="20">
        <v>1.0</v>
      </c>
    </row>
    <row r="704">
      <c r="A704" s="196"/>
      <c r="B704" s="197" t="str">
        <f>IFERROR(__xludf.DUMMYFUNCTION("""COMPUTED_VALUE"""),"Voidsinger")</f>
        <v>Voidsinger</v>
      </c>
      <c r="C704" s="197">
        <f t="shared" si="1"/>
        <v>1</v>
      </c>
      <c r="D704" s="20" t="s">
        <v>2785</v>
      </c>
      <c r="E704" s="20">
        <v>1.0</v>
      </c>
    </row>
    <row r="705">
      <c r="A705" s="196"/>
      <c r="B705" s="197" t="str">
        <f>IFERROR(__xludf.DUMMYFUNCTION("""COMPUTED_VALUE"""),"Graverobbing")</f>
        <v>Graverobbing</v>
      </c>
      <c r="C705" s="197">
        <f t="shared" si="1"/>
        <v>1</v>
      </c>
      <c r="D705" s="20" t="s">
        <v>2067</v>
      </c>
      <c r="E705" s="20">
        <v>1.0</v>
      </c>
    </row>
    <row r="706">
      <c r="A706" s="196"/>
      <c r="B706" s="197" t="str">
        <f>IFERROR(__xludf.DUMMYFUNCTION("""COMPUTED_VALUE"""),"Robot")</f>
        <v>Robot</v>
      </c>
      <c r="C706" s="197">
        <f t="shared" si="1"/>
        <v>1</v>
      </c>
      <c r="D706" s="20" t="s">
        <v>2786</v>
      </c>
      <c r="E706" s="20">
        <v>1.0</v>
      </c>
    </row>
    <row r="707">
      <c r="A707" s="196" t="str">
        <f>IFERROR(__xludf.DUMMYFUNCTION("""COMPUTED_VALUE"""),"Bringer")</f>
        <v>Bringer</v>
      </c>
      <c r="B707" s="197" t="str">
        <f>IFERROR(__xludf.DUMMYFUNCTION("""COMPUTED_VALUE"""),"Bandage")</f>
        <v>Bandage</v>
      </c>
      <c r="C707" s="197">
        <f t="shared" si="1"/>
        <v>1</v>
      </c>
      <c r="D707" s="20" t="s">
        <v>2787</v>
      </c>
      <c r="E707" s="20">
        <v>1.0</v>
      </c>
    </row>
    <row r="708">
      <c r="A708" s="196" t="str">
        <f>IFERROR(__xludf.DUMMYFUNCTION("""COMPUTED_VALUE"""),"of")</f>
        <v>of</v>
      </c>
      <c r="B708" s="197" t="str">
        <f>IFERROR(__xludf.DUMMYFUNCTION("""COMPUTED_VALUE"""),"Deadfield")</f>
        <v>Deadfield</v>
      </c>
      <c r="C708" s="197">
        <f t="shared" si="1"/>
        <v>1</v>
      </c>
      <c r="D708" s="20" t="s">
        <v>2788</v>
      </c>
      <c r="E708" s="20">
        <v>1.0</v>
      </c>
    </row>
    <row r="709">
      <c r="A709" s="196" t="str">
        <f>IFERROR(__xludf.DUMMYFUNCTION("""COMPUTED_VALUE"""),"Bad")</f>
        <v>Bad</v>
      </c>
      <c r="B709" s="197" t="str">
        <f>IFERROR(__xludf.DUMMYFUNCTION("""COMPUTED_VALUE"""),"Tiller")</f>
        <v>Tiller</v>
      </c>
      <c r="C709" s="197">
        <f t="shared" si="1"/>
        <v>1</v>
      </c>
      <c r="D709" s="20" t="s">
        <v>2789</v>
      </c>
      <c r="E709" s="20">
        <v>1.0</v>
      </c>
    </row>
    <row r="710">
      <c r="A710" s="196" t="str">
        <f>IFERROR(__xludf.DUMMYFUNCTION("""COMPUTED_VALUE"""),"Omens")</f>
        <v>Omens</v>
      </c>
      <c r="B710" s="197" t="str">
        <f>IFERROR(__xludf.DUMMYFUNCTION("""COMPUTED_VALUE"""),"Frightweaver")</f>
        <v>Frightweaver</v>
      </c>
      <c r="C710" s="197">
        <f t="shared" si="1"/>
        <v>1</v>
      </c>
      <c r="D710" s="20" t="s">
        <v>2790</v>
      </c>
      <c r="E710" s="20">
        <v>1.0</v>
      </c>
    </row>
    <row r="711">
      <c r="A711" s="196"/>
      <c r="B711" s="197" t="str">
        <f>IFERROR(__xludf.DUMMYFUNCTION("""COMPUTED_VALUE"""),"Mini")</f>
        <v>Mini</v>
      </c>
      <c r="C711" s="197">
        <f t="shared" si="1"/>
        <v>1</v>
      </c>
      <c r="D711" s="20" t="s">
        <v>2078</v>
      </c>
      <c r="E711" s="20">
        <v>1.0</v>
      </c>
    </row>
    <row r="712">
      <c r="A712" s="196" t="str">
        <f>IFERROR(__xludf.DUMMYFUNCTION("""COMPUTED_VALUE"""),"Gaunt")</f>
        <v>Gaunt</v>
      </c>
      <c r="B712" s="197" t="str">
        <f>IFERROR(__xludf.DUMMYFUNCTION("""COMPUTED_VALUE"""),"Clocktower")</f>
        <v>Clocktower</v>
      </c>
      <c r="C712" s="197">
        <f t="shared" si="1"/>
        <v>1</v>
      </c>
      <c r="D712" s="20" t="s">
        <v>2791</v>
      </c>
      <c r="E712" s="20">
        <v>1.0</v>
      </c>
    </row>
    <row r="713">
      <c r="A713" s="196" t="str">
        <f>IFERROR(__xludf.DUMMYFUNCTION("""COMPUTED_VALUE"""),"Visitation")</f>
        <v>Visitation</v>
      </c>
      <c r="B713" s="197" t="str">
        <f>IFERROR(__xludf.DUMMYFUNCTION("""COMPUTED_VALUE"""),"Drake")</f>
        <v>Drake</v>
      </c>
      <c r="C713" s="197">
        <f t="shared" si="1"/>
        <v>1</v>
      </c>
      <c r="D713" s="20" t="s">
        <v>2792</v>
      </c>
      <c r="E713" s="20">
        <v>1.0</v>
      </c>
    </row>
    <row r="714">
      <c r="A714" s="196"/>
      <c r="B714" s="197" t="str">
        <f>IFERROR(__xludf.DUMMYFUNCTION("""COMPUTED_VALUE"""),"Roaming")</f>
        <v>Roaming</v>
      </c>
      <c r="C714" s="197">
        <f t="shared" si="1"/>
        <v>1</v>
      </c>
      <c r="D714" s="20" t="s">
        <v>2793</v>
      </c>
      <c r="E714" s="20">
        <v>1.0</v>
      </c>
    </row>
    <row r="715">
      <c r="A715" s="196"/>
      <c r="B715" s="197" t="str">
        <f>IFERROR(__xludf.DUMMYFUNCTION("""COMPUTED_VALUE"""),"Cherub")</f>
        <v>Cherub</v>
      </c>
      <c r="C715" s="197">
        <f t="shared" si="1"/>
        <v>1</v>
      </c>
      <c r="D715" s="20" t="s">
        <v>2794</v>
      </c>
      <c r="E715" s="20">
        <v>1.0</v>
      </c>
    </row>
    <row r="716">
      <c r="A716" s="196"/>
      <c r="B716" s="197" t="str">
        <f>IFERROR(__xludf.DUMMYFUNCTION("""COMPUTED_VALUE"""),"Bessy")</f>
        <v>Bessy</v>
      </c>
      <c r="C716" s="197">
        <f t="shared" si="1"/>
        <v>1</v>
      </c>
      <c r="D716" s="20" t="s">
        <v>2795</v>
      </c>
      <c r="E716" s="20">
        <v>1.0</v>
      </c>
    </row>
    <row r="717">
      <c r="A717" s="196" t="str">
        <f>IFERROR(__xludf.DUMMYFUNCTION("""COMPUTED_VALUE"""),"Lightning")</f>
        <v>Lightning</v>
      </c>
      <c r="B717" s="197" t="str">
        <f>IFERROR(__xludf.DUMMYFUNCTION("""COMPUTED_VALUE"""),"Realmshifter")</f>
        <v>Realmshifter</v>
      </c>
      <c r="C717" s="197">
        <f t="shared" si="1"/>
        <v>1</v>
      </c>
      <c r="D717" s="20" t="s">
        <v>2796</v>
      </c>
      <c r="E717" s="20">
        <v>1.0</v>
      </c>
    </row>
    <row r="718">
      <c r="A718" s="196" t="str">
        <f>IFERROR(__xludf.DUMMYFUNCTION("""COMPUTED_VALUE"""),"Manticore")</f>
        <v>Manticore</v>
      </c>
      <c r="B718" s="197" t="str">
        <f>IFERROR(__xludf.DUMMYFUNCTION("""COMPUTED_VALUE"""),"Shapeshifter")</f>
        <v>Shapeshifter</v>
      </c>
      <c r="C718" s="197">
        <f t="shared" si="1"/>
        <v>1</v>
      </c>
      <c r="D718" s="20" t="s">
        <v>2091</v>
      </c>
      <c r="E718" s="20">
        <v>1.0</v>
      </c>
    </row>
    <row r="719">
      <c r="A719" s="196"/>
      <c r="B719" s="197" t="str">
        <f>IFERROR(__xludf.DUMMYFUNCTION("""COMPUTED_VALUE"""),"Big")</f>
        <v>Big</v>
      </c>
      <c r="C719" s="197">
        <f t="shared" si="1"/>
        <v>1</v>
      </c>
      <c r="D719" s="20" t="s">
        <v>2095</v>
      </c>
      <c r="E719" s="20">
        <v>1.0</v>
      </c>
    </row>
    <row r="720">
      <c r="A720" s="196"/>
      <c r="B720" s="197" t="str">
        <f>IFERROR(__xludf.DUMMYFUNCTION("""COMPUTED_VALUE"""),"Dino")</f>
        <v>Dino</v>
      </c>
      <c r="C720" s="197">
        <f t="shared" si="1"/>
        <v>2</v>
      </c>
      <c r="D720" s="20" t="s">
        <v>2797</v>
      </c>
      <c r="E720" s="20">
        <v>1.0</v>
      </c>
    </row>
    <row r="721">
      <c r="A721" s="196"/>
      <c r="B721" s="197" t="str">
        <f>IFERROR(__xludf.DUMMYFUNCTION("""COMPUTED_VALUE"""),"Boy")</f>
        <v>Boy</v>
      </c>
      <c r="C721" s="197">
        <f t="shared" si="1"/>
        <v>2</v>
      </c>
      <c r="D721" s="20" t="s">
        <v>2798</v>
      </c>
      <c r="E721" s="20">
        <v>1.0</v>
      </c>
    </row>
    <row r="722">
      <c r="A722" s="196" t="str">
        <f>IFERROR(__xludf.DUMMYFUNCTION("""COMPUTED_VALUE"""),"Featherfrost")</f>
        <v>Featherfrost</v>
      </c>
      <c r="B722" s="197" t="str">
        <f>IFERROR(__xludf.DUMMYFUNCTION("""COMPUTED_VALUE"""),"Middle")</f>
        <v>Middle</v>
      </c>
      <c r="C722" s="197">
        <f t="shared" si="1"/>
        <v>1</v>
      </c>
      <c r="D722" s="20"/>
      <c r="E722" s="20">
        <v>0.0</v>
      </c>
    </row>
    <row r="723">
      <c r="A723" s="196" t="str">
        <f>IFERROR(__xludf.DUMMYFUNCTION("""COMPUTED_VALUE"""),"Harpy")</f>
        <v>Harpy</v>
      </c>
      <c r="B723" s="197"/>
      <c r="C723" s="197">
        <f t="shared" si="1"/>
        <v>0</v>
      </c>
      <c r="D723" s="20"/>
      <c r="E723" s="20">
        <v>0.0</v>
      </c>
    </row>
    <row r="724">
      <c r="A724" s="196"/>
      <c r="B724" s="197"/>
      <c r="C724" s="197">
        <f t="shared" si="1"/>
        <v>0</v>
      </c>
      <c r="D724" s="20"/>
      <c r="E724" s="20">
        <v>0.0</v>
      </c>
    </row>
    <row r="725">
      <c r="A725" s="196"/>
      <c r="B725" s="197"/>
      <c r="C725" s="197">
        <f t="shared" si="1"/>
        <v>0</v>
      </c>
      <c r="D725" s="20"/>
      <c r="E725" s="20">
        <v>0.0</v>
      </c>
    </row>
    <row r="726">
      <c r="A726" s="196"/>
      <c r="B726" s="197"/>
      <c r="C726" s="197">
        <f t="shared" si="1"/>
        <v>0</v>
      </c>
      <c r="D726" s="20"/>
      <c r="E726" s="20">
        <v>0.0</v>
      </c>
    </row>
    <row r="727">
      <c r="A727" s="196" t="str">
        <f>IFERROR(__xludf.DUMMYFUNCTION("""COMPUTED_VALUE"""),"Raging")</f>
        <v>Raging</v>
      </c>
      <c r="B727" s="197"/>
      <c r="C727" s="197">
        <f t="shared" si="1"/>
        <v>0</v>
      </c>
      <c r="D727" s="20"/>
      <c r="E727" s="20">
        <v>0.0</v>
      </c>
    </row>
    <row r="728">
      <c r="A728" s="196" t="str">
        <f>IFERROR(__xludf.DUMMYFUNCTION("""COMPUTED_VALUE"""),"Minotaur")</f>
        <v>Minotaur</v>
      </c>
      <c r="B728" s="197"/>
      <c r="C728" s="197">
        <f t="shared" si="1"/>
        <v>0</v>
      </c>
      <c r="D728" s="20"/>
      <c r="E728" s="20">
        <v>0.0</v>
      </c>
    </row>
    <row r="729">
      <c r="A729" s="196"/>
      <c r="B729" s="197"/>
      <c r="C729" s="197">
        <f t="shared" si="1"/>
        <v>0</v>
      </c>
      <c r="D729" s="20"/>
      <c r="E729" s="20">
        <v>0.0</v>
      </c>
    </row>
    <row r="730">
      <c r="A730" s="196"/>
      <c r="B730" s="197"/>
      <c r="C730" s="197">
        <f t="shared" si="1"/>
        <v>0</v>
      </c>
      <c r="D730" s="20"/>
      <c r="E730" s="20">
        <v>0.0</v>
      </c>
    </row>
    <row r="731">
      <c r="A731" s="196"/>
      <c r="B731" s="197"/>
      <c r="C731" s="197">
        <f t="shared" si="1"/>
        <v>0</v>
      </c>
      <c r="D731" s="20"/>
      <c r="E731" s="20">
        <v>0.0</v>
      </c>
    </row>
    <row r="732">
      <c r="A732" s="196" t="str">
        <f>IFERROR(__xludf.DUMMYFUNCTION("""COMPUTED_VALUE"""),"Raijin")</f>
        <v>Raijin</v>
      </c>
      <c r="B732" s="197"/>
      <c r="C732" s="197">
        <f t="shared" si="1"/>
        <v>0</v>
      </c>
      <c r="D732" s="20"/>
      <c r="E732" s="20">
        <v>0.0</v>
      </c>
    </row>
    <row r="733">
      <c r="A733" s="196"/>
      <c r="B733" s="197"/>
      <c r="C733" s="197">
        <f t="shared" si="1"/>
        <v>0</v>
      </c>
      <c r="D733" s="20"/>
      <c r="E733" s="20">
        <v>0.0</v>
      </c>
    </row>
    <row r="734">
      <c r="A734" s="196"/>
      <c r="B734" s="197"/>
      <c r="C734" s="197">
        <f t="shared" si="1"/>
        <v>0</v>
      </c>
      <c r="D734" s="20"/>
      <c r="E734" s="20">
        <v>0.0</v>
      </c>
    </row>
    <row r="735">
      <c r="A735" s="196"/>
      <c r="B735" s="197"/>
      <c r="C735" s="197">
        <f t="shared" si="1"/>
        <v>0</v>
      </c>
      <c r="D735" s="20"/>
      <c r="E735" s="20">
        <v>0.0</v>
      </c>
    </row>
    <row r="736">
      <c r="A736" s="196"/>
      <c r="B736" s="197"/>
      <c r="C736" s="197">
        <f t="shared" si="1"/>
        <v>0</v>
      </c>
      <c r="D736" s="20"/>
      <c r="E736" s="20">
        <v>0.0</v>
      </c>
    </row>
    <row r="737">
      <c r="A737" s="196" t="str">
        <f>IFERROR(__xludf.DUMMYFUNCTION("""COMPUTED_VALUE"""),"Venomshade")</f>
        <v>Venomshade</v>
      </c>
      <c r="B737" s="197"/>
      <c r="C737" s="197">
        <f t="shared" si="1"/>
        <v>0</v>
      </c>
      <c r="D737" s="20"/>
      <c r="E737" s="20">
        <v>0.0</v>
      </c>
    </row>
    <row r="738">
      <c r="A738" s="196" t="str">
        <f>IFERROR(__xludf.DUMMYFUNCTION("""COMPUTED_VALUE"""),"Lamia")</f>
        <v>Lamia</v>
      </c>
      <c r="B738" s="197"/>
      <c r="C738" s="197">
        <f t="shared" si="1"/>
        <v>0</v>
      </c>
      <c r="D738" s="20"/>
      <c r="E738" s="20">
        <v>0.0</v>
      </c>
    </row>
    <row r="739">
      <c r="A739" s="196"/>
      <c r="B739" s="197"/>
      <c r="C739" s="197">
        <f t="shared" si="1"/>
        <v>0</v>
      </c>
      <c r="D739" s="20"/>
      <c r="E739" s="20">
        <v>0.0</v>
      </c>
    </row>
    <row r="740">
      <c r="A740" s="196"/>
      <c r="B740" s="197"/>
      <c r="C740" s="197">
        <f t="shared" si="1"/>
        <v>0</v>
      </c>
      <c r="D740" s="20"/>
      <c r="E740" s="20">
        <v>0.0</v>
      </c>
    </row>
    <row r="741">
      <c r="A741" s="196"/>
      <c r="B741" s="197"/>
      <c r="C741" s="197">
        <f t="shared" si="1"/>
        <v>0</v>
      </c>
      <c r="D741" s="20"/>
      <c r="E741" s="20">
        <v>0.0</v>
      </c>
    </row>
    <row r="742">
      <c r="A742" s="196" t="str">
        <f>IFERROR(__xludf.DUMMYFUNCTION("""COMPUTED_VALUE"""),"Volcano")</f>
        <v>Volcano</v>
      </c>
      <c r="B742" s="197"/>
      <c r="C742" s="197">
        <f t="shared" si="1"/>
        <v>0</v>
      </c>
      <c r="D742" s="20"/>
      <c r="E742" s="20">
        <v>0.0</v>
      </c>
    </row>
    <row r="743">
      <c r="A743" s="196" t="str">
        <f>IFERROR(__xludf.DUMMYFUNCTION("""COMPUTED_VALUE"""),"Embodiment")</f>
        <v>Embodiment</v>
      </c>
      <c r="B743" s="197"/>
      <c r="C743" s="197">
        <f t="shared" si="1"/>
        <v>0</v>
      </c>
      <c r="D743" s="20"/>
      <c r="E743" s="20">
        <v>0.0</v>
      </c>
    </row>
    <row r="744">
      <c r="A744" s="196"/>
      <c r="B744" s="197"/>
      <c r="C744" s="197">
        <f t="shared" si="1"/>
        <v>0</v>
      </c>
      <c r="D744" s="20"/>
      <c r="E744" s="20">
        <v>0.0</v>
      </c>
    </row>
    <row r="745">
      <c r="A745" s="196"/>
      <c r="B745" s="197"/>
      <c r="C745" s="197">
        <f t="shared" si="1"/>
        <v>0</v>
      </c>
      <c r="D745" s="20"/>
      <c r="E745" s="20">
        <v>0.0</v>
      </c>
    </row>
    <row r="746">
      <c r="A746" s="196"/>
      <c r="B746" s="197"/>
      <c r="C746" s="197">
        <f t="shared" si="1"/>
        <v>0</v>
      </c>
      <c r="D746" s="20"/>
      <c r="E746" s="20">
        <v>0.0</v>
      </c>
    </row>
    <row r="747">
      <c r="A747" s="196" t="str">
        <f>IFERROR(__xludf.DUMMYFUNCTION("""COMPUTED_VALUE"""),"Shardhorde")</f>
        <v>Shardhorde</v>
      </c>
      <c r="B747" s="197"/>
      <c r="C747" s="197">
        <f t="shared" si="1"/>
        <v>0</v>
      </c>
      <c r="D747" s="20"/>
      <c r="E747" s="20">
        <v>0.0</v>
      </c>
    </row>
    <row r="748">
      <c r="A748" s="196" t="str">
        <f>IFERROR(__xludf.DUMMYFUNCTION("""COMPUTED_VALUE"""),"Leviathan")</f>
        <v>Leviathan</v>
      </c>
      <c r="B748" s="197"/>
      <c r="C748" s="197">
        <f t="shared" si="1"/>
        <v>0</v>
      </c>
      <c r="D748" s="20"/>
      <c r="E748" s="20">
        <v>0.0</v>
      </c>
    </row>
    <row r="749">
      <c r="A749" s="196"/>
      <c r="B749" s="197"/>
      <c r="C749" s="197">
        <f t="shared" si="1"/>
        <v>0</v>
      </c>
      <c r="D749" s="20"/>
      <c r="E749" s="20">
        <v>0.0</v>
      </c>
    </row>
    <row r="750">
      <c r="A750" s="196"/>
      <c r="B750" s="197"/>
      <c r="C750" s="197">
        <f t="shared" si="1"/>
        <v>0</v>
      </c>
      <c r="D750" s="20"/>
      <c r="E750" s="20">
        <v>0.0</v>
      </c>
    </row>
    <row r="751">
      <c r="A751" s="196"/>
      <c r="B751" s="197"/>
      <c r="C751" s="197">
        <f t="shared" si="1"/>
        <v>0</v>
      </c>
      <c r="D751" s="20"/>
      <c r="E751" s="20">
        <v>0.0</v>
      </c>
    </row>
    <row r="752">
      <c r="A752" s="196" t="str">
        <f>IFERROR(__xludf.DUMMYFUNCTION("""COMPUTED_VALUE"""),"Tectonic")</f>
        <v>Tectonic</v>
      </c>
      <c r="B752" s="197"/>
      <c r="C752" s="197">
        <f t="shared" si="1"/>
        <v>0</v>
      </c>
      <c r="D752" s="20"/>
      <c r="E752" s="20">
        <v>0.0</v>
      </c>
    </row>
    <row r="753">
      <c r="A753" s="196" t="str">
        <f>IFERROR(__xludf.DUMMYFUNCTION("""COMPUTED_VALUE"""),"Shifter")</f>
        <v>Shifter</v>
      </c>
      <c r="B753" s="197"/>
      <c r="C753" s="197">
        <f t="shared" si="1"/>
        <v>0</v>
      </c>
      <c r="D753" s="20"/>
      <c r="E753" s="20">
        <v>0.0</v>
      </c>
    </row>
    <row r="754">
      <c r="A754" s="196"/>
      <c r="B754" s="197"/>
      <c r="C754" s="197">
        <f t="shared" si="1"/>
        <v>0</v>
      </c>
      <c r="D754" s="20"/>
      <c r="E754" s="20">
        <v>0.0</v>
      </c>
    </row>
    <row r="755">
      <c r="A755" s="196"/>
      <c r="B755" s="197"/>
      <c r="C755" s="197">
        <f t="shared" si="1"/>
        <v>0</v>
      </c>
      <c r="D755" s="20"/>
      <c r="E755" s="20">
        <v>0.0</v>
      </c>
    </row>
    <row r="756">
      <c r="A756" s="196"/>
      <c r="B756" s="197"/>
      <c r="C756" s="197">
        <f t="shared" si="1"/>
        <v>0</v>
      </c>
      <c r="D756" s="20"/>
      <c r="E756" s="20">
        <v>0.0</v>
      </c>
    </row>
    <row r="757">
      <c r="A757" s="196" t="str">
        <f>IFERROR(__xludf.DUMMYFUNCTION("""COMPUTED_VALUE"""),"Bastion")</f>
        <v>Bastion</v>
      </c>
      <c r="B757" s="197"/>
      <c r="C757" s="197">
        <f t="shared" si="1"/>
        <v>0</v>
      </c>
      <c r="D757" s="20"/>
      <c r="E757" s="20">
        <v>0.0</v>
      </c>
    </row>
    <row r="758">
      <c r="A758" s="196" t="str">
        <f>IFERROR(__xludf.DUMMYFUNCTION("""COMPUTED_VALUE"""),"Architect")</f>
        <v>Architect</v>
      </c>
      <c r="B758" s="197"/>
      <c r="C758" s="197">
        <f t="shared" si="1"/>
        <v>0</v>
      </c>
      <c r="D758" s="20"/>
      <c r="E758" s="20">
        <v>0.0</v>
      </c>
    </row>
    <row r="759">
      <c r="A759" s="196"/>
      <c r="B759" s="197"/>
      <c r="C759" s="197">
        <f t="shared" si="1"/>
        <v>0</v>
      </c>
      <c r="D759" s="20"/>
      <c r="E759" s="20">
        <v>0.0</v>
      </c>
    </row>
    <row r="760">
      <c r="A760" s="196"/>
      <c r="B760" s="197"/>
      <c r="C760" s="197">
        <f t="shared" si="1"/>
        <v>0</v>
      </c>
      <c r="D760" s="20"/>
      <c r="E760" s="20">
        <v>0.0</v>
      </c>
    </row>
    <row r="761">
      <c r="A761" s="196"/>
      <c r="B761" s="197"/>
      <c r="C761" s="197">
        <f t="shared" si="1"/>
        <v>0</v>
      </c>
      <c r="D761" s="20"/>
      <c r="E761" s="20">
        <v>0.0</v>
      </c>
    </row>
    <row r="762">
      <c r="A762" s="196" t="str">
        <f>IFERROR(__xludf.DUMMYFUNCTION("""COMPUTED_VALUE"""),"Drägen")</f>
        <v>Drägen</v>
      </c>
      <c r="B762" s="197"/>
      <c r="C762" s="197">
        <f t="shared" si="1"/>
        <v>0</v>
      </c>
      <c r="D762" s="20"/>
      <c r="E762" s="20">
        <v>0.0</v>
      </c>
    </row>
    <row r="763">
      <c r="A763" s="196"/>
      <c r="B763" s="197"/>
      <c r="C763" s="197">
        <f t="shared" si="1"/>
        <v>0</v>
      </c>
      <c r="D763" s="20"/>
      <c r="E763" s="20">
        <v>0.0</v>
      </c>
    </row>
    <row r="764">
      <c r="A764" s="196"/>
      <c r="B764" s="197"/>
      <c r="C764" s="197">
        <f t="shared" si="1"/>
        <v>0</v>
      </c>
      <c r="D764" s="20"/>
      <c r="E764" s="20">
        <v>0.0</v>
      </c>
    </row>
    <row r="765">
      <c r="A765" s="196"/>
      <c r="B765" s="197"/>
      <c r="C765" s="197">
        <f t="shared" si="1"/>
        <v>0</v>
      </c>
      <c r="D765" s="20"/>
      <c r="E765" s="20">
        <v>0.0</v>
      </c>
    </row>
    <row r="766">
      <c r="A766" s="196"/>
      <c r="B766" s="197"/>
      <c r="C766" s="197">
        <f t="shared" si="1"/>
        <v>0</v>
      </c>
      <c r="D766" s="20"/>
      <c r="E766" s="20">
        <v>0.0</v>
      </c>
    </row>
    <row r="767">
      <c r="A767" s="196" t="str">
        <f>IFERROR(__xludf.DUMMYFUNCTION("""COMPUTED_VALUE"""),"Mega")</f>
        <v>Mega</v>
      </c>
      <c r="B767" s="197"/>
      <c r="C767" s="197">
        <f t="shared" si="1"/>
        <v>0</v>
      </c>
      <c r="D767" s="20"/>
      <c r="E767" s="20">
        <v>0.0</v>
      </c>
    </row>
    <row r="768">
      <c r="A768" s="196" t="str">
        <f>IFERROR(__xludf.DUMMYFUNCTION("""COMPUTED_VALUE"""),"Ultra")</f>
        <v>Ultra</v>
      </c>
      <c r="B768" s="197"/>
      <c r="C768" s="197">
        <f t="shared" si="1"/>
        <v>0</v>
      </c>
      <c r="D768" s="20"/>
      <c r="E768" s="20">
        <v>0.0</v>
      </c>
    </row>
    <row r="769">
      <c r="A769" s="196" t="str">
        <f>IFERROR(__xludf.DUMMYFUNCTION("""COMPUTED_VALUE"""),"Chicken")</f>
        <v>Chicken</v>
      </c>
      <c r="B769" s="197"/>
      <c r="C769" s="197">
        <f t="shared" si="1"/>
        <v>0</v>
      </c>
      <c r="D769" s="20"/>
      <c r="E769" s="20">
        <v>0.0</v>
      </c>
    </row>
    <row r="770">
      <c r="A770" s="196"/>
      <c r="B770" s="197"/>
      <c r="C770" s="197">
        <f t="shared" si="1"/>
        <v>0</v>
      </c>
      <c r="D770" s="20"/>
      <c r="E770" s="20">
        <v>0.0</v>
      </c>
    </row>
    <row r="771">
      <c r="A771" s="196"/>
      <c r="B771" s="197"/>
      <c r="C771" s="197">
        <f t="shared" si="1"/>
        <v>0</v>
      </c>
      <c r="D771" s="20"/>
      <c r="E771" s="20">
        <v>0.0</v>
      </c>
    </row>
    <row r="772">
      <c r="A772" s="196" t="str">
        <f>IFERROR(__xludf.DUMMYFUNCTION("""COMPUTED_VALUE"""),"Blue")</f>
        <v>Blue</v>
      </c>
      <c r="B772" s="197"/>
      <c r="C772" s="197">
        <f t="shared" si="1"/>
        <v>0</v>
      </c>
      <c r="D772" s="20"/>
      <c r="E772" s="20">
        <v>0.0</v>
      </c>
    </row>
    <row r="773">
      <c r="A773" s="196" t="str">
        <f>IFERROR(__xludf.DUMMYFUNCTION("""COMPUTED_VALUE"""),"Crusader")</f>
        <v>Crusader</v>
      </c>
      <c r="B773" s="197"/>
      <c r="C773" s="197">
        <f t="shared" si="1"/>
        <v>0</v>
      </c>
      <c r="D773" s="20"/>
      <c r="E773" s="20">
        <v>0.0</v>
      </c>
    </row>
    <row r="774">
      <c r="A774" s="196"/>
      <c r="B774" s="197"/>
      <c r="C774" s="197">
        <f t="shared" si="1"/>
        <v>0</v>
      </c>
      <c r="D774" s="20"/>
      <c r="E774" s="20">
        <v>0.0</v>
      </c>
    </row>
    <row r="775">
      <c r="A775" s="196"/>
      <c r="B775" s="197"/>
      <c r="C775" s="197">
        <f t="shared" si="1"/>
        <v>0</v>
      </c>
      <c r="D775" s="20"/>
      <c r="E775" s="20">
        <v>0.0</v>
      </c>
    </row>
    <row r="776">
      <c r="A776" s="196"/>
      <c r="B776" s="197"/>
      <c r="C776" s="197">
        <f t="shared" si="1"/>
        <v>0</v>
      </c>
      <c r="D776" s="20"/>
      <c r="E776" s="20">
        <v>0.0</v>
      </c>
    </row>
    <row r="777">
      <c r="A777" s="196" t="str">
        <f>IFERROR(__xludf.DUMMYFUNCTION("""COMPUTED_VALUE"""),"Venom-Dew")</f>
        <v>Venom-Dew</v>
      </c>
      <c r="B777" s="197"/>
      <c r="C777" s="197">
        <f t="shared" si="1"/>
        <v>0</v>
      </c>
      <c r="D777" s="20"/>
      <c r="E777" s="20">
        <v>0.0</v>
      </c>
    </row>
    <row r="778">
      <c r="A778" s="196"/>
      <c r="B778" s="197"/>
      <c r="C778" s="197">
        <f t="shared" si="1"/>
        <v>0</v>
      </c>
      <c r="D778" s="20"/>
      <c r="E778" s="20">
        <v>0.0</v>
      </c>
    </row>
    <row r="779">
      <c r="A779" s="196"/>
      <c r="B779" s="197"/>
      <c r="C779" s="197">
        <f t="shared" si="1"/>
        <v>0</v>
      </c>
      <c r="D779" s="20"/>
      <c r="E779" s="20">
        <v>0.0</v>
      </c>
    </row>
    <row r="780">
      <c r="A780" s="196"/>
      <c r="B780" s="197"/>
      <c r="C780" s="197">
        <f t="shared" si="1"/>
        <v>0</v>
      </c>
      <c r="D780" s="20"/>
      <c r="E780" s="20">
        <v>0.0</v>
      </c>
    </row>
    <row r="781">
      <c r="A781" s="196"/>
      <c r="B781" s="197"/>
      <c r="C781" s="197">
        <f t="shared" si="1"/>
        <v>0</v>
      </c>
      <c r="D781" s="20"/>
      <c r="E781" s="20">
        <v>0.0</v>
      </c>
    </row>
    <row r="782">
      <c r="A782" s="196" t="str">
        <f>IFERROR(__xludf.DUMMYFUNCTION("""COMPUTED_VALUE"""),"Golemsaurus")</f>
        <v>Golemsaurus</v>
      </c>
      <c r="B782" s="197"/>
      <c r="C782" s="197">
        <f t="shared" si="1"/>
        <v>0</v>
      </c>
      <c r="D782" s="20"/>
      <c r="E782" s="20">
        <v>0.0</v>
      </c>
    </row>
    <row r="783">
      <c r="A783" s="196"/>
      <c r="B783" s="197"/>
      <c r="C783" s="197">
        <f t="shared" si="1"/>
        <v>0</v>
      </c>
      <c r="D783" s="20"/>
      <c r="E783" s="20">
        <v>0.0</v>
      </c>
    </row>
    <row r="784">
      <c r="A784" s="196"/>
      <c r="B784" s="197"/>
      <c r="C784" s="197">
        <f t="shared" si="1"/>
        <v>0</v>
      </c>
      <c r="D784" s="20"/>
      <c r="E784" s="20">
        <v>0.0</v>
      </c>
    </row>
    <row r="785">
      <c r="A785" s="196"/>
      <c r="B785" s="197"/>
      <c r="C785" s="197">
        <f t="shared" si="1"/>
        <v>0</v>
      </c>
      <c r="D785" s="20"/>
      <c r="E785" s="20">
        <v>0.0</v>
      </c>
    </row>
    <row r="786">
      <c r="A786" s="196"/>
      <c r="B786" s="197"/>
      <c r="C786" s="197">
        <f t="shared" si="1"/>
        <v>0</v>
      </c>
      <c r="D786" s="20"/>
      <c r="E786" s="20">
        <v>0.0</v>
      </c>
    </row>
    <row r="787">
      <c r="A787" s="196" t="str">
        <f>IFERROR(__xludf.DUMMYFUNCTION("""COMPUTED_VALUE"""),"Slumbering")</f>
        <v>Slumbering</v>
      </c>
      <c r="B787" s="197"/>
      <c r="C787" s="197">
        <f t="shared" si="1"/>
        <v>0</v>
      </c>
      <c r="D787" s="20"/>
      <c r="E787" s="20">
        <v>0.0</v>
      </c>
    </row>
    <row r="788">
      <c r="A788" s="196" t="str">
        <f>IFERROR(__xludf.DUMMYFUNCTION("""COMPUTED_VALUE"""),"Cavedrake")</f>
        <v>Cavedrake</v>
      </c>
      <c r="B788" s="197"/>
      <c r="C788" s="197">
        <f t="shared" si="1"/>
        <v>0</v>
      </c>
      <c r="D788" s="20"/>
      <c r="E788" s="20">
        <v>0.0</v>
      </c>
    </row>
    <row r="789">
      <c r="A789" s="196"/>
      <c r="B789" s="197"/>
      <c r="C789" s="197">
        <f t="shared" si="1"/>
        <v>0</v>
      </c>
      <c r="D789" s="20"/>
      <c r="E789" s="20">
        <v>0.0</v>
      </c>
    </row>
    <row r="790">
      <c r="A790" s="196"/>
      <c r="B790" s="197"/>
      <c r="C790" s="197">
        <f t="shared" si="1"/>
        <v>0</v>
      </c>
      <c r="D790" s="20"/>
      <c r="E790" s="20">
        <v>0.0</v>
      </c>
    </row>
    <row r="791">
      <c r="A791" s="196"/>
      <c r="B791" s="197"/>
      <c r="C791" s="197">
        <f t="shared" si="1"/>
        <v>0</v>
      </c>
      <c r="D791" s="20"/>
      <c r="E791" s="20">
        <v>0.0</v>
      </c>
    </row>
    <row r="792">
      <c r="A792" s="196" t="str">
        <f>IFERROR(__xludf.DUMMYFUNCTION("""COMPUTED_VALUE"""),"Eagle")</f>
        <v>Eagle</v>
      </c>
      <c r="B792" s="197"/>
      <c r="C792" s="197">
        <f t="shared" si="1"/>
        <v>0</v>
      </c>
      <c r="D792" s="20"/>
      <c r="E792" s="20">
        <v>0.0</v>
      </c>
    </row>
    <row r="793">
      <c r="A793" s="196" t="str">
        <f>IFERROR(__xludf.DUMMYFUNCTION("""COMPUTED_VALUE"""),"of")</f>
        <v>of</v>
      </c>
      <c r="B793" s="197"/>
      <c r="C793" s="197">
        <f t="shared" si="1"/>
        <v>0</v>
      </c>
      <c r="D793" s="20"/>
      <c r="E793" s="20">
        <v>0.0</v>
      </c>
    </row>
    <row r="794">
      <c r="A794" s="196" t="str">
        <f>IFERROR(__xludf.DUMMYFUNCTION("""COMPUTED_VALUE"""),"the")</f>
        <v>the</v>
      </c>
      <c r="B794" s="197"/>
      <c r="C794" s="197">
        <f t="shared" si="1"/>
        <v>0</v>
      </c>
      <c r="D794" s="20"/>
      <c r="E794" s="20">
        <v>0.0</v>
      </c>
    </row>
    <row r="795">
      <c r="A795" s="196" t="str">
        <f>IFERROR(__xludf.DUMMYFUNCTION("""COMPUTED_VALUE"""),"Legion")</f>
        <v>Legion</v>
      </c>
      <c r="B795" s="197"/>
      <c r="C795" s="197">
        <f t="shared" si="1"/>
        <v>0</v>
      </c>
      <c r="D795" s="20"/>
      <c r="E795" s="20">
        <v>0.0</v>
      </c>
    </row>
    <row r="796">
      <c r="A796" s="196"/>
      <c r="B796" s="197"/>
      <c r="C796" s="197">
        <f t="shared" si="1"/>
        <v>0</v>
      </c>
      <c r="D796" s="20"/>
      <c r="E796" s="20">
        <v>0.0</v>
      </c>
    </row>
    <row r="797">
      <c r="A797" s="196" t="str">
        <f>IFERROR(__xludf.DUMMYFUNCTION("""COMPUTED_VALUE"""),"Dragon")</f>
        <v>Dragon</v>
      </c>
      <c r="B797" s="197"/>
      <c r="C797" s="197">
        <f t="shared" si="1"/>
        <v>0</v>
      </c>
      <c r="D797" s="20"/>
      <c r="E797" s="20">
        <v>0.0</v>
      </c>
    </row>
    <row r="798">
      <c r="A798" s="196" t="str">
        <f>IFERROR(__xludf.DUMMYFUNCTION("""COMPUTED_VALUE"""),"Rider")</f>
        <v>Rider</v>
      </c>
      <c r="B798" s="197"/>
      <c r="C798" s="197">
        <f t="shared" si="1"/>
        <v>0</v>
      </c>
      <c r="D798" s="20"/>
      <c r="E798" s="20">
        <v>0.0</v>
      </c>
    </row>
    <row r="799">
      <c r="A799" s="196"/>
      <c r="B799" s="197"/>
      <c r="C799" s="197">
        <f t="shared" si="1"/>
        <v>0</v>
      </c>
      <c r="D799" s="20"/>
      <c r="E799" s="20">
        <v>0.0</v>
      </c>
    </row>
    <row r="800">
      <c r="A800" s="196"/>
      <c r="B800" s="197"/>
      <c r="C800" s="197">
        <f t="shared" si="1"/>
        <v>0</v>
      </c>
      <c r="D800" s="20"/>
      <c r="E800" s="20">
        <v>0.0</v>
      </c>
    </row>
    <row r="801">
      <c r="A801" s="196"/>
      <c r="B801" s="197"/>
      <c r="C801" s="197">
        <f t="shared" si="1"/>
        <v>0</v>
      </c>
      <c r="D801" s="20"/>
      <c r="E801" s="20">
        <v>0.0</v>
      </c>
    </row>
    <row r="802">
      <c r="A802" s="196" t="str">
        <f>IFERROR(__xludf.DUMMYFUNCTION("""COMPUTED_VALUE"""),"Starfall")</f>
        <v>Starfall</v>
      </c>
      <c r="B802" s="197"/>
      <c r="C802" s="197">
        <f t="shared" si="1"/>
        <v>0</v>
      </c>
      <c r="D802" s="20"/>
      <c r="E802" s="20">
        <v>0.0</v>
      </c>
    </row>
    <row r="803">
      <c r="A803" s="196" t="str">
        <f>IFERROR(__xludf.DUMMYFUNCTION("""COMPUTED_VALUE"""),"Shaman")</f>
        <v>Shaman</v>
      </c>
      <c r="B803" s="197"/>
      <c r="C803" s="197">
        <f t="shared" si="1"/>
        <v>0</v>
      </c>
      <c r="D803" s="20"/>
      <c r="E803" s="20">
        <v>0.0</v>
      </c>
    </row>
    <row r="804">
      <c r="A804" s="196"/>
      <c r="B804" s="197"/>
      <c r="C804" s="197">
        <f t="shared" si="1"/>
        <v>0</v>
      </c>
      <c r="D804" s="20"/>
      <c r="E804" s="20">
        <v>0.0</v>
      </c>
    </row>
    <row r="805">
      <c r="A805" s="196"/>
      <c r="B805" s="197"/>
      <c r="C805" s="197">
        <f t="shared" si="1"/>
        <v>0</v>
      </c>
      <c r="D805" s="20"/>
      <c r="E805" s="20">
        <v>0.0</v>
      </c>
    </row>
    <row r="806">
      <c r="A806" s="196"/>
      <c r="B806" s="197"/>
      <c r="C806" s="197">
        <f t="shared" si="1"/>
        <v>0</v>
      </c>
      <c r="D806" s="20"/>
      <c r="E806" s="20">
        <v>0.0</v>
      </c>
    </row>
    <row r="807">
      <c r="A807" s="196" t="str">
        <f>IFERROR(__xludf.DUMMYFUNCTION("""COMPUTED_VALUE"""),"Gem")</f>
        <v>Gem</v>
      </c>
      <c r="B807" s="197"/>
      <c r="C807" s="197">
        <f t="shared" si="1"/>
        <v>0</v>
      </c>
      <c r="D807" s="20"/>
      <c r="E807" s="20">
        <v>0.0</v>
      </c>
    </row>
    <row r="808">
      <c r="A808" s="196" t="str">
        <f>IFERROR(__xludf.DUMMYFUNCTION("""COMPUTED_VALUE"""),"Merchant")</f>
        <v>Merchant</v>
      </c>
      <c r="B808" s="197"/>
      <c r="C808" s="197">
        <f t="shared" si="1"/>
        <v>0</v>
      </c>
      <c r="D808" s="20"/>
      <c r="E808" s="20">
        <v>0.0</v>
      </c>
    </row>
    <row r="809">
      <c r="A809" s="196"/>
      <c r="B809" s="197"/>
      <c r="C809" s="197">
        <f t="shared" si="1"/>
        <v>0</v>
      </c>
      <c r="D809" s="20"/>
      <c r="E809" s="20">
        <v>0.0</v>
      </c>
    </row>
    <row r="810">
      <c r="A810" s="196"/>
      <c r="B810" s="197"/>
      <c r="C810" s="197">
        <f t="shared" si="1"/>
        <v>0</v>
      </c>
      <c r="D810" s="20"/>
      <c r="E810" s="20">
        <v>0.0</v>
      </c>
    </row>
    <row r="811">
      <c r="A811" s="196"/>
      <c r="B811" s="197"/>
      <c r="C811" s="197">
        <f t="shared" si="1"/>
        <v>0</v>
      </c>
      <c r="D811" s="20"/>
      <c r="E811" s="20">
        <v>0.0</v>
      </c>
    </row>
    <row r="812">
      <c r="A812" s="196" t="str">
        <f>IFERROR(__xludf.DUMMYFUNCTION("""COMPUTED_VALUE"""),"Gladehost")</f>
        <v>Gladehost</v>
      </c>
      <c r="B812" s="197"/>
      <c r="C812" s="197">
        <f t="shared" si="1"/>
        <v>0</v>
      </c>
      <c r="D812" s="20"/>
      <c r="E812" s="20">
        <v>0.0</v>
      </c>
    </row>
    <row r="813">
      <c r="A813" s="196" t="str">
        <f>IFERROR(__xludf.DUMMYFUNCTION("""COMPUTED_VALUE"""),"Shotmaster")</f>
        <v>Shotmaster</v>
      </c>
      <c r="B813" s="197"/>
      <c r="C813" s="197">
        <f t="shared" si="1"/>
        <v>0</v>
      </c>
      <c r="D813" s="20"/>
      <c r="E813" s="20">
        <v>0.0</v>
      </c>
    </row>
    <row r="814">
      <c r="A814" s="196"/>
      <c r="B814" s="197"/>
      <c r="C814" s="197">
        <f t="shared" si="1"/>
        <v>0</v>
      </c>
      <c r="D814" s="20"/>
      <c r="E814" s="20">
        <v>0.0</v>
      </c>
    </row>
    <row r="815">
      <c r="A815" s="196"/>
      <c r="B815" s="197"/>
      <c r="C815" s="197">
        <f t="shared" si="1"/>
        <v>0</v>
      </c>
      <c r="D815" s="20"/>
      <c r="E815" s="20">
        <v>0.0</v>
      </c>
    </row>
    <row r="816">
      <c r="A816" s="196"/>
      <c r="B816" s="197"/>
      <c r="C816" s="197">
        <f t="shared" si="1"/>
        <v>0</v>
      </c>
      <c r="D816" s="20"/>
      <c r="E816" s="20">
        <v>0.0</v>
      </c>
    </row>
    <row r="817">
      <c r="A817" s="196" t="str">
        <f>IFERROR(__xludf.DUMMYFUNCTION("""COMPUTED_VALUE"""),"Cinderguard")</f>
        <v>Cinderguard</v>
      </c>
      <c r="B817" s="197"/>
      <c r="C817" s="197">
        <f t="shared" si="1"/>
        <v>0</v>
      </c>
      <c r="D817" s="20"/>
      <c r="E817" s="20">
        <v>0.0</v>
      </c>
    </row>
    <row r="818">
      <c r="A818" s="196" t="str">
        <f>IFERROR(__xludf.DUMMYFUNCTION("""COMPUTED_VALUE"""),"Flamebearer")</f>
        <v>Flamebearer</v>
      </c>
      <c r="B818" s="197"/>
      <c r="C818" s="197">
        <f t="shared" si="1"/>
        <v>0</v>
      </c>
      <c r="D818" s="20"/>
      <c r="E818" s="20">
        <v>0.0</v>
      </c>
    </row>
    <row r="819">
      <c r="A819" s="196"/>
      <c r="B819" s="197"/>
      <c r="C819" s="197">
        <f t="shared" si="1"/>
        <v>0</v>
      </c>
      <c r="D819" s="20"/>
      <c r="E819" s="20">
        <v>0.0</v>
      </c>
    </row>
    <row r="820">
      <c r="A820" s="196"/>
      <c r="B820" s="197"/>
      <c r="C820" s="197">
        <f t="shared" si="1"/>
        <v>0</v>
      </c>
      <c r="D820" s="20"/>
      <c r="E820" s="20">
        <v>0.0</v>
      </c>
    </row>
    <row r="821">
      <c r="A821" s="196"/>
      <c r="B821" s="197"/>
      <c r="C821" s="197">
        <f t="shared" si="1"/>
        <v>0</v>
      </c>
      <c r="D821" s="20"/>
      <c r="E821" s="20">
        <v>0.0</v>
      </c>
    </row>
    <row r="822">
      <c r="A822" s="196" t="str">
        <f>IFERROR(__xludf.DUMMYFUNCTION("""COMPUTED_VALUE"""),"Tidecrasher")</f>
        <v>Tidecrasher</v>
      </c>
      <c r="B822" s="197"/>
      <c r="C822" s="197">
        <f t="shared" si="1"/>
        <v>0</v>
      </c>
      <c r="D822" s="20"/>
      <c r="E822" s="20">
        <v>0.0</v>
      </c>
    </row>
    <row r="823">
      <c r="A823" s="196"/>
      <c r="B823" s="197"/>
      <c r="C823" s="197">
        <f t="shared" si="1"/>
        <v>0</v>
      </c>
      <c r="D823" s="20"/>
      <c r="E823" s="20">
        <v>0.0</v>
      </c>
    </row>
    <row r="824">
      <c r="A824" s="196"/>
      <c r="B824" s="197"/>
      <c r="C824" s="197">
        <f t="shared" si="1"/>
        <v>0</v>
      </c>
      <c r="D824" s="20"/>
      <c r="E824" s="20">
        <v>0.0</v>
      </c>
    </row>
    <row r="825">
      <c r="A825" s="196"/>
      <c r="B825" s="197"/>
      <c r="C825" s="197">
        <f t="shared" si="1"/>
        <v>0</v>
      </c>
      <c r="D825" s="20"/>
      <c r="E825" s="20">
        <v>0.0</v>
      </c>
    </row>
    <row r="826">
      <c r="A826" s="196"/>
      <c r="B826" s="197"/>
      <c r="C826" s="197">
        <f t="shared" si="1"/>
        <v>0</v>
      </c>
      <c r="D826" s="20"/>
      <c r="E826" s="20">
        <v>0.0</v>
      </c>
    </row>
    <row r="827">
      <c r="A827" s="196" t="str">
        <f>IFERROR(__xludf.DUMMYFUNCTION("""COMPUTED_VALUE"""),"Imperial")</f>
        <v>Imperial</v>
      </c>
      <c r="B827" s="197"/>
      <c r="C827" s="197"/>
      <c r="D827" s="20"/>
      <c r="E827" s="20"/>
    </row>
    <row r="828">
      <c r="A828" s="196" t="str">
        <f>IFERROR(__xludf.DUMMYFUNCTION("""COMPUTED_VALUE"""),"Tyrant")</f>
        <v>Tyrant</v>
      </c>
      <c r="B828" s="197"/>
      <c r="C828" s="197"/>
      <c r="D828" s="20"/>
      <c r="E828" s="20"/>
    </row>
    <row r="829">
      <c r="A829" s="196"/>
      <c r="B829" s="197"/>
      <c r="C829" s="197"/>
      <c r="D829" s="20"/>
      <c r="E829" s="20"/>
    </row>
    <row r="830">
      <c r="A830" s="196"/>
      <c r="B830" s="197"/>
      <c r="C830" s="197"/>
      <c r="D830" s="20"/>
      <c r="E830" s="20"/>
    </row>
    <row r="831">
      <c r="A831" s="196"/>
      <c r="B831" s="197"/>
      <c r="C831" s="197"/>
      <c r="D831" s="20"/>
      <c r="E831" s="20"/>
    </row>
    <row r="832">
      <c r="A832" s="196" t="str">
        <f>IFERROR(__xludf.DUMMYFUNCTION("""COMPUTED_VALUE"""),"Eons-old")</f>
        <v>Eons-old</v>
      </c>
      <c r="B832" s="197"/>
      <c r="C832" s="197"/>
      <c r="D832" s="20"/>
      <c r="E832" s="20"/>
    </row>
    <row r="833">
      <c r="A833" s="196" t="str">
        <f>IFERROR(__xludf.DUMMYFUNCTION("""COMPUTED_VALUE"""),"Dragon")</f>
        <v>Dragon</v>
      </c>
      <c r="B833" s="197"/>
      <c r="C833" s="197"/>
      <c r="D833" s="20"/>
      <c r="E833" s="20"/>
    </row>
    <row r="834">
      <c r="A834" s="196"/>
      <c r="B834" s="197"/>
      <c r="C834" s="197"/>
      <c r="D834" s="20"/>
      <c r="E834" s="20"/>
    </row>
    <row r="835">
      <c r="A835" s="196"/>
      <c r="B835" s="197"/>
      <c r="C835" s="197"/>
      <c r="D835" s="20"/>
      <c r="E835" s="20"/>
    </row>
    <row r="836">
      <c r="A836" s="196"/>
      <c r="B836" s="197"/>
      <c r="C836" s="197"/>
      <c r="D836" s="20"/>
      <c r="E836" s="20"/>
    </row>
    <row r="837">
      <c r="A837" s="196" t="str">
        <f>IFERROR(__xludf.DUMMYFUNCTION("""COMPUTED_VALUE"""),"Shardhorde")</f>
        <v>Shardhorde</v>
      </c>
      <c r="B837" s="197"/>
      <c r="C837" s="197"/>
      <c r="D837" s="20"/>
      <c r="E837" s="20"/>
    </row>
    <row r="838">
      <c r="A838" s="196" t="str">
        <f>IFERROR(__xludf.DUMMYFUNCTION("""COMPUTED_VALUE"""),"Crystalfang")</f>
        <v>Crystalfang</v>
      </c>
      <c r="B838" s="197"/>
      <c r="C838" s="197"/>
      <c r="D838" s="20"/>
      <c r="E838" s="20"/>
    </row>
    <row r="839">
      <c r="A839" s="196"/>
      <c r="B839" s="197"/>
      <c r="C839" s="197"/>
      <c r="D839" s="20"/>
      <c r="E839" s="20"/>
    </row>
    <row r="840">
      <c r="A840" s="196"/>
      <c r="B840" s="197"/>
      <c r="C840" s="197"/>
      <c r="D840" s="20"/>
      <c r="E840" s="20"/>
    </row>
    <row r="841">
      <c r="A841" s="196"/>
      <c r="B841" s="197"/>
      <c r="C841" s="197"/>
      <c r="D841" s="20"/>
      <c r="E841" s="20"/>
    </row>
    <row r="842">
      <c r="A842" s="196" t="str">
        <f>IFERROR(__xludf.DUMMYFUNCTION("""COMPUTED_VALUE"""),"Legion")</f>
        <v>Legion</v>
      </c>
      <c r="B842" s="197"/>
      <c r="C842" s="197"/>
      <c r="D842" s="20"/>
      <c r="E842" s="20"/>
    </row>
    <row r="843">
      <c r="A843" s="196" t="str">
        <f>IFERROR(__xludf.DUMMYFUNCTION("""COMPUTED_VALUE"""),"of")</f>
        <v>of</v>
      </c>
      <c r="B843" s="197"/>
      <c r="C843" s="197"/>
      <c r="D843" s="20"/>
      <c r="E843" s="20"/>
    </row>
    <row r="844">
      <c r="A844" s="196" t="str">
        <f>IFERROR(__xludf.DUMMYFUNCTION("""COMPUTED_VALUE"""),"the")</f>
        <v>the</v>
      </c>
      <c r="B844" s="197"/>
      <c r="C844" s="197"/>
      <c r="D844" s="20"/>
      <c r="E844" s="20"/>
    </row>
    <row r="845">
      <c r="A845" s="196" t="str">
        <f>IFERROR(__xludf.DUMMYFUNCTION("""COMPUTED_VALUE"""),"Moonspear")</f>
        <v>Moonspear</v>
      </c>
      <c r="B845" s="197"/>
      <c r="C845" s="197"/>
      <c r="D845" s="20"/>
      <c r="E845" s="20"/>
    </row>
    <row r="846">
      <c r="A846" s="196"/>
      <c r="B846" s="197"/>
      <c r="C846" s="197"/>
      <c r="D846" s="20"/>
      <c r="E846" s="20"/>
    </row>
    <row r="847">
      <c r="A847" s="196" t="str">
        <f>IFERROR(__xludf.DUMMYFUNCTION("""COMPUTED_VALUE"""),"Makeshift")</f>
        <v>Makeshift</v>
      </c>
      <c r="B847" s="197"/>
      <c r="C847" s="197"/>
      <c r="D847" s="20"/>
      <c r="E847" s="20"/>
    </row>
    <row r="848">
      <c r="A848" s="196" t="str">
        <f>IFERROR(__xludf.DUMMYFUNCTION("""COMPUTED_VALUE"""),"Militia")</f>
        <v>Militia</v>
      </c>
      <c r="B848" s="197"/>
      <c r="C848" s="197"/>
      <c r="D848" s="20"/>
      <c r="E848" s="20"/>
    </row>
    <row r="849">
      <c r="A849" s="196"/>
      <c r="B849" s="197"/>
      <c r="C849" s="197"/>
      <c r="D849" s="20"/>
      <c r="E849" s="20"/>
    </row>
    <row r="850">
      <c r="A850" s="196"/>
      <c r="B850" s="197"/>
      <c r="C850" s="197"/>
      <c r="D850" s="20"/>
      <c r="E850" s="20"/>
    </row>
    <row r="851">
      <c r="A851" s="196"/>
      <c r="B851" s="197"/>
      <c r="C851" s="197"/>
      <c r="D851" s="20"/>
      <c r="E851" s="20"/>
    </row>
    <row r="852">
      <c r="A852" s="196" t="str">
        <f>IFERROR(__xludf.DUMMYFUNCTION("""COMPUTED_VALUE"""),"Master")</f>
        <v>Master</v>
      </c>
      <c r="B852" s="197"/>
      <c r="C852" s="197"/>
      <c r="D852" s="20"/>
      <c r="E852" s="20"/>
    </row>
    <row r="853">
      <c r="A853" s="196" t="str">
        <f>IFERROR(__xludf.DUMMYFUNCTION("""COMPUTED_VALUE"""),"Strategist")</f>
        <v>Strategist</v>
      </c>
      <c r="B853" s="197"/>
      <c r="C853" s="197"/>
      <c r="D853" s="20"/>
      <c r="E853" s="20"/>
    </row>
    <row r="854">
      <c r="A854" s="196"/>
      <c r="B854" s="197"/>
      <c r="C854" s="197"/>
      <c r="D854" s="20"/>
      <c r="E854" s="20"/>
    </row>
    <row r="855">
      <c r="A855" s="196"/>
      <c r="B855" s="197"/>
      <c r="C855" s="197"/>
      <c r="D855" s="20"/>
      <c r="E855" s="20"/>
    </row>
    <row r="856">
      <c r="A856" s="196"/>
      <c r="B856" s="197"/>
      <c r="C856" s="197"/>
      <c r="D856" s="20"/>
      <c r="E856" s="20"/>
    </row>
    <row r="857">
      <c r="A857" s="196" t="str">
        <f>IFERROR(__xludf.DUMMYFUNCTION("""COMPUTED_VALUE"""),"Moonspear")</f>
        <v>Moonspear</v>
      </c>
      <c r="B857" s="197"/>
      <c r="C857" s="197"/>
      <c r="D857" s="20"/>
      <c r="E857" s="20"/>
    </row>
    <row r="858">
      <c r="A858" s="196" t="str">
        <f>IFERROR(__xludf.DUMMYFUNCTION("""COMPUTED_VALUE"""),"Wraithknight")</f>
        <v>Wraithknight</v>
      </c>
      <c r="B858" s="197"/>
      <c r="C858" s="197"/>
      <c r="D858" s="20"/>
      <c r="E858" s="20"/>
    </row>
    <row r="859">
      <c r="A859" s="196"/>
      <c r="B859" s="197"/>
      <c r="C859" s="197"/>
      <c r="D859" s="20"/>
      <c r="E859" s="20"/>
    </row>
    <row r="860">
      <c r="A860" s="196"/>
      <c r="B860" s="197"/>
      <c r="C860" s="197"/>
      <c r="D860" s="20"/>
      <c r="E860" s="20"/>
    </row>
    <row r="861">
      <c r="A861" s="196"/>
      <c r="B861" s="197"/>
      <c r="C861" s="197"/>
      <c r="D861" s="20"/>
      <c r="E861" s="20"/>
    </row>
    <row r="862">
      <c r="A862" s="196" t="str">
        <f>IFERROR(__xludf.DUMMYFUNCTION("""COMPUTED_VALUE"""),"Mountblade")</f>
        <v>Mountblade</v>
      </c>
      <c r="B862" s="197"/>
      <c r="C862" s="197"/>
      <c r="D862" s="20"/>
      <c r="E862" s="20"/>
    </row>
    <row r="863">
      <c r="A863" s="196" t="str">
        <f>IFERROR(__xludf.DUMMYFUNCTION("""COMPUTED_VALUE"""),"Squire")</f>
        <v>Squire</v>
      </c>
      <c r="B863" s="197"/>
      <c r="C863" s="197"/>
      <c r="D863" s="20"/>
      <c r="E863" s="20"/>
    </row>
    <row r="864">
      <c r="A864" s="196"/>
      <c r="B864" s="197"/>
      <c r="C864" s="197"/>
      <c r="D864" s="20"/>
      <c r="E864" s="20"/>
    </row>
    <row r="865">
      <c r="A865" s="196"/>
      <c r="B865" s="197"/>
      <c r="C865" s="197"/>
      <c r="D865" s="20"/>
      <c r="E865" s="20"/>
    </row>
    <row r="866">
      <c r="A866" s="196"/>
      <c r="B866" s="197"/>
      <c r="C866" s="197"/>
      <c r="D866" s="20"/>
      <c r="E866" s="20"/>
    </row>
    <row r="867">
      <c r="A867" s="196" t="str">
        <f>IFERROR(__xludf.DUMMYFUNCTION("""COMPUTED_VALUE"""),"Pyroclastic")</f>
        <v>Pyroclastic</v>
      </c>
      <c r="B867" s="197"/>
      <c r="C867" s="197"/>
      <c r="D867" s="20"/>
      <c r="E867" s="20"/>
    </row>
    <row r="868">
      <c r="A868" s="196" t="str">
        <f>IFERROR(__xludf.DUMMYFUNCTION("""COMPUTED_VALUE"""),"Zombie")</f>
        <v>Zombie</v>
      </c>
      <c r="B868" s="197"/>
      <c r="C868" s="197"/>
      <c r="D868" s="20"/>
      <c r="E868" s="20"/>
    </row>
    <row r="869">
      <c r="A869" s="196"/>
      <c r="B869" s="197"/>
      <c r="C869" s="197"/>
      <c r="D869" s="20"/>
      <c r="E869" s="20"/>
    </row>
    <row r="870">
      <c r="A870" s="196"/>
      <c r="B870" s="197"/>
      <c r="C870" s="197"/>
      <c r="D870" s="20"/>
      <c r="E870" s="20"/>
    </row>
    <row r="871">
      <c r="A871" s="196"/>
      <c r="B871" s="197"/>
      <c r="C871" s="197"/>
      <c r="D871" s="20"/>
      <c r="E871" s="20"/>
    </row>
    <row r="872">
      <c r="A872" s="196" t="str">
        <f>IFERROR(__xludf.DUMMYFUNCTION("""COMPUTED_VALUE"""),"Old")</f>
        <v>Old</v>
      </c>
      <c r="B872" s="197"/>
      <c r="C872" s="197"/>
      <c r="D872" s="20"/>
      <c r="E872" s="20"/>
    </row>
    <row r="873">
      <c r="A873" s="196" t="str">
        <f>IFERROR(__xludf.DUMMYFUNCTION("""COMPUTED_VALUE"""),"Fisherman")</f>
        <v>Fisherman</v>
      </c>
      <c r="B873" s="197"/>
      <c r="C873" s="197"/>
      <c r="D873" s="20"/>
      <c r="E873" s="20"/>
    </row>
    <row r="874">
      <c r="A874" s="196"/>
      <c r="B874" s="197"/>
      <c r="C874" s="197"/>
      <c r="D874" s="20"/>
      <c r="E874" s="20"/>
    </row>
    <row r="875">
      <c r="A875" s="196"/>
      <c r="B875" s="197"/>
      <c r="C875" s="197"/>
      <c r="D875" s="20"/>
      <c r="E875" s="20"/>
    </row>
    <row r="876">
      <c r="A876" s="196"/>
      <c r="B876" s="197"/>
      <c r="C876" s="197"/>
      <c r="D876" s="20"/>
      <c r="E876" s="20"/>
    </row>
    <row r="877">
      <c r="A877" s="196" t="str">
        <f>IFERROR(__xludf.DUMMYFUNCTION("""COMPUTED_VALUE"""),"Wasteland")</f>
        <v>Wasteland</v>
      </c>
      <c r="B877" s="197"/>
      <c r="C877" s="197"/>
      <c r="D877" s="20"/>
      <c r="E877" s="20"/>
    </row>
    <row r="878">
      <c r="A878" s="196" t="str">
        <f>IFERROR(__xludf.DUMMYFUNCTION("""COMPUTED_VALUE"""),"Overlord")</f>
        <v>Overlord</v>
      </c>
      <c r="B878" s="197"/>
      <c r="C878" s="197"/>
      <c r="D878" s="20"/>
      <c r="E878" s="20"/>
    </row>
    <row r="879">
      <c r="A879" s="196"/>
      <c r="B879" s="197"/>
      <c r="C879" s="197"/>
      <c r="D879" s="20"/>
      <c r="E879" s="20"/>
    </row>
    <row r="880">
      <c r="A880" s="196"/>
      <c r="B880" s="197"/>
      <c r="C880" s="197"/>
      <c r="D880" s="20"/>
      <c r="E880" s="20"/>
    </row>
    <row r="881">
      <c r="A881" s="196"/>
      <c r="B881" s="197"/>
      <c r="C881" s="197"/>
      <c r="D881" s="20"/>
      <c r="E881" s="20"/>
    </row>
    <row r="882">
      <c r="A882" s="196" t="str">
        <f>IFERROR(__xludf.DUMMYFUNCTION("""COMPUTED_VALUE"""),"Pinwheel")</f>
        <v>Pinwheel</v>
      </c>
      <c r="B882" s="197"/>
      <c r="C882" s="197"/>
      <c r="D882" s="20"/>
      <c r="E882" s="20"/>
    </row>
    <row r="883">
      <c r="A883" s="196" t="str">
        <f>IFERROR(__xludf.DUMMYFUNCTION("""COMPUTED_VALUE"""),"Illusionist")</f>
        <v>Illusionist</v>
      </c>
      <c r="B883" s="197"/>
      <c r="C883" s="197"/>
      <c r="D883" s="20"/>
      <c r="E883" s="20"/>
    </row>
    <row r="884">
      <c r="A884" s="196"/>
      <c r="B884" s="197"/>
      <c r="C884" s="197"/>
      <c r="D884" s="20"/>
      <c r="E884" s="20"/>
    </row>
    <row r="885">
      <c r="A885" s="196"/>
      <c r="B885" s="197"/>
      <c r="C885" s="197"/>
      <c r="D885" s="20"/>
      <c r="E885" s="20"/>
    </row>
    <row r="886">
      <c r="A886" s="196"/>
      <c r="B886" s="197"/>
      <c r="C886" s="197"/>
      <c r="D886" s="20"/>
      <c r="E886" s="20"/>
    </row>
    <row r="887">
      <c r="A887" s="196" t="str">
        <f>IFERROR(__xludf.DUMMYFUNCTION("""COMPUTED_VALUE"""),"Skulloath")</f>
        <v>Skulloath</v>
      </c>
      <c r="B887" s="197"/>
      <c r="C887" s="197"/>
      <c r="D887" s="20"/>
      <c r="E887" s="20"/>
    </row>
    <row r="888">
      <c r="A888" s="196" t="str">
        <f>IFERROR(__xludf.DUMMYFUNCTION("""COMPUTED_VALUE"""),"Marauder")</f>
        <v>Marauder</v>
      </c>
      <c r="B888" s="197"/>
      <c r="C888" s="197"/>
      <c r="D888" s="20"/>
      <c r="E888" s="20"/>
    </row>
    <row r="889">
      <c r="A889" s="196"/>
      <c r="B889" s="197"/>
      <c r="C889" s="197"/>
      <c r="D889" s="20"/>
      <c r="E889" s="20"/>
    </row>
    <row r="890">
      <c r="A890" s="196"/>
      <c r="B890" s="197"/>
      <c r="C890" s="197"/>
      <c r="D890" s="20"/>
      <c r="E890" s="20"/>
    </row>
    <row r="891">
      <c r="A891" s="196"/>
      <c r="B891" s="197"/>
      <c r="C891" s="197"/>
      <c r="D891" s="20"/>
      <c r="E891" s="20"/>
    </row>
    <row r="892">
      <c r="A892" s="196" t="str">
        <f>IFERROR(__xludf.DUMMYFUNCTION("""COMPUTED_VALUE"""),"Alchemist's")</f>
        <v>Alchemist's</v>
      </c>
      <c r="B892" s="197"/>
      <c r="C892" s="197"/>
      <c r="D892" s="20"/>
      <c r="E892" s="20"/>
    </row>
    <row r="893">
      <c r="A893" s="196" t="str">
        <f>IFERROR(__xludf.DUMMYFUNCTION("""COMPUTED_VALUE"""),"Incense")</f>
        <v>Incense</v>
      </c>
      <c r="B893" s="197"/>
      <c r="C893" s="197"/>
      <c r="D893" s="20"/>
      <c r="E893" s="20"/>
    </row>
    <row r="894">
      <c r="A894" s="196"/>
      <c r="B894" s="197"/>
      <c r="C894" s="197"/>
      <c r="D894" s="20"/>
      <c r="E894" s="20"/>
    </row>
    <row r="895">
      <c r="A895" s="196"/>
      <c r="B895" s="197"/>
      <c r="C895" s="197"/>
      <c r="D895" s="20"/>
      <c r="E895" s="20"/>
    </row>
    <row r="896">
      <c r="A896" s="196"/>
      <c r="B896" s="197"/>
      <c r="C896" s="197"/>
      <c r="D896" s="20"/>
      <c r="E896" s="20"/>
    </row>
    <row r="897">
      <c r="A897" s="196" t="str">
        <f>IFERROR(__xludf.DUMMYFUNCTION("""COMPUTED_VALUE"""),"Quadriga")</f>
        <v>Quadriga</v>
      </c>
      <c r="B897" s="197"/>
      <c r="C897" s="197"/>
      <c r="D897" s="20"/>
      <c r="E897" s="20"/>
    </row>
    <row r="898">
      <c r="A898" s="196" t="str">
        <f>IFERROR(__xludf.DUMMYFUNCTION("""COMPUTED_VALUE"""),"of")</f>
        <v>of</v>
      </c>
      <c r="B898" s="197"/>
      <c r="C898" s="197"/>
      <c r="D898" s="20"/>
      <c r="E898" s="20"/>
    </row>
    <row r="899">
      <c r="A899" s="196" t="str">
        <f>IFERROR(__xludf.DUMMYFUNCTION("""COMPUTED_VALUE"""),"Triumph")</f>
        <v>Triumph</v>
      </c>
      <c r="B899" s="197"/>
      <c r="C899" s="197"/>
      <c r="D899" s="20"/>
      <c r="E899" s="20"/>
    </row>
    <row r="900">
      <c r="A900" s="196"/>
      <c r="B900" s="197"/>
      <c r="C900" s="197"/>
      <c r="D900" s="20"/>
      <c r="E900" s="20"/>
    </row>
    <row r="901">
      <c r="A901" s="196"/>
      <c r="B901" s="197"/>
      <c r="C901" s="197"/>
      <c r="D901" s="20"/>
      <c r="E901" s="20"/>
    </row>
    <row r="902">
      <c r="A902" s="196" t="str">
        <f>IFERROR(__xludf.DUMMYFUNCTION("""COMPUTED_VALUE"""),"Ambrosia")</f>
        <v>Ambrosia</v>
      </c>
      <c r="B902" s="197"/>
      <c r="C902" s="197"/>
      <c r="D902" s="20"/>
      <c r="E902" s="20"/>
    </row>
    <row r="903">
      <c r="A903" s="196" t="str">
        <f>IFERROR(__xludf.DUMMYFUNCTION("""COMPUTED_VALUE"""),"Bee")</f>
        <v>Bee</v>
      </c>
      <c r="B903" s="197"/>
      <c r="C903" s="197"/>
      <c r="D903" s="20"/>
      <c r="E903" s="20"/>
    </row>
    <row r="904">
      <c r="A904" s="196"/>
      <c r="B904" s="197"/>
      <c r="C904" s="197"/>
      <c r="D904" s="20"/>
      <c r="E904" s="20"/>
    </row>
    <row r="905">
      <c r="A905" s="196"/>
      <c r="B905" s="197"/>
      <c r="C905" s="197"/>
      <c r="D905" s="20"/>
      <c r="E905" s="20"/>
    </row>
    <row r="906">
      <c r="A906" s="196"/>
      <c r="B906" s="197"/>
      <c r="C906" s="197"/>
      <c r="D906" s="20"/>
      <c r="E906" s="20"/>
    </row>
    <row r="907">
      <c r="A907" s="196" t="str">
        <f>IFERROR(__xludf.DUMMYFUNCTION("""COMPUTED_VALUE"""),"Recruiting")</f>
        <v>Recruiting</v>
      </c>
      <c r="B907" s="197"/>
      <c r="C907" s="197"/>
      <c r="D907" s="20"/>
      <c r="E907" s="20"/>
    </row>
    <row r="908">
      <c r="A908" s="196" t="str">
        <f>IFERROR(__xludf.DUMMYFUNCTION("""COMPUTED_VALUE"""),"Officer")</f>
        <v>Officer</v>
      </c>
      <c r="B908" s="197"/>
      <c r="C908" s="197"/>
      <c r="D908" s="20"/>
      <c r="E908" s="20"/>
    </row>
    <row r="909">
      <c r="A909" s="196"/>
      <c r="B909" s="197"/>
      <c r="C909" s="197"/>
      <c r="D909" s="20"/>
      <c r="E909" s="20"/>
    </row>
    <row r="910">
      <c r="A910" s="196"/>
      <c r="B910" s="197"/>
      <c r="C910" s="197"/>
      <c r="D910" s="20"/>
      <c r="E910" s="20"/>
    </row>
    <row r="911">
      <c r="A911" s="196"/>
      <c r="B911" s="197"/>
      <c r="C911" s="197"/>
      <c r="D911" s="20"/>
      <c r="E911" s="20"/>
    </row>
    <row r="912">
      <c r="A912" s="196" t="str">
        <f>IFERROR(__xludf.DUMMYFUNCTION("""COMPUTED_VALUE"""),"Remnant")</f>
        <v>Remnant</v>
      </c>
      <c r="B912" s="197"/>
      <c r="C912" s="197"/>
      <c r="D912" s="20"/>
      <c r="E912" s="20"/>
    </row>
    <row r="913">
      <c r="A913" s="196" t="str">
        <f>IFERROR(__xludf.DUMMYFUNCTION("""COMPUTED_VALUE"""),"of")</f>
        <v>of</v>
      </c>
      <c r="B913" s="197"/>
      <c r="C913" s="197"/>
      <c r="D913" s="20"/>
      <c r="E913" s="20"/>
    </row>
    <row r="914">
      <c r="A914" s="196" t="str">
        <f>IFERROR(__xludf.DUMMYFUNCTION("""COMPUTED_VALUE"""),"the")</f>
        <v>the</v>
      </c>
      <c r="B914" s="197"/>
      <c r="C914" s="197"/>
      <c r="D914" s="20"/>
      <c r="E914" s="20"/>
    </row>
    <row r="915">
      <c r="A915" s="196" t="str">
        <f>IFERROR(__xludf.DUMMYFUNCTION("""COMPUTED_VALUE"""),"Quiet")</f>
        <v>Quiet</v>
      </c>
      <c r="B915" s="197"/>
      <c r="C915" s="197"/>
      <c r="D915" s="20"/>
      <c r="E915" s="20"/>
    </row>
    <row r="916">
      <c r="A916" s="196" t="str">
        <f>IFERROR(__xludf.DUMMYFUNCTION("""COMPUTED_VALUE"""),"Springs")</f>
        <v>Springs</v>
      </c>
      <c r="B916" s="197"/>
      <c r="C916" s="197"/>
      <c r="D916" s="20"/>
      <c r="E916" s="20"/>
    </row>
    <row r="917">
      <c r="A917" s="196" t="str">
        <f>IFERROR(__xludf.DUMMYFUNCTION("""COMPUTED_VALUE"""),"Sandring")</f>
        <v>Sandring</v>
      </c>
      <c r="B917" s="197"/>
      <c r="C917" s="197"/>
      <c r="D917" s="20"/>
      <c r="E917" s="20"/>
    </row>
    <row r="918">
      <c r="A918" s="196" t="str">
        <f>IFERROR(__xludf.DUMMYFUNCTION("""COMPUTED_VALUE"""),"Pridemane")</f>
        <v>Pridemane</v>
      </c>
      <c r="B918" s="197"/>
      <c r="C918" s="197"/>
      <c r="D918" s="20"/>
      <c r="E918" s="20"/>
    </row>
    <row r="919">
      <c r="A919" s="196"/>
      <c r="B919" s="197"/>
      <c r="C919" s="197"/>
      <c r="D919" s="20"/>
      <c r="E919" s="20"/>
    </row>
    <row r="920">
      <c r="A920" s="196"/>
      <c r="B920" s="197"/>
      <c r="C920" s="197"/>
      <c r="D920" s="20"/>
      <c r="E920" s="20"/>
    </row>
    <row r="921">
      <c r="A921" s="196"/>
      <c r="B921" s="197"/>
      <c r="C921" s="197"/>
      <c r="D921" s="20"/>
      <c r="E921" s="20"/>
    </row>
    <row r="922">
      <c r="A922" s="196" t="str">
        <f>IFERROR(__xludf.DUMMYFUNCTION("""COMPUTED_VALUE"""),"Filthy")</f>
        <v>Filthy</v>
      </c>
      <c r="B922" s="197"/>
      <c r="C922" s="197"/>
      <c r="D922" s="20"/>
      <c r="E922" s="20"/>
    </row>
    <row r="923">
      <c r="A923" s="196" t="str">
        <f>IFERROR(__xludf.DUMMYFUNCTION("""COMPUTED_VALUE"""),"Peasant")</f>
        <v>Peasant</v>
      </c>
      <c r="B923" s="197"/>
      <c r="C923" s="197"/>
      <c r="D923" s="20"/>
      <c r="E923" s="20"/>
    </row>
    <row r="924">
      <c r="A924" s="196"/>
      <c r="B924" s="197"/>
      <c r="C924" s="197"/>
      <c r="D924" s="20"/>
      <c r="E924" s="20"/>
    </row>
    <row r="925">
      <c r="A925" s="196"/>
      <c r="B925" s="197"/>
      <c r="C925" s="197"/>
      <c r="D925" s="20"/>
      <c r="E925" s="20"/>
    </row>
    <row r="926">
      <c r="A926" s="196"/>
      <c r="B926" s="197"/>
      <c r="C926" s="197"/>
      <c r="D926" s="20"/>
      <c r="E926" s="20"/>
    </row>
    <row r="927">
      <c r="A927" s="196" t="str">
        <f>IFERROR(__xludf.DUMMYFUNCTION("""COMPUTED_VALUE"""),"Scapegoat")</f>
        <v>Scapegoat</v>
      </c>
      <c r="B927" s="197"/>
      <c r="C927" s="197"/>
      <c r="D927" s="20"/>
      <c r="E927" s="20"/>
    </row>
    <row r="928">
      <c r="A928" s="196"/>
      <c r="B928" s="197"/>
      <c r="C928" s="197"/>
      <c r="D928" s="20"/>
      <c r="E928" s="20"/>
    </row>
    <row r="929">
      <c r="A929" s="196"/>
      <c r="B929" s="197"/>
      <c r="C929" s="197"/>
      <c r="D929" s="20"/>
      <c r="E929" s="20"/>
    </row>
    <row r="930">
      <c r="A930" s="196"/>
      <c r="B930" s="197"/>
      <c r="C930" s="197"/>
      <c r="D930" s="20"/>
      <c r="E930" s="20"/>
    </row>
    <row r="931">
      <c r="A931" s="196"/>
      <c r="B931" s="197"/>
      <c r="C931" s="197"/>
      <c r="D931" s="20"/>
      <c r="E931" s="20"/>
    </row>
    <row r="932">
      <c r="A932" s="196" t="str">
        <f>IFERROR(__xludf.DUMMYFUNCTION("""COMPUTED_VALUE"""),"Ironstride")</f>
        <v>Ironstride</v>
      </c>
      <c r="B932" s="197"/>
      <c r="C932" s="197"/>
      <c r="D932" s="20"/>
      <c r="E932" s="20"/>
    </row>
    <row r="933">
      <c r="A933" s="196" t="str">
        <f>IFERROR(__xludf.DUMMYFUNCTION("""COMPUTED_VALUE"""),"Courser")</f>
        <v>Courser</v>
      </c>
      <c r="B933" s="197"/>
      <c r="C933" s="197"/>
      <c r="D933" s="20"/>
      <c r="E933" s="20"/>
    </row>
    <row r="934">
      <c r="A934" s="196"/>
      <c r="B934" s="197"/>
      <c r="C934" s="197"/>
      <c r="D934" s="20"/>
      <c r="E934" s="20"/>
    </row>
    <row r="935">
      <c r="A935" s="196"/>
      <c r="B935" s="197"/>
      <c r="C935" s="197"/>
      <c r="D935" s="20"/>
      <c r="E935" s="20"/>
    </row>
    <row r="936">
      <c r="A936" s="196"/>
      <c r="B936" s="197"/>
      <c r="C936" s="197"/>
      <c r="D936" s="20"/>
      <c r="E936" s="20"/>
    </row>
    <row r="937">
      <c r="A937" s="196" t="str">
        <f>IFERROR(__xludf.DUMMYFUNCTION("""COMPUTED_VALUE"""),"Pocket")</f>
        <v>Pocket</v>
      </c>
      <c r="B937" s="197"/>
      <c r="C937" s="197"/>
      <c r="D937" s="20"/>
      <c r="E937" s="20"/>
    </row>
    <row r="938">
      <c r="A938" s="196" t="str">
        <f>IFERROR(__xludf.DUMMYFUNCTION("""COMPUTED_VALUE"""),"Dragon")</f>
        <v>Dragon</v>
      </c>
      <c r="B938" s="197"/>
      <c r="C938" s="197"/>
      <c r="D938" s="20"/>
      <c r="E938" s="20"/>
    </row>
    <row r="939">
      <c r="A939" s="196"/>
      <c r="B939" s="197"/>
      <c r="C939" s="197"/>
      <c r="D939" s="20"/>
      <c r="E939" s="20"/>
    </row>
    <row r="940">
      <c r="A940" s="196"/>
      <c r="B940" s="197"/>
      <c r="C940" s="197"/>
      <c r="D940" s="20"/>
      <c r="E940" s="20"/>
    </row>
    <row r="941">
      <c r="A941" s="196"/>
      <c r="B941" s="197"/>
      <c r="C941" s="197"/>
      <c r="D941" s="20"/>
      <c r="E941" s="20"/>
    </row>
    <row r="942">
      <c r="A942" s="196" t="str">
        <f>IFERROR(__xludf.DUMMYFUNCTION("""COMPUTED_VALUE"""),"Prime")</f>
        <v>Prime</v>
      </c>
      <c r="B942" s="197"/>
      <c r="C942" s="197"/>
      <c r="D942" s="20"/>
      <c r="E942" s="20"/>
    </row>
    <row r="943">
      <c r="A943" s="196" t="str">
        <f>IFERROR(__xludf.DUMMYFUNCTION("""COMPUTED_VALUE"""),"Golem")</f>
        <v>Golem</v>
      </c>
      <c r="B943" s="197"/>
      <c r="C943" s="197"/>
      <c r="D943" s="20"/>
      <c r="E943" s="20"/>
    </row>
    <row r="944">
      <c r="A944" s="196"/>
      <c r="B944" s="197"/>
      <c r="C944" s="197"/>
      <c r="D944" s="20"/>
      <c r="E944" s="20"/>
    </row>
    <row r="945">
      <c r="A945" s="196"/>
      <c r="B945" s="197"/>
      <c r="C945" s="197"/>
      <c r="D945" s="20"/>
      <c r="E945" s="20"/>
    </row>
    <row r="946">
      <c r="A946" s="196"/>
      <c r="B946" s="197"/>
      <c r="C946" s="197"/>
      <c r="D946" s="20"/>
      <c r="E946" s="20"/>
    </row>
    <row r="947">
      <c r="A947" s="196" t="str">
        <f>IFERROR(__xludf.DUMMYFUNCTION("""COMPUTED_VALUE"""),"Siegebreaker")</f>
        <v>Siegebreaker</v>
      </c>
      <c r="B947" s="197"/>
      <c r="C947" s="197"/>
      <c r="D947" s="20"/>
      <c r="E947" s="20"/>
    </row>
    <row r="948">
      <c r="A948" s="196"/>
      <c r="B948" s="197"/>
      <c r="C948" s="197"/>
      <c r="D948" s="20"/>
      <c r="E948" s="20"/>
    </row>
    <row r="949">
      <c r="A949" s="196"/>
      <c r="B949" s="197"/>
      <c r="C949" s="197"/>
      <c r="D949" s="20"/>
      <c r="E949" s="20"/>
    </row>
    <row r="950">
      <c r="A950" s="196"/>
      <c r="B950" s="197"/>
      <c r="C950" s="197"/>
      <c r="D950" s="20"/>
      <c r="E950" s="20"/>
    </row>
    <row r="951">
      <c r="A951" s="196"/>
      <c r="B951" s="197"/>
      <c r="C951" s="197"/>
      <c r="D951" s="20"/>
      <c r="E951" s="20"/>
    </row>
    <row r="952">
      <c r="A952" s="196" t="str">
        <f>IFERROR(__xludf.DUMMYFUNCTION("""COMPUTED_VALUE"""),"Surly")</f>
        <v>Surly</v>
      </c>
      <c r="B952" s="197"/>
      <c r="C952" s="197"/>
      <c r="D952" s="20"/>
      <c r="E952" s="20"/>
    </row>
    <row r="953">
      <c r="A953" s="196" t="str">
        <f>IFERROR(__xludf.DUMMYFUNCTION("""COMPUTED_VALUE"""),"Donkey")</f>
        <v>Donkey</v>
      </c>
      <c r="B953" s="197"/>
      <c r="C953" s="197"/>
      <c r="D953" s="20"/>
      <c r="E953" s="20"/>
    </row>
    <row r="954">
      <c r="A954" s="196"/>
      <c r="B954" s="197"/>
      <c r="C954" s="197"/>
      <c r="D954" s="20"/>
      <c r="E954" s="20"/>
    </row>
    <row r="955">
      <c r="A955" s="196"/>
      <c r="B955" s="197"/>
      <c r="C955" s="197"/>
      <c r="D955" s="20"/>
      <c r="E955" s="20"/>
    </row>
    <row r="956">
      <c r="A956" s="196"/>
      <c r="B956" s="197"/>
      <c r="C956" s="197"/>
      <c r="D956" s="20"/>
      <c r="E956" s="20"/>
    </row>
    <row r="957">
      <c r="A957" s="196" t="str">
        <f>IFERROR(__xludf.DUMMYFUNCTION("""COMPUTED_VALUE"""),"The")</f>
        <v>The</v>
      </c>
      <c r="B957" s="197"/>
      <c r="C957" s="197"/>
      <c r="D957" s="20"/>
      <c r="E957" s="20"/>
    </row>
    <row r="958">
      <c r="A958" s="196" t="str">
        <f>IFERROR(__xludf.DUMMYFUNCTION("""COMPUTED_VALUE"""),"Grand")</f>
        <v>Grand</v>
      </c>
      <c r="B958" s="197"/>
      <c r="C958" s="197"/>
      <c r="D958" s="20"/>
      <c r="E958" s="20"/>
    </row>
    <row r="959">
      <c r="A959" s="196" t="str">
        <f>IFERROR(__xludf.DUMMYFUNCTION("""COMPUTED_VALUE"""),"Ruiner")</f>
        <v>Ruiner</v>
      </c>
      <c r="B959" s="197"/>
      <c r="C959" s="197"/>
      <c r="D959" s="20"/>
      <c r="E959" s="20"/>
    </row>
    <row r="960">
      <c r="A960" s="196"/>
      <c r="B960" s="197"/>
      <c r="C960" s="197"/>
      <c r="D960" s="20"/>
      <c r="E960" s="20"/>
    </row>
    <row r="961">
      <c r="A961" s="196"/>
      <c r="B961" s="197"/>
      <c r="C961" s="197"/>
      <c r="D961" s="20"/>
      <c r="E961" s="20"/>
    </row>
    <row r="962">
      <c r="A962" s="196" t="str">
        <f>IFERROR(__xludf.DUMMYFUNCTION("""COMPUTED_VALUE"""),"Snow")</f>
        <v>Snow</v>
      </c>
      <c r="B962" s="197"/>
      <c r="C962" s="197"/>
      <c r="D962" s="20"/>
      <c r="E962" s="20"/>
    </row>
    <row r="963">
      <c r="A963" s="196" t="str">
        <f>IFERROR(__xludf.DUMMYFUNCTION("""COMPUTED_VALUE"""),"Crane")</f>
        <v>Crane</v>
      </c>
      <c r="B963" s="197"/>
      <c r="C963" s="197"/>
      <c r="D963" s="20"/>
      <c r="E963" s="20"/>
    </row>
    <row r="964">
      <c r="A964" s="196"/>
      <c r="B964" s="197"/>
      <c r="C964" s="197"/>
      <c r="D964" s="20"/>
      <c r="E964" s="20"/>
    </row>
    <row r="965">
      <c r="A965" s="196"/>
      <c r="B965" s="197"/>
      <c r="C965" s="197"/>
      <c r="D965" s="20"/>
      <c r="E965" s="20"/>
    </row>
    <row r="966">
      <c r="A966" s="196"/>
      <c r="B966" s="197"/>
      <c r="C966" s="197"/>
      <c r="D966" s="20"/>
      <c r="E966" s="20"/>
    </row>
    <row r="967">
      <c r="A967" s="196" t="str">
        <f>IFERROR(__xludf.DUMMYFUNCTION("""COMPUTED_VALUE"""),"Trading")</f>
        <v>Trading</v>
      </c>
      <c r="B967" s="197"/>
      <c r="C967" s="197"/>
      <c r="D967" s="20"/>
      <c r="E967" s="20"/>
    </row>
    <row r="968">
      <c r="A968" s="196" t="str">
        <f>IFERROR(__xludf.DUMMYFUNCTION("""COMPUTED_VALUE"""),"Post")</f>
        <v>Post</v>
      </c>
      <c r="B968" s="197"/>
      <c r="C968" s="197"/>
      <c r="D968" s="20"/>
      <c r="E968" s="20"/>
    </row>
    <row r="969">
      <c r="A969" s="196" t="str">
        <f>IFERROR(__xludf.DUMMYFUNCTION("""COMPUTED_VALUE"""),"Camel")</f>
        <v>Camel</v>
      </c>
      <c r="B969" s="197"/>
      <c r="C969" s="197"/>
      <c r="D969" s="20"/>
      <c r="E969" s="20"/>
    </row>
    <row r="970">
      <c r="A970" s="196"/>
      <c r="B970" s="197"/>
      <c r="C970" s="197"/>
      <c r="D970" s="20"/>
      <c r="E970" s="20"/>
    </row>
    <row r="971">
      <c r="A971" s="196"/>
      <c r="B971" s="197"/>
      <c r="C971" s="197"/>
      <c r="D971" s="20"/>
      <c r="E971" s="20"/>
    </row>
    <row r="972">
      <c r="A972" s="196" t="str">
        <f>IFERROR(__xludf.DUMMYFUNCTION("""COMPUTED_VALUE"""),"Stormforged")</f>
        <v>Stormforged</v>
      </c>
      <c r="B972" s="197"/>
      <c r="C972" s="197"/>
      <c r="D972" s="20"/>
      <c r="E972" s="20"/>
    </row>
    <row r="973">
      <c r="A973" s="196" t="str">
        <f>IFERROR(__xludf.DUMMYFUNCTION("""COMPUTED_VALUE"""),"Recruit")</f>
        <v>Recruit</v>
      </c>
      <c r="B973" s="197"/>
      <c r="C973" s="197"/>
      <c r="D973" s="20"/>
      <c r="E973" s="20"/>
    </row>
    <row r="974">
      <c r="A974" s="196"/>
      <c r="B974" s="197"/>
      <c r="C974" s="197"/>
      <c r="D974" s="20"/>
      <c r="E974" s="20"/>
    </row>
    <row r="975">
      <c r="A975" s="196"/>
      <c r="B975" s="197"/>
      <c r="C975" s="197"/>
      <c r="D975" s="20"/>
      <c r="E975" s="20"/>
    </row>
    <row r="976">
      <c r="A976" s="196"/>
      <c r="B976" s="197"/>
      <c r="C976" s="197"/>
      <c r="D976" s="20"/>
      <c r="E976" s="20"/>
    </row>
    <row r="977">
      <c r="A977" s="196" t="str">
        <f>IFERROR(__xludf.DUMMYFUNCTION("""COMPUTED_VALUE"""),"Supply")</f>
        <v>Supply</v>
      </c>
      <c r="B977" s="197"/>
      <c r="C977" s="197"/>
      <c r="D977" s="20"/>
      <c r="E977" s="20"/>
    </row>
    <row r="978">
      <c r="A978" s="196" t="str">
        <f>IFERROR(__xludf.DUMMYFUNCTION("""COMPUTED_VALUE"""),"Camel")</f>
        <v>Camel</v>
      </c>
      <c r="B978" s="197"/>
      <c r="C978" s="197"/>
      <c r="D978" s="20"/>
      <c r="E978" s="20"/>
    </row>
    <row r="979">
      <c r="A979" s="196"/>
      <c r="B979" s="197"/>
      <c r="C979" s="197"/>
      <c r="D979" s="20"/>
      <c r="E979" s="20"/>
    </row>
    <row r="980">
      <c r="A980" s="196"/>
      <c r="B980" s="197"/>
      <c r="C980" s="197"/>
      <c r="D980" s="20"/>
      <c r="E980" s="20"/>
    </row>
    <row r="981">
      <c r="A981" s="196"/>
      <c r="B981" s="197"/>
      <c r="C981" s="197"/>
      <c r="D981" s="20"/>
      <c r="E981" s="20"/>
    </row>
    <row r="982">
      <c r="A982" s="196" t="str">
        <f>IFERROR(__xludf.DUMMYFUNCTION("""COMPUTED_VALUE"""),"Trusty")</f>
        <v>Trusty</v>
      </c>
      <c r="B982" s="197"/>
      <c r="C982" s="197"/>
      <c r="D982" s="20"/>
      <c r="E982" s="20"/>
    </row>
    <row r="983">
      <c r="A983" s="196" t="str">
        <f>IFERROR(__xludf.DUMMYFUNCTION("""COMPUTED_VALUE"""),"Companion")</f>
        <v>Companion</v>
      </c>
      <c r="B983" s="197"/>
      <c r="C983" s="197"/>
      <c r="D983" s="20"/>
      <c r="E983" s="20"/>
    </row>
    <row r="984">
      <c r="A984" s="196"/>
      <c r="B984" s="197"/>
      <c r="C984" s="197"/>
      <c r="D984" s="20"/>
      <c r="E984" s="20"/>
    </row>
    <row r="985">
      <c r="A985" s="196"/>
      <c r="B985" s="197"/>
      <c r="C985" s="197"/>
      <c r="D985" s="20"/>
      <c r="E985" s="20"/>
    </row>
    <row r="986">
      <c r="A986" s="196"/>
      <c r="B986" s="197"/>
      <c r="C986" s="197"/>
      <c r="D986" s="20"/>
      <c r="E986" s="20"/>
    </row>
    <row r="987">
      <c r="A987" s="196" t="str">
        <f>IFERROR(__xludf.DUMMYFUNCTION("""COMPUTED_VALUE"""),"Bloodfleet")</f>
        <v>Bloodfleet</v>
      </c>
      <c r="B987" s="197"/>
      <c r="C987" s="197"/>
      <c r="D987" s="20"/>
      <c r="E987" s="20"/>
    </row>
    <row r="988">
      <c r="A988" s="196" t="str">
        <f>IFERROR(__xludf.DUMMYFUNCTION("""COMPUTED_VALUE"""),"Raider")</f>
        <v>Raider</v>
      </c>
      <c r="B988" s="197"/>
      <c r="C988" s="197"/>
      <c r="D988" s="20"/>
      <c r="E988" s="20"/>
    </row>
    <row r="989">
      <c r="A989" s="196"/>
      <c r="B989" s="197"/>
      <c r="C989" s="197"/>
      <c r="D989" s="20"/>
      <c r="E989" s="20"/>
    </row>
    <row r="990">
      <c r="A990" s="196"/>
      <c r="B990" s="197"/>
      <c r="C990" s="197"/>
      <c r="D990" s="20"/>
      <c r="E990" s="20"/>
    </row>
    <row r="991">
      <c r="A991" s="196"/>
      <c r="B991" s="197"/>
      <c r="C991" s="197"/>
      <c r="D991" s="20"/>
      <c r="E991" s="20"/>
    </row>
    <row r="992">
      <c r="A992" s="196" t="str">
        <f>IFERROR(__xludf.DUMMYFUNCTION("""COMPUTED_VALUE"""),"Caring")</f>
        <v>Caring</v>
      </c>
      <c r="B992" s="197"/>
      <c r="C992" s="197"/>
      <c r="D992" s="20"/>
      <c r="E992" s="20"/>
    </row>
    <row r="993">
      <c r="A993" s="196" t="str">
        <f>IFERROR(__xludf.DUMMYFUNCTION("""COMPUTED_VALUE"""),"Mother")</f>
        <v>Mother</v>
      </c>
      <c r="B993" s="197"/>
      <c r="C993" s="197"/>
      <c r="D993" s="20"/>
      <c r="E993" s="20"/>
    </row>
    <row r="994">
      <c r="A994" s="196"/>
      <c r="B994" s="197"/>
      <c r="C994" s="197"/>
      <c r="D994" s="20"/>
      <c r="E994" s="20"/>
    </row>
    <row r="995">
      <c r="A995" s="196"/>
      <c r="B995" s="197"/>
      <c r="C995" s="197"/>
      <c r="D995" s="20"/>
      <c r="E995" s="20"/>
    </row>
    <row r="996">
      <c r="A996" s="196"/>
      <c r="B996" s="197"/>
      <c r="C996" s="197"/>
      <c r="D996" s="20"/>
      <c r="E996" s="20"/>
    </row>
    <row r="997">
      <c r="A997" s="196" t="str">
        <f>IFERROR(__xludf.DUMMYFUNCTION("""COMPUTED_VALUE"""),"Wayward")</f>
        <v>Wayward</v>
      </c>
      <c r="B997" s="197"/>
      <c r="C997" s="197"/>
      <c r="D997" s="20"/>
      <c r="E997" s="20"/>
    </row>
    <row r="998">
      <c r="A998" s="196" t="str">
        <f>IFERROR(__xludf.DUMMYFUNCTION("""COMPUTED_VALUE"""),"Automaton")</f>
        <v>Automaton</v>
      </c>
      <c r="B998" s="197"/>
      <c r="C998" s="197"/>
      <c r="D998" s="20"/>
      <c r="E998" s="20"/>
    </row>
    <row r="999">
      <c r="A999" s="196"/>
      <c r="B999" s="197"/>
      <c r="C999" s="197"/>
      <c r="D999" s="20"/>
      <c r="E999" s="20"/>
    </row>
    <row r="1000">
      <c r="A1000" s="196"/>
      <c r="B1000" s="197"/>
      <c r="C1000" s="197"/>
      <c r="D1000" s="20"/>
      <c r="E1000" s="20"/>
    </row>
    <row r="1001">
      <c r="A1001" s="196"/>
      <c r="B1001" s="197"/>
      <c r="C1001" s="197"/>
      <c r="D1001" s="20"/>
      <c r="E1001" s="20"/>
    </row>
    <row r="1002">
      <c r="A1002" s="196" t="str">
        <f>IFERROR(__xludf.DUMMYFUNCTION("""COMPUTED_VALUE"""),"Battle")</f>
        <v>Battle</v>
      </c>
      <c r="B1002" s="197"/>
      <c r="C1002" s="197"/>
      <c r="D1002" s="20"/>
      <c r="E1002" s="20"/>
    </row>
    <row r="1003">
      <c r="A1003" s="196" t="str">
        <f>IFERROR(__xludf.DUMMYFUNCTION("""COMPUTED_VALUE"""),"Ant")</f>
        <v>Ant</v>
      </c>
      <c r="B1003" s="197"/>
      <c r="C1003" s="197"/>
      <c r="D1003" s="20"/>
      <c r="E1003" s="20"/>
    </row>
    <row r="1004">
      <c r="A1004" s="196" t="str">
        <f>IFERROR(__xludf.DUMMYFUNCTION("""COMPUTED_VALUE"""),"Dreadnought")</f>
        <v>Dreadnought</v>
      </c>
      <c r="B1004" s="197"/>
      <c r="C1004" s="197"/>
      <c r="D1004" s="20"/>
      <c r="E1004" s="20"/>
    </row>
    <row r="1005">
      <c r="A1005" s="196"/>
      <c r="B1005" s="197"/>
      <c r="C1005" s="197"/>
      <c r="D1005" s="20"/>
      <c r="E1005" s="20"/>
    </row>
    <row r="1006">
      <c r="A1006" s="196"/>
      <c r="B1006" s="197"/>
      <c r="C1006" s="197"/>
      <c r="D1006" s="20"/>
      <c r="E1006" s="20"/>
    </row>
    <row r="1007">
      <c r="A1007" s="196" t="str">
        <f>IFERROR(__xludf.DUMMYFUNCTION("""COMPUTED_VALUE"""),"Dojo")</f>
        <v>Dojo</v>
      </c>
      <c r="B1007" s="197"/>
      <c r="C1007" s="197"/>
      <c r="D1007" s="20"/>
      <c r="E1007" s="20"/>
    </row>
    <row r="1008">
      <c r="A1008" s="196" t="str">
        <f>IFERROR(__xludf.DUMMYFUNCTION("""COMPUTED_VALUE"""),"Drill")</f>
        <v>Drill</v>
      </c>
      <c r="B1008" s="197"/>
      <c r="C1008" s="197"/>
      <c r="D1008" s="20"/>
      <c r="E1008" s="20"/>
    </row>
    <row r="1009">
      <c r="A1009" s="196" t="str">
        <f>IFERROR(__xludf.DUMMYFUNCTION("""COMPUTED_VALUE"""),"Instructor")</f>
        <v>Instructor</v>
      </c>
      <c r="B1009" s="197"/>
      <c r="C1009" s="197"/>
      <c r="D1009" s="20"/>
      <c r="E1009" s="20"/>
    </row>
    <row r="1010">
      <c r="A1010" s="196"/>
      <c r="B1010" s="197"/>
      <c r="C1010" s="197"/>
      <c r="D1010" s="20"/>
      <c r="E1010" s="20"/>
    </row>
    <row r="1011">
      <c r="A1011" s="196"/>
      <c r="B1011" s="197"/>
      <c r="C1011" s="197"/>
      <c r="D1011" s="20"/>
      <c r="E1011" s="20"/>
    </row>
    <row r="1012">
      <c r="A1012" s="196" t="str">
        <f>IFERROR(__xludf.DUMMYFUNCTION("""COMPUTED_VALUE"""),"Rune")</f>
        <v>Rune</v>
      </c>
      <c r="B1012" s="197"/>
      <c r="C1012" s="197"/>
      <c r="D1012" s="20"/>
      <c r="E1012" s="20"/>
    </row>
    <row r="1013">
      <c r="A1013" s="196" t="str">
        <f>IFERROR(__xludf.DUMMYFUNCTION("""COMPUTED_VALUE"""),"Whisperer")</f>
        <v>Whisperer</v>
      </c>
      <c r="B1013" s="197"/>
      <c r="C1013" s="197"/>
      <c r="D1013" s="20"/>
      <c r="E1013" s="20"/>
    </row>
    <row r="1014">
      <c r="A1014" s="196"/>
      <c r="B1014" s="197"/>
      <c r="C1014" s="197"/>
      <c r="D1014" s="20"/>
      <c r="E1014" s="20"/>
    </row>
    <row r="1015">
      <c r="A1015" s="196"/>
      <c r="B1015" s="197"/>
      <c r="C1015" s="197"/>
      <c r="D1015" s="20"/>
      <c r="E1015" s="20"/>
    </row>
    <row r="1016">
      <c r="A1016" s="196"/>
      <c r="B1016" s="197"/>
      <c r="C1016" s="197"/>
      <c r="D1016" s="20"/>
      <c r="E1016" s="20"/>
    </row>
    <row r="1017">
      <c r="A1017" s="196" t="str">
        <f>IFERROR(__xludf.DUMMYFUNCTION("""COMPUTED_VALUE"""),"Ironclad")</f>
        <v>Ironclad</v>
      </c>
      <c r="B1017" s="197"/>
      <c r="C1017" s="197"/>
      <c r="D1017" s="20"/>
      <c r="E1017" s="20"/>
    </row>
    <row r="1018">
      <c r="A1018" s="196" t="str">
        <f>IFERROR(__xludf.DUMMYFUNCTION("""COMPUTED_VALUE"""),"Jailwalker")</f>
        <v>Jailwalker</v>
      </c>
      <c r="B1018" s="197"/>
      <c r="C1018" s="197"/>
      <c r="D1018" s="20"/>
      <c r="E1018" s="20"/>
    </row>
    <row r="1019">
      <c r="A1019" s="196"/>
      <c r="B1019" s="197"/>
      <c r="C1019" s="197"/>
      <c r="D1019" s="20"/>
      <c r="E1019" s="20"/>
    </row>
    <row r="1020">
      <c r="A1020" s="196"/>
      <c r="B1020" s="197"/>
      <c r="C1020" s="197"/>
      <c r="D1020" s="20"/>
      <c r="E1020" s="20"/>
    </row>
    <row r="1021">
      <c r="A1021" s="196"/>
      <c r="B1021" s="197"/>
      <c r="C1021" s="197"/>
      <c r="D1021" s="20"/>
      <c r="E1021" s="20"/>
    </row>
    <row r="1022">
      <c r="A1022" s="196" t="str">
        <f>IFERROR(__xludf.DUMMYFUNCTION("""COMPUTED_VALUE"""),"The")</f>
        <v>The</v>
      </c>
      <c r="B1022" s="197"/>
      <c r="C1022" s="197"/>
      <c r="D1022" s="20"/>
      <c r="E1022" s="20"/>
    </row>
    <row r="1023">
      <c r="A1023" s="196" t="str">
        <f>IFERROR(__xludf.DUMMYFUNCTION("""COMPUTED_VALUE"""),"Holy")</f>
        <v>Holy</v>
      </c>
      <c r="B1023" s="197"/>
      <c r="C1023" s="197"/>
      <c r="D1023" s="20"/>
      <c r="E1023" s="20"/>
    </row>
    <row r="1024">
      <c r="A1024" s="196" t="str">
        <f>IFERROR(__xludf.DUMMYFUNCTION("""COMPUTED_VALUE"""),"Chicken")</f>
        <v>Chicken</v>
      </c>
      <c r="B1024" s="197"/>
      <c r="C1024" s="197"/>
      <c r="D1024" s="20"/>
      <c r="E1024" s="20"/>
    </row>
    <row r="1025">
      <c r="A1025" s="196"/>
      <c r="B1025" s="197"/>
      <c r="C1025" s="197"/>
      <c r="D1025" s="20"/>
      <c r="E1025" s="20"/>
    </row>
    <row r="1026">
      <c r="A1026" s="196"/>
      <c r="B1026" s="197"/>
      <c r="C1026" s="197"/>
      <c r="D1026" s="20"/>
      <c r="E1026" s="20"/>
    </row>
    <row r="1027">
      <c r="A1027" s="196" t="str">
        <f>IFERROR(__xludf.DUMMYFUNCTION("""COMPUTED_VALUE"""),"The")</f>
        <v>The</v>
      </c>
      <c r="B1027" s="197"/>
      <c r="C1027" s="197"/>
      <c r="D1027" s="20"/>
      <c r="E1027" s="20"/>
    </row>
    <row r="1028">
      <c r="A1028" s="196" t="str">
        <f>IFERROR(__xludf.DUMMYFUNCTION("""COMPUTED_VALUE"""),"Life")</f>
        <v>Life</v>
      </c>
      <c r="B1028" s="197"/>
      <c r="C1028" s="197"/>
      <c r="D1028" s="20"/>
      <c r="E1028" s="20"/>
    </row>
    <row r="1029">
      <c r="A1029" s="196" t="str">
        <f>IFERROR(__xludf.DUMMYFUNCTION("""COMPUTED_VALUE"""),"Tree")</f>
        <v>Tree</v>
      </c>
      <c r="B1029" s="197"/>
      <c r="C1029" s="197"/>
      <c r="D1029" s="20"/>
      <c r="E1029" s="20"/>
    </row>
    <row r="1030">
      <c r="A1030" s="196"/>
      <c r="B1030" s="197"/>
      <c r="C1030" s="197"/>
      <c r="D1030" s="20"/>
      <c r="E1030" s="20"/>
    </row>
    <row r="1031">
      <c r="A1031" s="196"/>
      <c r="B1031" s="197"/>
      <c r="C1031" s="197"/>
      <c r="D1031" s="20"/>
      <c r="E1031" s="20"/>
    </row>
    <row r="1032">
      <c r="A1032" s="196" t="str">
        <f>IFERROR(__xludf.DUMMYFUNCTION("""COMPUTED_VALUE"""),"Rampart")</f>
        <v>Rampart</v>
      </c>
      <c r="B1032" s="197"/>
      <c r="C1032" s="197"/>
      <c r="D1032" s="20"/>
      <c r="E1032" s="20"/>
    </row>
    <row r="1033">
      <c r="A1033" s="196" t="str">
        <f>IFERROR(__xludf.DUMMYFUNCTION("""COMPUTED_VALUE"""),"Shellback")</f>
        <v>Shellback</v>
      </c>
      <c r="B1033" s="197"/>
      <c r="C1033" s="197"/>
      <c r="D1033" s="20"/>
      <c r="E1033" s="20"/>
    </row>
    <row r="1034">
      <c r="A1034" s="196"/>
      <c r="B1034" s="197"/>
      <c r="C1034" s="197"/>
      <c r="D1034" s="20"/>
      <c r="E1034" s="20"/>
    </row>
    <row r="1035">
      <c r="A1035" s="196"/>
      <c r="B1035" s="197"/>
      <c r="C1035" s="197"/>
      <c r="D1035" s="20"/>
      <c r="E1035" s="20"/>
    </row>
    <row r="1036">
      <c r="A1036" s="196"/>
      <c r="B1036" s="197"/>
      <c r="C1036" s="197"/>
      <c r="D1036" s="20"/>
      <c r="E1036" s="20"/>
    </row>
    <row r="1037">
      <c r="A1037" s="196" t="str">
        <f>IFERROR(__xludf.DUMMYFUNCTION("""COMPUTED_VALUE"""),"Zodiac")</f>
        <v>Zodiac</v>
      </c>
      <c r="B1037" s="197"/>
      <c r="C1037" s="197"/>
      <c r="D1037" s="20"/>
      <c r="E1037" s="20"/>
    </row>
    <row r="1038">
      <c r="A1038" s="196" t="str">
        <f>IFERROR(__xludf.DUMMYFUNCTION("""COMPUTED_VALUE"""),"Samurai")</f>
        <v>Samurai</v>
      </c>
      <c r="B1038" s="197"/>
      <c r="C1038" s="197"/>
      <c r="D1038" s="20"/>
      <c r="E1038" s="20"/>
    </row>
    <row r="1039">
      <c r="A1039" s="196"/>
      <c r="B1039" s="197"/>
      <c r="C1039" s="197"/>
      <c r="D1039" s="20"/>
      <c r="E1039" s="20"/>
    </row>
    <row r="1040">
      <c r="A1040" s="196"/>
      <c r="B1040" s="197"/>
      <c r="C1040" s="197"/>
      <c r="D1040" s="20"/>
      <c r="E1040" s="20"/>
    </row>
    <row r="1041">
      <c r="A1041" s="196"/>
      <c r="B1041" s="197"/>
      <c r="C1041" s="197"/>
      <c r="D1041" s="20"/>
      <c r="E1041" s="20"/>
    </row>
    <row r="1042">
      <c r="A1042" s="196" t="str">
        <f>IFERROR(__xludf.DUMMYFUNCTION("""COMPUTED_VALUE"""),"Scalehide")</f>
        <v>Scalehide</v>
      </c>
      <c r="B1042" s="197"/>
      <c r="C1042" s="197"/>
      <c r="D1042" s="20"/>
      <c r="E1042" s="20"/>
    </row>
    <row r="1043">
      <c r="A1043" s="196" t="str">
        <f>IFERROR(__xludf.DUMMYFUNCTION("""COMPUTED_VALUE"""),"Trapper")</f>
        <v>Trapper</v>
      </c>
      <c r="B1043" s="197"/>
      <c r="C1043" s="197"/>
      <c r="D1043" s="20"/>
      <c r="E1043" s="20"/>
    </row>
    <row r="1044">
      <c r="A1044" s="196"/>
      <c r="B1044" s="197"/>
      <c r="C1044" s="197"/>
      <c r="D1044" s="20"/>
      <c r="E1044" s="20"/>
    </row>
    <row r="1045">
      <c r="A1045" s="196"/>
      <c r="B1045" s="197"/>
      <c r="C1045" s="197"/>
      <c r="D1045" s="20"/>
      <c r="E1045" s="20"/>
    </row>
    <row r="1046">
      <c r="A1046" s="196"/>
      <c r="B1046" s="197"/>
      <c r="C1046" s="197"/>
      <c r="D1046" s="20"/>
      <c r="E1046" s="20"/>
    </row>
    <row r="1047">
      <c r="A1047" s="196" t="str">
        <f>IFERROR(__xludf.DUMMYFUNCTION("""COMPUTED_VALUE"""),"Crescent")</f>
        <v>Crescent</v>
      </c>
      <c r="B1047" s="197"/>
      <c r="C1047" s="197"/>
      <c r="D1047" s="20"/>
      <c r="E1047" s="20"/>
    </row>
    <row r="1048">
      <c r="A1048" s="196" t="str">
        <f>IFERROR(__xludf.DUMMYFUNCTION("""COMPUTED_VALUE"""),"Oracle")</f>
        <v>Oracle</v>
      </c>
      <c r="B1048" s="197"/>
      <c r="C1048" s="197"/>
      <c r="D1048" s="20"/>
      <c r="E1048" s="20"/>
    </row>
    <row r="1049">
      <c r="A1049" s="196"/>
      <c r="B1049" s="197"/>
      <c r="C1049" s="197"/>
      <c r="D1049" s="20"/>
      <c r="E1049" s="20"/>
    </row>
    <row r="1050">
      <c r="A1050" s="196"/>
      <c r="B1050" s="197"/>
      <c r="C1050" s="197"/>
      <c r="D1050" s="20"/>
      <c r="E1050" s="20"/>
    </row>
    <row r="1051">
      <c r="A1051" s="196"/>
      <c r="B1051" s="197"/>
      <c r="C1051" s="197"/>
      <c r="D1051" s="20"/>
      <c r="E1051" s="20"/>
    </row>
    <row r="1052">
      <c r="A1052" s="196" t="str">
        <f>IFERROR(__xludf.DUMMYFUNCTION("""COMPUTED_VALUE"""),"Trapmaster")</f>
        <v>Trapmaster</v>
      </c>
      <c r="B1052" s="197"/>
      <c r="C1052" s="197"/>
      <c r="D1052" s="20"/>
      <c r="E1052" s="20"/>
    </row>
    <row r="1053">
      <c r="A1053" s="196"/>
      <c r="B1053" s="197"/>
      <c r="C1053" s="197"/>
      <c r="D1053" s="20"/>
      <c r="E1053" s="20"/>
    </row>
    <row r="1054">
      <c r="A1054" s="196"/>
      <c r="B1054" s="197"/>
      <c r="C1054" s="197"/>
      <c r="D1054" s="20"/>
      <c r="E1054" s="20"/>
    </row>
    <row r="1055">
      <c r="A1055" s="196"/>
      <c r="B1055" s="197"/>
      <c r="C1055" s="197"/>
      <c r="D1055" s="20"/>
      <c r="E1055" s="20"/>
    </row>
    <row r="1056">
      <c r="A1056" s="196"/>
      <c r="B1056" s="197"/>
      <c r="C1056" s="197"/>
      <c r="D1056" s="20"/>
      <c r="E1056" s="20"/>
    </row>
    <row r="1057">
      <c r="A1057" s="196" t="str">
        <f>IFERROR(__xludf.DUMMYFUNCTION("""COMPUTED_VALUE"""),"Gemcrazed")</f>
        <v>Gemcrazed</v>
      </c>
      <c r="B1057" s="197"/>
      <c r="C1057" s="197"/>
      <c r="D1057" s="20"/>
      <c r="E1057" s="20"/>
    </row>
    <row r="1058">
      <c r="A1058" s="196" t="str">
        <f>IFERROR(__xludf.DUMMYFUNCTION("""COMPUTED_VALUE"""),"Clown")</f>
        <v>Clown</v>
      </c>
      <c r="B1058" s="197"/>
      <c r="C1058" s="197"/>
      <c r="D1058" s="20"/>
      <c r="E1058" s="20"/>
    </row>
    <row r="1059">
      <c r="A1059" s="196"/>
      <c r="B1059" s="197"/>
      <c r="C1059" s="197"/>
      <c r="D1059" s="20"/>
      <c r="E1059" s="20"/>
    </row>
    <row r="1060">
      <c r="A1060" s="196"/>
      <c r="B1060" s="197"/>
      <c r="C1060" s="197"/>
      <c r="D1060" s="20"/>
      <c r="E1060" s="20"/>
    </row>
    <row r="1061">
      <c r="A1061" s="196"/>
      <c r="B1061" s="197"/>
      <c r="C1061" s="197"/>
      <c r="D1061" s="20"/>
      <c r="E1061" s="20"/>
    </row>
    <row r="1062">
      <c r="A1062" s="196" t="str">
        <f>IFERROR(__xludf.DUMMYFUNCTION("""COMPUTED_VALUE"""),"Augur")</f>
        <v>Augur</v>
      </c>
      <c r="B1062" s="197"/>
      <c r="C1062" s="197"/>
      <c r="D1062" s="20"/>
      <c r="E1062" s="20"/>
    </row>
    <row r="1063">
      <c r="A1063" s="196" t="str">
        <f>IFERROR(__xludf.DUMMYFUNCTION("""COMPUTED_VALUE"""),"of")</f>
        <v>of</v>
      </c>
      <c r="B1063" s="197"/>
      <c r="C1063" s="197"/>
      <c r="D1063" s="20"/>
      <c r="E1063" s="20"/>
    </row>
    <row r="1064">
      <c r="A1064" s="196" t="str">
        <f>IFERROR(__xludf.DUMMYFUNCTION("""COMPUTED_VALUE"""),"the")</f>
        <v>the</v>
      </c>
      <c r="B1064" s="197"/>
      <c r="C1064" s="197"/>
      <c r="D1064" s="20"/>
      <c r="E1064" s="20"/>
    </row>
    <row r="1065">
      <c r="A1065" s="196" t="str">
        <f>IFERROR(__xludf.DUMMYFUNCTION("""COMPUTED_VALUE"""),"Moonspear")</f>
        <v>Moonspear</v>
      </c>
      <c r="B1065" s="197"/>
      <c r="C1065" s="197"/>
      <c r="D1065" s="20"/>
      <c r="E1065" s="20"/>
    </row>
    <row r="1066">
      <c r="A1066" s="196"/>
      <c r="B1066" s="197"/>
      <c r="C1066" s="197"/>
      <c r="D1066" s="20"/>
      <c r="E1066" s="20"/>
    </row>
    <row r="1067">
      <c r="A1067" s="196" t="str">
        <f>IFERROR(__xludf.DUMMYFUNCTION("""COMPUTED_VALUE"""),"Sanguine")</f>
        <v>Sanguine</v>
      </c>
      <c r="B1067" s="197"/>
      <c r="C1067" s="197"/>
      <c r="D1067" s="20"/>
      <c r="E1067" s="20"/>
    </row>
    <row r="1068">
      <c r="A1068" s="196" t="str">
        <f>IFERROR(__xludf.DUMMYFUNCTION("""COMPUTED_VALUE"""),"Student")</f>
        <v>Student</v>
      </c>
      <c r="B1068" s="197"/>
      <c r="C1068" s="197"/>
      <c r="D1068" s="20"/>
      <c r="E1068" s="20"/>
    </row>
    <row r="1069">
      <c r="A1069" s="196"/>
      <c r="B1069" s="197"/>
      <c r="C1069" s="197"/>
      <c r="D1069" s="20"/>
      <c r="E1069" s="20"/>
    </row>
    <row r="1070">
      <c r="A1070" s="196"/>
      <c r="B1070" s="197"/>
      <c r="C1070" s="197"/>
      <c r="D1070" s="20"/>
      <c r="E1070" s="20"/>
    </row>
    <row r="1071">
      <c r="A1071" s="196"/>
      <c r="B1071" s="197"/>
      <c r="C1071" s="197"/>
      <c r="D1071" s="20"/>
      <c r="E1071" s="20"/>
    </row>
    <row r="1072">
      <c r="A1072" s="196" t="str">
        <f>IFERROR(__xludf.DUMMYFUNCTION("""COMPUTED_VALUE"""),"Shade")</f>
        <v>Shade</v>
      </c>
      <c r="B1072" s="197"/>
      <c r="C1072" s="197"/>
      <c r="D1072" s="20"/>
      <c r="E1072" s="20"/>
    </row>
    <row r="1073">
      <c r="A1073" s="196" t="str">
        <f>IFERROR(__xludf.DUMMYFUNCTION("""COMPUTED_VALUE"""),"in")</f>
        <v>in</v>
      </c>
      <c r="B1073" s="197"/>
      <c r="C1073" s="197"/>
      <c r="D1073" s="20"/>
      <c r="E1073" s="20"/>
    </row>
    <row r="1074">
      <c r="A1074" s="196" t="str">
        <f>IFERROR(__xludf.DUMMYFUNCTION("""COMPUTED_VALUE"""),"the")</f>
        <v>the</v>
      </c>
      <c r="B1074" s="197"/>
      <c r="C1074" s="197"/>
      <c r="D1074" s="20"/>
      <c r="E1074" s="20"/>
    </row>
    <row r="1075">
      <c r="A1075" s="196" t="str">
        <f>IFERROR(__xludf.DUMMYFUNCTION("""COMPUTED_VALUE"""),"Alley")</f>
        <v>Alley</v>
      </c>
      <c r="B1075" s="197"/>
      <c r="C1075" s="197"/>
      <c r="D1075" s="20"/>
      <c r="E1075" s="20"/>
    </row>
    <row r="1076">
      <c r="A1076" s="196"/>
      <c r="B1076" s="197"/>
      <c r="C1076" s="197"/>
      <c r="D1076" s="20"/>
      <c r="E1076" s="20"/>
    </row>
    <row r="1077">
      <c r="A1077" s="196" t="str">
        <f>IFERROR(__xludf.DUMMYFUNCTION("""COMPUTED_VALUE"""),"Vindictive")</f>
        <v>Vindictive</v>
      </c>
      <c r="B1077" s="197"/>
      <c r="C1077" s="197"/>
      <c r="D1077" s="20"/>
      <c r="E1077" s="20"/>
    </row>
    <row r="1078">
      <c r="A1078" s="196" t="str">
        <f>IFERROR(__xludf.DUMMYFUNCTION("""COMPUTED_VALUE"""),"Forsaken")</f>
        <v>Forsaken</v>
      </c>
      <c r="B1078" s="197"/>
      <c r="C1078" s="197"/>
      <c r="D1078" s="20"/>
      <c r="E1078" s="20"/>
    </row>
    <row r="1079">
      <c r="A1079" s="196"/>
      <c r="B1079" s="197"/>
      <c r="C1079" s="197"/>
      <c r="D1079" s="20"/>
      <c r="E1079" s="20"/>
    </row>
    <row r="1080">
      <c r="A1080" s="196"/>
      <c r="B1080" s="197"/>
      <c r="C1080" s="197"/>
      <c r="D1080" s="20"/>
      <c r="E1080" s="20"/>
    </row>
    <row r="1081">
      <c r="A1081" s="196"/>
      <c r="B1081" s="197"/>
      <c r="C1081" s="197"/>
      <c r="D1081" s="20"/>
      <c r="E1081" s="20"/>
    </row>
    <row r="1082">
      <c r="A1082" s="196" t="str">
        <f>IFERROR(__xludf.DUMMYFUNCTION("""COMPUTED_VALUE"""),"Willing")</f>
        <v>Willing</v>
      </c>
      <c r="B1082" s="197"/>
      <c r="C1082" s="197"/>
      <c r="D1082" s="20"/>
      <c r="E1082" s="20"/>
    </row>
    <row r="1083">
      <c r="A1083" s="196" t="str">
        <f>IFERROR(__xludf.DUMMYFUNCTION("""COMPUTED_VALUE"""),"Sacrifice")</f>
        <v>Sacrifice</v>
      </c>
      <c r="B1083" s="197"/>
      <c r="C1083" s="197"/>
      <c r="D1083" s="20"/>
      <c r="E1083" s="20"/>
    </row>
    <row r="1084">
      <c r="A1084" s="196"/>
      <c r="B1084" s="197"/>
      <c r="C1084" s="197"/>
      <c r="D1084" s="20"/>
      <c r="E1084" s="20"/>
    </row>
    <row r="1085">
      <c r="A1085" s="196"/>
      <c r="B1085" s="197"/>
      <c r="C1085" s="197"/>
      <c r="D1085" s="20"/>
      <c r="E1085" s="20"/>
    </row>
    <row r="1086">
      <c r="A1086" s="196"/>
      <c r="B1086" s="197"/>
      <c r="C1086" s="197"/>
      <c r="D1086" s="20"/>
      <c r="E1086" s="20"/>
    </row>
    <row r="1087">
      <c r="A1087" s="196" t="str">
        <f>IFERROR(__xludf.DUMMYFUNCTION("""COMPUTED_VALUE"""),"Bloodfleet")</f>
        <v>Bloodfleet</v>
      </c>
      <c r="B1087" s="197"/>
      <c r="C1087" s="197"/>
      <c r="D1087" s="20"/>
      <c r="E1087" s="20"/>
    </row>
    <row r="1088">
      <c r="A1088" s="196" t="str">
        <f>IFERROR(__xludf.DUMMYFUNCTION("""COMPUTED_VALUE"""),"Harpooneer")</f>
        <v>Harpooneer</v>
      </c>
      <c r="B1088" s="197"/>
      <c r="C1088" s="197"/>
      <c r="D1088" s="20"/>
      <c r="E1088" s="20"/>
    </row>
    <row r="1089">
      <c r="A1089" s="196"/>
      <c r="B1089" s="197"/>
      <c r="C1089" s="197"/>
      <c r="D1089" s="20"/>
      <c r="E1089" s="20"/>
    </row>
    <row r="1090">
      <c r="A1090" s="196"/>
      <c r="B1090" s="197"/>
      <c r="C1090" s="197"/>
      <c r="D1090" s="20"/>
      <c r="E1090" s="20"/>
    </row>
    <row r="1091">
      <c r="A1091" s="196"/>
      <c r="B1091" s="197"/>
      <c r="C1091" s="197"/>
      <c r="D1091" s="20"/>
      <c r="E1091" s="20"/>
    </row>
    <row r="1092">
      <c r="A1092" s="196" t="str">
        <f>IFERROR(__xludf.DUMMYFUNCTION("""COMPUTED_VALUE"""),"Gold")</f>
        <v>Gold</v>
      </c>
      <c r="B1092" s="197"/>
      <c r="C1092" s="197"/>
      <c r="D1092" s="20"/>
      <c r="E1092" s="20"/>
    </row>
    <row r="1093">
      <c r="A1093" s="196" t="str">
        <f>IFERROR(__xludf.DUMMYFUNCTION("""COMPUTED_VALUE"""),"Colibri")</f>
        <v>Colibri</v>
      </c>
      <c r="B1093" s="197"/>
      <c r="C1093" s="197"/>
      <c r="D1093" s="20"/>
      <c r="E1093" s="20"/>
    </row>
    <row r="1094">
      <c r="A1094" s="196"/>
      <c r="B1094" s="197"/>
      <c r="C1094" s="197"/>
      <c r="D1094" s="20"/>
      <c r="E1094" s="20"/>
    </row>
    <row r="1095">
      <c r="A1095" s="196"/>
      <c r="B1095" s="197"/>
      <c r="C1095" s="197"/>
      <c r="D1095" s="20"/>
      <c r="E1095" s="20"/>
    </row>
    <row r="1096">
      <c r="A1096" s="196"/>
      <c r="B1096" s="197"/>
      <c r="C1096" s="197"/>
      <c r="D1096" s="20"/>
      <c r="E1096" s="20"/>
    </row>
    <row r="1097">
      <c r="A1097" s="196" t="str">
        <f>IFERROR(__xludf.DUMMYFUNCTION("""COMPUTED_VALUE"""),"Greedy")</f>
        <v>Greedy</v>
      </c>
      <c r="B1097" s="197"/>
      <c r="C1097" s="197"/>
      <c r="D1097" s="20"/>
      <c r="E1097" s="20"/>
    </row>
    <row r="1098">
      <c r="A1098" s="196" t="str">
        <f>IFERROR(__xludf.DUMMYFUNCTION("""COMPUTED_VALUE"""),"Senator")</f>
        <v>Senator</v>
      </c>
      <c r="B1098" s="197"/>
      <c r="C1098" s="197"/>
      <c r="D1098" s="20"/>
      <c r="E1098" s="20"/>
    </row>
    <row r="1099">
      <c r="A1099" s="196"/>
      <c r="B1099" s="197"/>
      <c r="C1099" s="197"/>
      <c r="D1099" s="20"/>
      <c r="E1099" s="20"/>
    </row>
    <row r="1100">
      <c r="A1100" s="196"/>
      <c r="B1100" s="197"/>
      <c r="C1100" s="197"/>
      <c r="D1100" s="20"/>
      <c r="E1100" s="20"/>
    </row>
    <row r="1101">
      <c r="A1101" s="196"/>
      <c r="B1101" s="197"/>
      <c r="C1101" s="197"/>
      <c r="D1101" s="20"/>
      <c r="E1101" s="20"/>
    </row>
    <row r="1102">
      <c r="A1102" s="196" t="str">
        <f>IFERROR(__xludf.DUMMYFUNCTION("""COMPUTED_VALUE"""),"Armordillo")</f>
        <v>Armordillo</v>
      </c>
      <c r="B1102" s="197"/>
      <c r="C1102" s="197"/>
      <c r="D1102" s="20"/>
      <c r="E1102" s="20"/>
    </row>
    <row r="1103">
      <c r="A1103" s="196"/>
      <c r="B1103" s="197"/>
      <c r="C1103" s="197"/>
      <c r="D1103" s="20"/>
      <c r="E1103" s="20"/>
    </row>
    <row r="1104">
      <c r="A1104" s="196"/>
      <c r="B1104" s="197"/>
      <c r="C1104" s="197"/>
      <c r="D1104" s="20"/>
      <c r="E1104" s="20"/>
    </row>
    <row r="1105">
      <c r="A1105" s="196"/>
      <c r="B1105" s="197"/>
      <c r="C1105" s="197"/>
      <c r="D1105" s="20"/>
      <c r="E1105" s="20"/>
    </row>
    <row r="1106">
      <c r="A1106" s="196"/>
      <c r="B1106" s="197"/>
      <c r="C1106" s="197"/>
      <c r="D1106" s="20"/>
      <c r="E1106" s="20"/>
    </row>
    <row r="1107">
      <c r="A1107" s="196" t="str">
        <f>IFERROR(__xludf.DUMMYFUNCTION("""COMPUTED_VALUE"""),"Paragon")</f>
        <v>Paragon</v>
      </c>
      <c r="B1107" s="197"/>
      <c r="C1107" s="197"/>
      <c r="D1107" s="20"/>
      <c r="E1107" s="20"/>
    </row>
    <row r="1108">
      <c r="A1108" s="196" t="str">
        <f>IFERROR(__xludf.DUMMYFUNCTION("""COMPUTED_VALUE"""),"of")</f>
        <v>of</v>
      </c>
      <c r="B1108" s="197"/>
      <c r="C1108" s="197"/>
      <c r="D1108" s="20"/>
      <c r="E1108" s="20"/>
    </row>
    <row r="1109">
      <c r="A1109" s="196" t="str">
        <f>IFERROR(__xludf.DUMMYFUNCTION("""COMPUTED_VALUE"""),"Conquest")</f>
        <v>Conquest</v>
      </c>
      <c r="B1109" s="197"/>
      <c r="C1109" s="197"/>
      <c r="D1109" s="20"/>
      <c r="E1109" s="20"/>
    </row>
    <row r="1110">
      <c r="A1110" s="196"/>
      <c r="B1110" s="197"/>
      <c r="C1110" s="197"/>
      <c r="D1110" s="20"/>
      <c r="E1110" s="20"/>
    </row>
    <row r="1111">
      <c r="A1111" s="196"/>
      <c r="B1111" s="197"/>
      <c r="C1111" s="197"/>
      <c r="D1111" s="20"/>
      <c r="E1111" s="20"/>
    </row>
    <row r="1112">
      <c r="A1112" s="196" t="str">
        <f>IFERROR(__xludf.DUMMYFUNCTION("""COMPUTED_VALUE"""),"Tilling")</f>
        <v>Tilling</v>
      </c>
      <c r="B1112" s="197"/>
      <c r="C1112" s="197"/>
      <c r="D1112" s="20"/>
      <c r="E1112" s="20"/>
    </row>
    <row r="1113">
      <c r="A1113" s="196" t="str">
        <f>IFERROR(__xludf.DUMMYFUNCTION("""COMPUTED_VALUE"""),"Yoke")</f>
        <v>Yoke</v>
      </c>
      <c r="B1113" s="197"/>
      <c r="C1113" s="197"/>
      <c r="D1113" s="20"/>
      <c r="E1113" s="20"/>
    </row>
    <row r="1114">
      <c r="A1114" s="196" t="str">
        <f>IFERROR(__xludf.DUMMYFUNCTION("""COMPUTED_VALUE"""),"Beast")</f>
        <v>Beast</v>
      </c>
      <c r="B1114" s="197"/>
      <c r="C1114" s="197"/>
      <c r="D1114" s="20"/>
      <c r="E1114" s="20"/>
    </row>
    <row r="1115">
      <c r="A1115" s="196"/>
      <c r="B1115" s="197"/>
      <c r="C1115" s="197"/>
      <c r="D1115" s="20"/>
      <c r="E1115" s="20"/>
    </row>
    <row r="1116">
      <c r="A1116" s="196"/>
      <c r="B1116" s="197"/>
      <c r="C1116" s="197"/>
      <c r="D1116" s="20"/>
      <c r="E1116" s="20"/>
    </row>
    <row r="1117">
      <c r="A1117" s="196" t="str">
        <f>IFERROR(__xludf.DUMMYFUNCTION("""COMPUTED_VALUE"""),"Blossombeast")</f>
        <v>Blossombeast</v>
      </c>
      <c r="B1117" s="197"/>
      <c r="C1117" s="197"/>
      <c r="D1117" s="20"/>
      <c r="E1117" s="20"/>
    </row>
    <row r="1118">
      <c r="A1118" s="196"/>
      <c r="B1118" s="197"/>
      <c r="C1118" s="197"/>
      <c r="D1118" s="20"/>
      <c r="E1118" s="20"/>
    </row>
    <row r="1119">
      <c r="A1119" s="196"/>
      <c r="B1119" s="197"/>
      <c r="C1119" s="197"/>
      <c r="D1119" s="20"/>
      <c r="E1119" s="20"/>
    </row>
    <row r="1120">
      <c r="A1120" s="196"/>
      <c r="B1120" s="197"/>
      <c r="C1120" s="197"/>
      <c r="D1120" s="20"/>
      <c r="E1120" s="20"/>
    </row>
    <row r="1121">
      <c r="A1121" s="196"/>
      <c r="B1121" s="197"/>
      <c r="C1121" s="197"/>
      <c r="D1121" s="20"/>
      <c r="E1121" s="20"/>
    </row>
    <row r="1122">
      <c r="A1122" s="196" t="str">
        <f>IFERROR(__xludf.DUMMYFUNCTION("""COMPUTED_VALUE"""),"Bug")</f>
        <v>Bug</v>
      </c>
      <c r="B1122" s="197"/>
      <c r="C1122" s="197"/>
      <c r="D1122" s="20"/>
      <c r="E1122" s="20"/>
    </row>
    <row r="1123">
      <c r="A1123" s="196" t="str">
        <f>IFERROR(__xludf.DUMMYFUNCTION("""COMPUTED_VALUE"""),"Curator")</f>
        <v>Curator</v>
      </c>
      <c r="B1123" s="197"/>
      <c r="C1123" s="197"/>
      <c r="D1123" s="20"/>
      <c r="E1123" s="20"/>
    </row>
    <row r="1124">
      <c r="A1124" s="196"/>
      <c r="B1124" s="197"/>
      <c r="C1124" s="197"/>
      <c r="D1124" s="20"/>
      <c r="E1124" s="20"/>
    </row>
    <row r="1125">
      <c r="A1125" s="196"/>
      <c r="B1125" s="197"/>
      <c r="C1125" s="197"/>
      <c r="D1125" s="20"/>
      <c r="E1125" s="20"/>
    </row>
    <row r="1126">
      <c r="A1126" s="196"/>
      <c r="B1126" s="197"/>
      <c r="C1126" s="197"/>
      <c r="D1126" s="20"/>
      <c r="E1126" s="20"/>
    </row>
    <row r="1127">
      <c r="A1127" s="196" t="str">
        <f>IFERROR(__xludf.DUMMYFUNCTION("""COMPUTED_VALUE"""),"Buzzing")</f>
        <v>Buzzing</v>
      </c>
      <c r="B1127" s="197"/>
      <c r="C1127" s="197"/>
      <c r="D1127" s="20"/>
      <c r="E1127" s="20"/>
    </row>
    <row r="1128">
      <c r="A1128" s="196" t="str">
        <f>IFERROR(__xludf.DUMMYFUNCTION("""COMPUTED_VALUE"""),"Hivetitan")</f>
        <v>Hivetitan</v>
      </c>
      <c r="B1128" s="197"/>
      <c r="C1128" s="197"/>
      <c r="D1128" s="20"/>
      <c r="E1128" s="20"/>
    </row>
    <row r="1129">
      <c r="A1129" s="196"/>
      <c r="B1129" s="197"/>
      <c r="C1129" s="197"/>
      <c r="D1129" s="20"/>
      <c r="E1129" s="20"/>
    </row>
    <row r="1130">
      <c r="A1130" s="196"/>
      <c r="B1130" s="197"/>
      <c r="C1130" s="197"/>
      <c r="D1130" s="20"/>
      <c r="E1130" s="20"/>
    </row>
    <row r="1131">
      <c r="A1131" s="196"/>
      <c r="B1131" s="197"/>
      <c r="C1131" s="197"/>
      <c r="D1131" s="20"/>
      <c r="E1131" s="20"/>
    </row>
    <row r="1132">
      <c r="A1132" s="196" t="str">
        <f>IFERROR(__xludf.DUMMYFUNCTION("""COMPUTED_VALUE"""),"Caleidoscope")</f>
        <v>Caleidoscope</v>
      </c>
      <c r="B1132" s="197"/>
      <c r="C1132" s="197"/>
      <c r="D1132" s="20"/>
      <c r="E1132" s="20"/>
    </row>
    <row r="1133">
      <c r="A1133" s="196" t="str">
        <f>IFERROR(__xludf.DUMMYFUNCTION("""COMPUTED_VALUE"""),"Spider")</f>
        <v>Spider</v>
      </c>
      <c r="B1133" s="197"/>
      <c r="C1133" s="197"/>
      <c r="D1133" s="20"/>
      <c r="E1133" s="20"/>
    </row>
    <row r="1134">
      <c r="A1134" s="196"/>
      <c r="B1134" s="197"/>
      <c r="C1134" s="197"/>
      <c r="D1134" s="20"/>
      <c r="E1134" s="20"/>
    </row>
    <row r="1135">
      <c r="A1135" s="196"/>
      <c r="B1135" s="197"/>
      <c r="C1135" s="197"/>
      <c r="D1135" s="20"/>
      <c r="E1135" s="20"/>
    </row>
    <row r="1136">
      <c r="A1136" s="196"/>
      <c r="B1136" s="197"/>
      <c r="C1136" s="197"/>
      <c r="D1136" s="20"/>
      <c r="E1136" s="20"/>
    </row>
    <row r="1137">
      <c r="A1137" s="196" t="str">
        <f>IFERROR(__xludf.DUMMYFUNCTION("""COMPUTED_VALUE"""),"Cinderguard")</f>
        <v>Cinderguard</v>
      </c>
      <c r="B1137" s="197"/>
      <c r="C1137" s="197"/>
      <c r="D1137" s="20"/>
      <c r="E1137" s="20"/>
    </row>
    <row r="1138">
      <c r="A1138" s="196" t="str">
        <f>IFERROR(__xludf.DUMMYFUNCTION("""COMPUTED_VALUE"""),"Emberblade")</f>
        <v>Emberblade</v>
      </c>
      <c r="B1138" s="197"/>
      <c r="C1138" s="197"/>
      <c r="D1138" s="20"/>
      <c r="E1138" s="20"/>
    </row>
    <row r="1139">
      <c r="A1139" s="196"/>
      <c r="B1139" s="197"/>
      <c r="C1139" s="197"/>
      <c r="D1139" s="20"/>
      <c r="E1139" s="20"/>
    </row>
    <row r="1140">
      <c r="A1140" s="196"/>
      <c r="B1140" s="197"/>
      <c r="C1140" s="197"/>
      <c r="D1140" s="20"/>
      <c r="E1140" s="20"/>
    </row>
    <row r="1141">
      <c r="A1141" s="196"/>
      <c r="B1141" s="197"/>
      <c r="C1141" s="197"/>
      <c r="D1141" s="20"/>
      <c r="E1141" s="20"/>
    </row>
    <row r="1142">
      <c r="A1142" s="196" t="str">
        <f>IFERROR(__xludf.DUMMYFUNCTION("""COMPUTED_VALUE"""),"Senatorial")</f>
        <v>Senatorial</v>
      </c>
      <c r="B1142" s="197"/>
      <c r="C1142" s="197"/>
      <c r="D1142" s="20"/>
      <c r="E1142" s="20"/>
    </row>
    <row r="1143">
      <c r="A1143" s="196" t="str">
        <f>IFERROR(__xludf.DUMMYFUNCTION("""COMPUTED_VALUE"""),"Phalanx")</f>
        <v>Phalanx</v>
      </c>
      <c r="B1143" s="197"/>
      <c r="C1143" s="197"/>
      <c r="D1143" s="20"/>
      <c r="E1143" s="20"/>
    </row>
    <row r="1144">
      <c r="A1144" s="196"/>
      <c r="B1144" s="197"/>
      <c r="C1144" s="197"/>
      <c r="D1144" s="20"/>
      <c r="E1144" s="20"/>
    </row>
    <row r="1145">
      <c r="A1145" s="196"/>
      <c r="B1145" s="197"/>
      <c r="C1145" s="197"/>
      <c r="D1145" s="20"/>
      <c r="E1145" s="20"/>
    </row>
    <row r="1146">
      <c r="A1146" s="196"/>
      <c r="B1146" s="197"/>
      <c r="C1146" s="197"/>
      <c r="D1146" s="20"/>
      <c r="E1146" s="20"/>
    </row>
    <row r="1147">
      <c r="A1147" s="196" t="str">
        <f>IFERROR(__xludf.DUMMYFUNCTION("""COMPUTED_VALUE"""),"Ferromancer")</f>
        <v>Ferromancer</v>
      </c>
      <c r="B1147" s="197"/>
      <c r="C1147" s="197"/>
      <c r="D1147" s="20"/>
      <c r="E1147" s="20"/>
    </row>
    <row r="1148">
      <c r="A1148" s="196"/>
      <c r="B1148" s="197"/>
      <c r="C1148" s="197"/>
      <c r="D1148" s="20"/>
      <c r="E1148" s="20"/>
    </row>
    <row r="1149">
      <c r="A1149" s="196"/>
      <c r="B1149" s="197"/>
      <c r="C1149" s="197"/>
      <c r="D1149" s="20"/>
      <c r="E1149" s="20"/>
    </row>
    <row r="1150">
      <c r="A1150" s="196"/>
      <c r="B1150" s="197"/>
      <c r="C1150" s="197"/>
      <c r="D1150" s="20"/>
      <c r="E1150" s="20"/>
    </row>
    <row r="1151">
      <c r="A1151" s="196"/>
      <c r="B1151" s="197"/>
      <c r="C1151" s="197"/>
      <c r="D1151" s="20"/>
      <c r="E1151" s="20"/>
    </row>
    <row r="1152">
      <c r="A1152" s="196" t="str">
        <f>IFERROR(__xludf.DUMMYFUNCTION("""COMPUTED_VALUE"""),"Frontier")</f>
        <v>Frontier</v>
      </c>
      <c r="B1152" s="197"/>
      <c r="C1152" s="197"/>
      <c r="D1152" s="20"/>
      <c r="E1152" s="20"/>
    </row>
    <row r="1153">
      <c r="A1153" s="196" t="str">
        <f>IFERROR(__xludf.DUMMYFUNCTION("""COMPUTED_VALUE"""),"Centurion")</f>
        <v>Centurion</v>
      </c>
      <c r="B1153" s="197"/>
      <c r="C1153" s="197"/>
      <c r="D1153" s="20"/>
      <c r="E1153" s="20"/>
    </row>
    <row r="1154">
      <c r="A1154" s="196"/>
      <c r="B1154" s="197"/>
      <c r="C1154" s="197"/>
      <c r="D1154" s="20"/>
      <c r="E1154" s="20"/>
    </row>
    <row r="1155">
      <c r="A1155" s="196"/>
      <c r="B1155" s="197"/>
      <c r="C1155" s="197"/>
      <c r="D1155" s="20"/>
      <c r="E1155" s="20"/>
    </row>
    <row r="1156">
      <c r="A1156" s="196"/>
      <c r="B1156" s="197"/>
      <c r="C1156" s="197"/>
      <c r="D1156" s="20"/>
      <c r="E1156" s="20"/>
    </row>
    <row r="1157">
      <c r="A1157" s="196" t="str">
        <f>IFERROR(__xludf.DUMMYFUNCTION("""COMPUTED_VALUE"""),"Cinderguard")</f>
        <v>Cinderguard</v>
      </c>
      <c r="B1157" s="197"/>
      <c r="C1157" s="197"/>
      <c r="D1157" s="20"/>
      <c r="E1157" s="20"/>
    </row>
    <row r="1158">
      <c r="A1158" s="196" t="str">
        <f>IFERROR(__xludf.DUMMYFUNCTION("""COMPUTED_VALUE"""),"Saboteur")</f>
        <v>Saboteur</v>
      </c>
      <c r="B1158" s="197"/>
      <c r="C1158" s="197"/>
      <c r="D1158" s="20"/>
      <c r="E1158" s="20"/>
    </row>
    <row r="1159">
      <c r="A1159" s="196"/>
      <c r="B1159" s="197"/>
      <c r="C1159" s="197"/>
      <c r="D1159" s="20"/>
      <c r="E1159" s="20"/>
    </row>
    <row r="1160">
      <c r="A1160" s="196"/>
      <c r="B1160" s="197"/>
      <c r="C1160" s="197"/>
      <c r="D1160" s="20"/>
      <c r="E1160" s="20"/>
    </row>
    <row r="1161">
      <c r="A1161" s="196"/>
      <c r="B1161" s="197"/>
      <c r="C1161" s="197"/>
      <c r="D1161" s="20"/>
      <c r="E1161" s="20"/>
    </row>
    <row r="1162">
      <c r="A1162" s="196" t="str">
        <f>IFERROR(__xludf.DUMMYFUNCTION("""COMPUTED_VALUE"""),"Rustblood")</f>
        <v>Rustblood</v>
      </c>
      <c r="B1162" s="197"/>
      <c r="C1162" s="197"/>
      <c r="D1162" s="20"/>
      <c r="E1162" s="20"/>
    </row>
    <row r="1163">
      <c r="A1163" s="196"/>
      <c r="B1163" s="197"/>
      <c r="C1163" s="197"/>
      <c r="D1163" s="20"/>
      <c r="E1163" s="20"/>
    </row>
    <row r="1164">
      <c r="A1164" s="196"/>
      <c r="B1164" s="197"/>
      <c r="C1164" s="197"/>
      <c r="D1164" s="20"/>
      <c r="E1164" s="20"/>
    </row>
    <row r="1165">
      <c r="A1165" s="196"/>
      <c r="B1165" s="197"/>
      <c r="C1165" s="197"/>
      <c r="D1165" s="20"/>
      <c r="E1165" s="20"/>
    </row>
    <row r="1166">
      <c r="A1166" s="196"/>
      <c r="B1166" s="197"/>
      <c r="C1166" s="197"/>
      <c r="D1166" s="20"/>
      <c r="E1166" s="20"/>
    </row>
    <row r="1167">
      <c r="A1167" s="196" t="str">
        <f>IFERROR(__xludf.DUMMYFUNCTION("""COMPUTED_VALUE"""),"Fairgrove")</f>
        <v>Fairgrove</v>
      </c>
      <c r="B1167" s="197"/>
      <c r="C1167" s="197"/>
      <c r="D1167" s="20"/>
      <c r="E1167" s="20"/>
    </row>
    <row r="1168">
      <c r="A1168" s="196" t="str">
        <f>IFERROR(__xludf.DUMMYFUNCTION("""COMPUTED_VALUE"""),"Dryad")</f>
        <v>Dryad</v>
      </c>
      <c r="B1168" s="197"/>
      <c r="C1168" s="197"/>
      <c r="D1168" s="20"/>
      <c r="E1168" s="20"/>
    </row>
    <row r="1169">
      <c r="A1169" s="196"/>
      <c r="B1169" s="197"/>
      <c r="C1169" s="197"/>
      <c r="D1169" s="20"/>
      <c r="E1169" s="20"/>
    </row>
    <row r="1170">
      <c r="A1170" s="196"/>
      <c r="B1170" s="197"/>
      <c r="C1170" s="197"/>
      <c r="D1170" s="20"/>
      <c r="E1170" s="20"/>
    </row>
    <row r="1171">
      <c r="A1171" s="196"/>
      <c r="B1171" s="197"/>
      <c r="C1171" s="197"/>
      <c r="D1171" s="20"/>
      <c r="E1171" s="20"/>
    </row>
    <row r="1172">
      <c r="A1172" s="196" t="str">
        <f>IFERROR(__xludf.DUMMYFUNCTION("""COMPUTED_VALUE"""),"Fairy")</f>
        <v>Fairy</v>
      </c>
      <c r="B1172" s="197"/>
      <c r="C1172" s="197"/>
      <c r="D1172" s="20"/>
      <c r="E1172" s="20"/>
    </row>
    <row r="1173">
      <c r="A1173" s="196" t="str">
        <f>IFERROR(__xludf.DUMMYFUNCTION("""COMPUTED_VALUE"""),"Fountain")</f>
        <v>Fountain</v>
      </c>
      <c r="B1173" s="197"/>
      <c r="C1173" s="197"/>
      <c r="D1173" s="20"/>
      <c r="E1173" s="20"/>
    </row>
    <row r="1174">
      <c r="A1174" s="196"/>
      <c r="B1174" s="197"/>
      <c r="C1174" s="197"/>
      <c r="D1174" s="20"/>
      <c r="E1174" s="20"/>
    </row>
    <row r="1175">
      <c r="A1175" s="196"/>
      <c r="B1175" s="197"/>
      <c r="C1175" s="197"/>
      <c r="D1175" s="20"/>
      <c r="E1175" s="20"/>
    </row>
    <row r="1176">
      <c r="A1176" s="196"/>
      <c r="B1176" s="197"/>
      <c r="C1176" s="197"/>
      <c r="D1176" s="20"/>
      <c r="E1176" s="20"/>
    </row>
    <row r="1177">
      <c r="A1177" s="196" t="str">
        <f>IFERROR(__xludf.DUMMYFUNCTION("""COMPUTED_VALUE"""),"Harvest")</f>
        <v>Harvest</v>
      </c>
      <c r="B1177" s="197"/>
      <c r="C1177" s="197"/>
      <c r="D1177" s="20"/>
      <c r="E1177" s="20"/>
    </row>
    <row r="1178">
      <c r="A1178" s="196" t="str">
        <f>IFERROR(__xludf.DUMMYFUNCTION("""COMPUTED_VALUE"""),"Sanctifier")</f>
        <v>Sanctifier</v>
      </c>
      <c r="B1178" s="197"/>
      <c r="C1178" s="197"/>
      <c r="D1178" s="20"/>
      <c r="E1178" s="20"/>
    </row>
    <row r="1179">
      <c r="A1179" s="196"/>
      <c r="B1179" s="197"/>
      <c r="C1179" s="197"/>
      <c r="D1179" s="20"/>
      <c r="E1179" s="20"/>
    </row>
    <row r="1180">
      <c r="A1180" s="196"/>
      <c r="B1180" s="197"/>
      <c r="C1180" s="197"/>
      <c r="D1180" s="20"/>
      <c r="E1180" s="20"/>
    </row>
    <row r="1181">
      <c r="A1181" s="196"/>
      <c r="B1181" s="197"/>
      <c r="C1181" s="197"/>
      <c r="D1181" s="20"/>
      <c r="E1181" s="20"/>
    </row>
    <row r="1182">
      <c r="A1182" s="196" t="str">
        <f>IFERROR(__xludf.DUMMYFUNCTION("""COMPUTED_VALUE"""),"Goliath")</f>
        <v>Goliath</v>
      </c>
      <c r="B1182" s="197"/>
      <c r="C1182" s="197"/>
      <c r="D1182" s="20"/>
      <c r="E1182" s="20"/>
    </row>
    <row r="1183">
      <c r="A1183" s="196" t="str">
        <f>IFERROR(__xludf.DUMMYFUNCTION("""COMPUTED_VALUE"""),"Beetle")</f>
        <v>Beetle</v>
      </c>
      <c r="B1183" s="197"/>
      <c r="C1183" s="197"/>
      <c r="D1183" s="20"/>
      <c r="E1183" s="20"/>
    </row>
    <row r="1184">
      <c r="A1184" s="196"/>
      <c r="B1184" s="197"/>
      <c r="C1184" s="197"/>
      <c r="D1184" s="20"/>
      <c r="E1184" s="20"/>
    </row>
    <row r="1185">
      <c r="A1185" s="196"/>
      <c r="B1185" s="197"/>
      <c r="C1185" s="197"/>
      <c r="D1185" s="20"/>
      <c r="E1185" s="20"/>
    </row>
    <row r="1186">
      <c r="A1186" s="196"/>
      <c r="B1186" s="197"/>
      <c r="C1186" s="197"/>
      <c r="D1186" s="20"/>
      <c r="E1186" s="20"/>
    </row>
    <row r="1187">
      <c r="A1187" s="196" t="str">
        <f>IFERROR(__xludf.DUMMYFUNCTION("""COMPUTED_VALUE"""),"Green")</f>
        <v>Green</v>
      </c>
      <c r="B1187" s="197"/>
      <c r="C1187" s="197"/>
      <c r="D1187" s="20"/>
      <c r="E1187" s="20"/>
    </row>
    <row r="1188">
      <c r="A1188" s="196" t="str">
        <f>IFERROR(__xludf.DUMMYFUNCTION("""COMPUTED_VALUE"""),"Crusader")</f>
        <v>Crusader</v>
      </c>
      <c r="B1188" s="197"/>
      <c r="C1188" s="197"/>
      <c r="D1188" s="20"/>
      <c r="E1188" s="20"/>
    </row>
    <row r="1189">
      <c r="A1189" s="196"/>
      <c r="B1189" s="197"/>
      <c r="C1189" s="197"/>
      <c r="D1189" s="20"/>
      <c r="E1189" s="20"/>
    </row>
    <row r="1190">
      <c r="A1190" s="196"/>
      <c r="B1190" s="197"/>
      <c r="C1190" s="197"/>
      <c r="D1190" s="20"/>
      <c r="E1190" s="20"/>
    </row>
    <row r="1191">
      <c r="A1191" s="196"/>
      <c r="B1191" s="197"/>
      <c r="C1191" s="197"/>
      <c r="D1191" s="20"/>
      <c r="E1191" s="20"/>
    </row>
    <row r="1192">
      <c r="A1192" s="196" t="str">
        <f>IFERROR(__xludf.DUMMYFUNCTION("""COMPUTED_VALUE"""),"Grizzly")</f>
        <v>Grizzly</v>
      </c>
      <c r="B1192" s="197"/>
      <c r="C1192" s="197"/>
      <c r="D1192" s="20"/>
      <c r="E1192" s="20"/>
    </row>
    <row r="1193">
      <c r="A1193" s="196" t="str">
        <f>IFERROR(__xludf.DUMMYFUNCTION("""COMPUTED_VALUE"""),"Trap")</f>
        <v>Trap</v>
      </c>
      <c r="B1193" s="197"/>
      <c r="C1193" s="197"/>
      <c r="D1193" s="20"/>
      <c r="E1193" s="20"/>
    </row>
    <row r="1194">
      <c r="A1194" s="196"/>
      <c r="B1194" s="197"/>
      <c r="C1194" s="197"/>
      <c r="D1194" s="20"/>
      <c r="E1194" s="20"/>
    </row>
    <row r="1195">
      <c r="A1195" s="196"/>
      <c r="B1195" s="197"/>
      <c r="C1195" s="197"/>
      <c r="D1195" s="20"/>
      <c r="E1195" s="20"/>
    </row>
    <row r="1196">
      <c r="A1196" s="196"/>
      <c r="B1196" s="197"/>
      <c r="C1196" s="197"/>
      <c r="D1196" s="20"/>
      <c r="E1196" s="20"/>
    </row>
    <row r="1197">
      <c r="A1197" s="196" t="str">
        <f>IFERROR(__xludf.DUMMYFUNCTION("""COMPUTED_VALUE"""),"Volatile")</f>
        <v>Volatile</v>
      </c>
      <c r="B1197" s="197"/>
      <c r="C1197" s="197"/>
      <c r="D1197" s="20"/>
      <c r="E1197" s="20"/>
    </row>
    <row r="1198">
      <c r="A1198" s="196" t="str">
        <f>IFERROR(__xludf.DUMMYFUNCTION("""COMPUTED_VALUE"""),"Battlemage")</f>
        <v>Battlemage</v>
      </c>
      <c r="B1198" s="197"/>
      <c r="C1198" s="197"/>
      <c r="D1198" s="20"/>
      <c r="E1198" s="20"/>
    </row>
    <row r="1199">
      <c r="A1199" s="196"/>
      <c r="B1199" s="197"/>
      <c r="C1199" s="197"/>
      <c r="D1199" s="20"/>
      <c r="E1199" s="20"/>
    </row>
    <row r="1200">
      <c r="A1200" s="196"/>
      <c r="B1200" s="197"/>
      <c r="C1200" s="197"/>
      <c r="D1200" s="20"/>
      <c r="E1200" s="20"/>
    </row>
    <row r="1201">
      <c r="A1201" s="196"/>
      <c r="B1201" s="197"/>
      <c r="C1201" s="197"/>
      <c r="D1201" s="20"/>
      <c r="E1201" s="20"/>
    </row>
    <row r="1202">
      <c r="A1202" s="196" t="str">
        <f>IFERROR(__xludf.DUMMYFUNCTION("""COMPUTED_VALUE"""),"Ordinary")</f>
        <v>Ordinary</v>
      </c>
      <c r="B1202" s="197"/>
      <c r="C1202" s="197"/>
      <c r="D1202" s="20"/>
      <c r="E1202" s="20"/>
    </row>
    <row r="1203">
      <c r="A1203" s="196" t="str">
        <f>IFERROR(__xludf.DUMMYFUNCTION("""COMPUTED_VALUE"""),"Flower")</f>
        <v>Flower</v>
      </c>
      <c r="B1203" s="197"/>
      <c r="C1203" s="197"/>
      <c r="D1203" s="20"/>
      <c r="E1203" s="20"/>
    </row>
    <row r="1204">
      <c r="A1204" s="196" t="str">
        <f>IFERROR(__xludf.DUMMYFUNCTION("""COMPUTED_VALUE"""),"Pot")</f>
        <v>Pot</v>
      </c>
      <c r="B1204" s="197"/>
      <c r="C1204" s="197"/>
      <c r="D1204" s="20"/>
      <c r="E1204" s="20"/>
    </row>
    <row r="1205">
      <c r="A1205" s="196"/>
      <c r="B1205" s="197"/>
      <c r="C1205" s="197"/>
      <c r="D1205" s="20"/>
      <c r="E1205" s="20"/>
    </row>
    <row r="1206">
      <c r="A1206" s="196"/>
      <c r="B1206" s="197"/>
      <c r="C1206" s="197"/>
      <c r="D1206" s="20"/>
      <c r="E1206" s="20"/>
    </row>
    <row r="1207">
      <c r="A1207" s="196" t="str">
        <f>IFERROR(__xludf.DUMMYFUNCTION("""COMPUTED_VALUE"""),"Ancient")</f>
        <v>Ancient</v>
      </c>
      <c r="B1207" s="197"/>
      <c r="C1207" s="197"/>
      <c r="D1207" s="20"/>
      <c r="E1207" s="20"/>
    </row>
    <row r="1208">
      <c r="A1208" s="196" t="str">
        <f>IFERROR(__xludf.DUMMYFUNCTION("""COMPUTED_VALUE"""),"Scholar")</f>
        <v>Scholar</v>
      </c>
      <c r="B1208" s="197"/>
      <c r="C1208" s="197"/>
      <c r="D1208" s="20"/>
      <c r="E1208" s="20"/>
    </row>
    <row r="1209">
      <c r="A1209" s="196"/>
      <c r="B1209" s="197"/>
      <c r="C1209" s="197"/>
      <c r="D1209" s="20"/>
      <c r="E1209" s="20"/>
    </row>
    <row r="1210">
      <c r="A1210" s="196"/>
      <c r="B1210" s="197"/>
      <c r="C1210" s="197"/>
      <c r="D1210" s="20"/>
      <c r="E1210" s="20"/>
    </row>
    <row r="1211">
      <c r="A1211" s="196"/>
      <c r="B1211" s="197"/>
      <c r="C1211" s="197"/>
      <c r="D1211" s="20"/>
      <c r="E1211" s="20"/>
    </row>
    <row r="1212">
      <c r="A1212" s="196" t="str">
        <f>IFERROR(__xludf.DUMMYFUNCTION("""COMPUTED_VALUE"""),"Little")</f>
        <v>Little</v>
      </c>
      <c r="B1212" s="197"/>
      <c r="C1212" s="197"/>
      <c r="D1212" s="20"/>
      <c r="E1212" s="20"/>
    </row>
    <row r="1213">
      <c r="A1213" s="196" t="str">
        <f>IFERROR(__xludf.DUMMYFUNCTION("""COMPUTED_VALUE"""),"Lamb")</f>
        <v>Lamb</v>
      </c>
      <c r="B1213" s="197"/>
      <c r="C1213" s="197"/>
      <c r="D1213" s="20"/>
      <c r="E1213" s="20"/>
    </row>
    <row r="1214">
      <c r="A1214" s="196"/>
      <c r="B1214" s="197"/>
      <c r="C1214" s="197"/>
      <c r="D1214" s="20"/>
      <c r="E1214" s="20"/>
    </row>
    <row r="1215">
      <c r="A1215" s="196"/>
      <c r="B1215" s="197"/>
      <c r="C1215" s="197"/>
      <c r="D1215" s="20"/>
      <c r="E1215" s="20"/>
    </row>
    <row r="1216">
      <c r="A1216" s="196"/>
      <c r="B1216" s="197"/>
      <c r="C1216" s="197"/>
      <c r="D1216" s="20"/>
      <c r="E1216" s="20"/>
    </row>
    <row r="1217">
      <c r="A1217" s="196" t="str">
        <f>IFERROR(__xludf.DUMMYFUNCTION("""COMPUTED_VALUE"""),"Weaponized")</f>
        <v>Weaponized</v>
      </c>
      <c r="B1217" s="197"/>
      <c r="C1217" s="197"/>
      <c r="D1217" s="20"/>
      <c r="E1217" s="20"/>
    </row>
    <row r="1218">
      <c r="A1218" s="196" t="str">
        <f>IFERROR(__xludf.DUMMYFUNCTION("""COMPUTED_VALUE"""),"Pest")</f>
        <v>Pest</v>
      </c>
      <c r="B1218" s="197"/>
      <c r="C1218" s="197"/>
      <c r="D1218" s="20"/>
      <c r="E1218" s="20"/>
    </row>
    <row r="1219">
      <c r="A1219" s="196"/>
      <c r="B1219" s="197"/>
      <c r="C1219" s="197"/>
      <c r="D1219" s="20"/>
      <c r="E1219" s="20"/>
    </row>
    <row r="1220">
      <c r="A1220" s="196"/>
      <c r="B1220" s="197"/>
      <c r="C1220" s="197"/>
      <c r="D1220" s="20"/>
      <c r="E1220" s="20"/>
    </row>
    <row r="1221">
      <c r="A1221" s="196"/>
      <c r="B1221" s="197"/>
      <c r="C1221" s="197"/>
      <c r="D1221" s="20"/>
      <c r="E1221" s="20"/>
    </row>
    <row r="1222">
      <c r="A1222" s="196" t="str">
        <f>IFERROR(__xludf.DUMMYFUNCTION("""COMPUTED_VALUE"""),"Beastcaster")</f>
        <v>Beastcaster</v>
      </c>
      <c r="B1222" s="197"/>
      <c r="C1222" s="197"/>
      <c r="D1222" s="20"/>
      <c r="E1222" s="20"/>
    </row>
    <row r="1223">
      <c r="A1223" s="196"/>
      <c r="B1223" s="197"/>
      <c r="C1223" s="197"/>
      <c r="D1223" s="20"/>
      <c r="E1223" s="20"/>
    </row>
    <row r="1224">
      <c r="A1224" s="196"/>
      <c r="B1224" s="197"/>
      <c r="C1224" s="197"/>
      <c r="D1224" s="20"/>
      <c r="E1224" s="20"/>
    </row>
    <row r="1225">
      <c r="A1225" s="196"/>
      <c r="B1225" s="197"/>
      <c r="C1225" s="197"/>
      <c r="D1225" s="20"/>
      <c r="E1225" s="20"/>
    </row>
    <row r="1226">
      <c r="A1226" s="196"/>
      <c r="B1226" s="197"/>
      <c r="C1226" s="197"/>
      <c r="D1226" s="20"/>
      <c r="E1226" s="20"/>
    </row>
    <row r="1227">
      <c r="A1227" s="196" t="str">
        <f>IFERROR(__xludf.DUMMYFUNCTION("""COMPUTED_VALUE"""),"Trained")</f>
        <v>Trained</v>
      </c>
      <c r="B1227" s="197"/>
      <c r="C1227" s="197"/>
      <c r="D1227" s="20"/>
      <c r="E1227" s="20"/>
    </row>
    <row r="1228">
      <c r="A1228" s="196" t="str">
        <f>IFERROR(__xludf.DUMMYFUNCTION("""COMPUTED_VALUE"""),"War")</f>
        <v>War</v>
      </c>
      <c r="B1228" s="197"/>
      <c r="C1228" s="197"/>
      <c r="D1228" s="20"/>
      <c r="E1228" s="20"/>
    </row>
    <row r="1229">
      <c r="A1229" s="196" t="str">
        <f>IFERROR(__xludf.DUMMYFUNCTION("""COMPUTED_VALUE"""),"Elephant")</f>
        <v>Elephant</v>
      </c>
      <c r="B1229" s="197"/>
      <c r="C1229" s="197"/>
      <c r="D1229" s="20"/>
      <c r="E1229" s="20"/>
    </row>
    <row r="1230">
      <c r="A1230" s="196"/>
      <c r="B1230" s="197"/>
      <c r="C1230" s="197"/>
      <c r="D1230" s="20"/>
      <c r="E1230" s="20"/>
    </row>
    <row r="1231">
      <c r="A1231" s="196"/>
      <c r="B1231" s="197"/>
      <c r="C1231" s="197"/>
      <c r="D1231" s="20"/>
      <c r="E1231" s="20"/>
    </row>
    <row r="1232">
      <c r="A1232" s="196" t="str">
        <f>IFERROR(__xludf.DUMMYFUNCTION("""COMPUTED_VALUE"""),"Starborne")</f>
        <v>Starborne</v>
      </c>
      <c r="B1232" s="197"/>
      <c r="C1232" s="197"/>
      <c r="D1232" s="20"/>
      <c r="E1232" s="20"/>
    </row>
    <row r="1233">
      <c r="A1233" s="196" t="str">
        <f>IFERROR(__xludf.DUMMYFUNCTION("""COMPUTED_VALUE"""),"Basilisk")</f>
        <v>Basilisk</v>
      </c>
      <c r="B1233" s="197"/>
      <c r="C1233" s="197"/>
      <c r="D1233" s="20"/>
      <c r="E1233" s="20"/>
    </row>
    <row r="1234">
      <c r="A1234" s="196"/>
      <c r="B1234" s="197"/>
      <c r="C1234" s="197"/>
      <c r="D1234" s="20"/>
      <c r="E1234" s="20"/>
    </row>
    <row r="1235">
      <c r="A1235" s="196"/>
      <c r="B1235" s="197"/>
      <c r="C1235" s="197"/>
      <c r="D1235" s="20"/>
      <c r="E1235" s="20"/>
    </row>
    <row r="1236">
      <c r="A1236" s="196"/>
      <c r="B1236" s="197"/>
      <c r="C1236" s="197"/>
      <c r="D1236" s="20"/>
      <c r="E1236" s="20"/>
    </row>
    <row r="1237">
      <c r="A1237" s="196" t="str">
        <f>IFERROR(__xludf.DUMMYFUNCTION("""COMPUTED_VALUE"""),"Gladehost")</f>
        <v>Gladehost</v>
      </c>
      <c r="B1237" s="197"/>
      <c r="C1237" s="197"/>
      <c r="D1237" s="20"/>
      <c r="E1237" s="20"/>
    </row>
    <row r="1238">
      <c r="A1238" s="196" t="str">
        <f>IFERROR(__xludf.DUMMYFUNCTION("""COMPUTED_VALUE"""),"Kyudo")</f>
        <v>Kyudo</v>
      </c>
      <c r="B1238" s="197"/>
      <c r="C1238" s="197"/>
      <c r="D1238" s="20"/>
      <c r="E1238" s="20"/>
    </row>
    <row r="1239">
      <c r="A1239" s="196" t="str">
        <f>IFERROR(__xludf.DUMMYFUNCTION("""COMPUTED_VALUE"""),"Master")</f>
        <v>Master</v>
      </c>
      <c r="B1239" s="197"/>
      <c r="C1239" s="197"/>
      <c r="D1239" s="20"/>
      <c r="E1239" s="20"/>
    </row>
    <row r="1240">
      <c r="A1240" s="196"/>
      <c r="B1240" s="197"/>
      <c r="C1240" s="197"/>
      <c r="D1240" s="20"/>
      <c r="E1240" s="20"/>
    </row>
    <row r="1241">
      <c r="A1241" s="196"/>
      <c r="B1241" s="197"/>
      <c r="C1241" s="197"/>
      <c r="D1241" s="20"/>
      <c r="E1241" s="20"/>
    </row>
    <row r="1242">
      <c r="A1242" s="196" t="str">
        <f>IFERROR(__xludf.DUMMYFUNCTION("""COMPUTED_VALUE"""),"Chalice")</f>
        <v>Chalice</v>
      </c>
      <c r="B1242" s="197"/>
      <c r="C1242" s="197"/>
      <c r="D1242" s="20"/>
      <c r="E1242" s="20"/>
    </row>
    <row r="1243">
      <c r="A1243" s="196" t="str">
        <f>IFERROR(__xludf.DUMMYFUNCTION("""COMPUTED_VALUE"""),"Bloodbrewer")</f>
        <v>Bloodbrewer</v>
      </c>
      <c r="B1243" s="197"/>
      <c r="C1243" s="197"/>
      <c r="D1243" s="20"/>
      <c r="E1243" s="20"/>
    </row>
    <row r="1244">
      <c r="A1244" s="196"/>
      <c r="B1244" s="197"/>
      <c r="C1244" s="197"/>
      <c r="D1244" s="20"/>
      <c r="E1244" s="20"/>
    </row>
    <row r="1245">
      <c r="A1245" s="196"/>
      <c r="B1245" s="197"/>
      <c r="C1245" s="197"/>
      <c r="D1245" s="20"/>
      <c r="E1245" s="20"/>
    </row>
    <row r="1246">
      <c r="A1246" s="196"/>
      <c r="B1246" s="197"/>
      <c r="C1246" s="197"/>
      <c r="D1246" s="20"/>
      <c r="E1246" s="20"/>
    </row>
    <row r="1247">
      <c r="A1247" s="196" t="str">
        <f>IFERROR(__xludf.DUMMYFUNCTION("""COMPUTED_VALUE"""),"Packhunting")</f>
        <v>Packhunting</v>
      </c>
      <c r="B1247" s="197"/>
      <c r="C1247" s="197"/>
      <c r="D1247" s="20"/>
      <c r="E1247" s="20"/>
    </row>
    <row r="1248">
      <c r="A1248" s="196" t="str">
        <f>IFERROR(__xludf.DUMMYFUNCTION("""COMPUTED_VALUE"""),"Crystalbeast")</f>
        <v>Crystalbeast</v>
      </c>
      <c r="B1248" s="197"/>
      <c r="C1248" s="197"/>
      <c r="D1248" s="20"/>
      <c r="E1248" s="20"/>
    </row>
    <row r="1249">
      <c r="A1249" s="196"/>
      <c r="B1249" s="197"/>
      <c r="C1249" s="197"/>
      <c r="D1249" s="20"/>
      <c r="E1249" s="20"/>
    </row>
    <row r="1250">
      <c r="A1250" s="196"/>
      <c r="B1250" s="197"/>
      <c r="C1250" s="197"/>
      <c r="D1250" s="20"/>
      <c r="E1250" s="20"/>
    </row>
    <row r="1251">
      <c r="A1251" s="196"/>
      <c r="B1251" s="197"/>
      <c r="C1251" s="197"/>
      <c r="D1251" s="20"/>
      <c r="E1251" s="20"/>
    </row>
    <row r="1252">
      <c r="A1252" s="196" t="str">
        <f>IFERROR(__xludf.DUMMYFUNCTION("""COMPUTED_VALUE"""),"Pebble")</f>
        <v>Pebble</v>
      </c>
      <c r="B1252" s="197"/>
      <c r="C1252" s="197"/>
      <c r="D1252" s="20"/>
      <c r="E1252" s="20"/>
    </row>
    <row r="1253">
      <c r="A1253" s="196" t="str">
        <f>IFERROR(__xludf.DUMMYFUNCTION("""COMPUTED_VALUE"""),"Gekko")</f>
        <v>Gekko</v>
      </c>
      <c r="B1253" s="197"/>
      <c r="C1253" s="197"/>
      <c r="D1253" s="20"/>
      <c r="E1253" s="20"/>
    </row>
    <row r="1254">
      <c r="A1254" s="196"/>
      <c r="B1254" s="197"/>
      <c r="C1254" s="197"/>
      <c r="D1254" s="20"/>
      <c r="E1254" s="20"/>
    </row>
    <row r="1255">
      <c r="A1255" s="196"/>
      <c r="B1255" s="197"/>
      <c r="C1255" s="197"/>
      <c r="D1255" s="20"/>
      <c r="E1255" s="20"/>
    </row>
    <row r="1256">
      <c r="A1256" s="196"/>
      <c r="B1256" s="197"/>
      <c r="C1256" s="197"/>
      <c r="D1256" s="20"/>
      <c r="E1256" s="20"/>
    </row>
    <row r="1257">
      <c r="A1257" s="196" t="str">
        <f>IFERROR(__xludf.DUMMYFUNCTION("""COMPUTED_VALUE"""),"Platinum")</f>
        <v>Platinum</v>
      </c>
      <c r="B1257" s="197"/>
      <c r="C1257" s="197"/>
      <c r="D1257" s="20"/>
      <c r="E1257" s="20"/>
    </row>
    <row r="1258">
      <c r="A1258" s="196" t="str">
        <f>IFERROR(__xludf.DUMMYFUNCTION("""COMPUTED_VALUE"""),"Ladybug")</f>
        <v>Ladybug</v>
      </c>
      <c r="B1258" s="197"/>
      <c r="C1258" s="197"/>
      <c r="D1258" s="20"/>
      <c r="E1258" s="20"/>
    </row>
    <row r="1259">
      <c r="A1259" s="196"/>
      <c r="B1259" s="197"/>
      <c r="C1259" s="197"/>
      <c r="D1259" s="20"/>
      <c r="E1259" s="20"/>
    </row>
    <row r="1260">
      <c r="A1260" s="196"/>
      <c r="B1260" s="197"/>
      <c r="C1260" s="197"/>
      <c r="D1260" s="20"/>
      <c r="E1260" s="20"/>
    </row>
    <row r="1261">
      <c r="A1261" s="196"/>
      <c r="B1261" s="197"/>
      <c r="C1261" s="197"/>
      <c r="D1261" s="20"/>
      <c r="E1261" s="20"/>
    </row>
    <row r="1262">
      <c r="A1262" s="196" t="str">
        <f>IFERROR(__xludf.DUMMYFUNCTION("""COMPUTED_VALUE"""),"Necromancer")</f>
        <v>Necromancer</v>
      </c>
      <c r="B1262" s="197"/>
      <c r="C1262" s="197"/>
      <c r="D1262" s="20"/>
      <c r="E1262" s="20"/>
    </row>
    <row r="1263">
      <c r="A1263" s="196"/>
      <c r="B1263" s="197"/>
      <c r="C1263" s="197"/>
      <c r="D1263" s="20"/>
      <c r="E1263" s="20"/>
    </row>
    <row r="1264">
      <c r="A1264" s="196"/>
      <c r="B1264" s="197"/>
      <c r="C1264" s="197"/>
      <c r="D1264" s="20"/>
      <c r="E1264" s="20"/>
    </row>
    <row r="1265">
      <c r="A1265" s="196"/>
      <c r="B1265" s="197"/>
      <c r="C1265" s="197"/>
      <c r="D1265" s="20"/>
      <c r="E1265" s="20"/>
    </row>
    <row r="1266">
      <c r="A1266" s="196"/>
      <c r="B1266" s="197"/>
      <c r="C1266" s="197"/>
      <c r="D1266" s="20"/>
      <c r="E1266" s="20"/>
    </row>
    <row r="1267">
      <c r="A1267" s="196" t="str">
        <f>IFERROR(__xludf.DUMMYFUNCTION("""COMPUTED_VALUE"""),"Pollen")</f>
        <v>Pollen</v>
      </c>
      <c r="B1267" s="197"/>
      <c r="C1267" s="197"/>
      <c r="D1267" s="20"/>
      <c r="E1267" s="20"/>
    </row>
    <row r="1268">
      <c r="A1268" s="196" t="str">
        <f>IFERROR(__xludf.DUMMYFUNCTION("""COMPUTED_VALUE"""),"Buzz")</f>
        <v>Buzz</v>
      </c>
      <c r="B1268" s="197"/>
      <c r="C1268" s="197"/>
      <c r="D1268" s="20"/>
      <c r="E1268" s="20"/>
    </row>
    <row r="1269">
      <c r="A1269" s="196"/>
      <c r="B1269" s="197"/>
      <c r="C1269" s="197"/>
      <c r="D1269" s="20"/>
      <c r="E1269" s="20"/>
    </row>
    <row r="1270">
      <c r="A1270" s="196"/>
      <c r="B1270" s="197"/>
      <c r="C1270" s="197"/>
      <c r="D1270" s="20"/>
      <c r="E1270" s="20"/>
    </row>
    <row r="1271">
      <c r="A1271" s="196"/>
      <c r="B1271" s="197"/>
      <c r="C1271" s="197"/>
      <c r="D1271" s="20"/>
      <c r="E1271" s="20"/>
    </row>
    <row r="1272">
      <c r="A1272" s="196" t="str">
        <f>IFERROR(__xludf.DUMMYFUNCTION("""COMPUTED_VALUE"""),"Primal")</f>
        <v>Primal</v>
      </c>
      <c r="B1272" s="197"/>
      <c r="C1272" s="197"/>
      <c r="D1272" s="20"/>
      <c r="E1272" s="20"/>
    </row>
    <row r="1273">
      <c r="A1273" s="196" t="str">
        <f>IFERROR(__xludf.DUMMYFUNCTION("""COMPUTED_VALUE"""),"Horde")</f>
        <v>Horde</v>
      </c>
      <c r="B1273" s="197"/>
      <c r="C1273" s="197"/>
      <c r="D1273" s="20"/>
      <c r="E1273" s="20"/>
    </row>
    <row r="1274">
      <c r="A1274" s="196"/>
      <c r="B1274" s="197"/>
      <c r="C1274" s="197"/>
      <c r="D1274" s="20"/>
      <c r="E1274" s="20"/>
    </row>
    <row r="1275">
      <c r="A1275" s="196"/>
      <c r="B1275" s="197"/>
      <c r="C1275" s="197"/>
      <c r="D1275" s="20"/>
      <c r="E1275" s="20"/>
    </row>
    <row r="1276">
      <c r="A1276" s="196"/>
      <c r="B1276" s="197"/>
      <c r="C1276" s="197"/>
      <c r="D1276" s="20"/>
      <c r="E1276" s="20"/>
    </row>
    <row r="1277">
      <c r="A1277" s="196" t="str">
        <f>IFERROR(__xludf.DUMMYFUNCTION("""COMPUTED_VALUE"""),"Prowling")</f>
        <v>Prowling</v>
      </c>
      <c r="B1277" s="197"/>
      <c r="C1277" s="197"/>
      <c r="D1277" s="20"/>
      <c r="E1277" s="20"/>
    </row>
    <row r="1278">
      <c r="A1278" s="196" t="str">
        <f>IFERROR(__xludf.DUMMYFUNCTION("""COMPUTED_VALUE"""),"Puma")</f>
        <v>Puma</v>
      </c>
      <c r="B1278" s="197"/>
      <c r="C1278" s="197"/>
      <c r="D1278" s="20"/>
      <c r="E1278" s="20"/>
    </row>
    <row r="1279">
      <c r="A1279" s="196"/>
      <c r="B1279" s="197"/>
      <c r="C1279" s="197"/>
      <c r="D1279" s="20"/>
      <c r="E1279" s="20"/>
    </row>
    <row r="1280">
      <c r="A1280" s="196"/>
      <c r="B1280" s="197"/>
      <c r="C1280" s="197"/>
      <c r="D1280" s="20"/>
      <c r="E1280" s="20"/>
    </row>
    <row r="1281">
      <c r="A1281" s="196"/>
      <c r="B1281" s="197"/>
      <c r="C1281" s="197"/>
      <c r="D1281" s="20"/>
      <c r="E1281" s="20"/>
    </row>
    <row r="1282">
      <c r="A1282" s="196" t="str">
        <f>IFERROR(__xludf.DUMMYFUNCTION("""COMPUTED_VALUE"""),"Raider")</f>
        <v>Raider</v>
      </c>
      <c r="B1282" s="197"/>
      <c r="C1282" s="197"/>
      <c r="D1282" s="20"/>
      <c r="E1282" s="20"/>
    </row>
    <row r="1283">
      <c r="A1283" s="196" t="str">
        <f>IFERROR(__xludf.DUMMYFUNCTION("""COMPUTED_VALUE"""),"of")</f>
        <v>of</v>
      </c>
      <c r="B1283" s="197"/>
      <c r="C1283" s="197"/>
      <c r="D1283" s="20"/>
      <c r="E1283" s="20"/>
    </row>
    <row r="1284">
      <c r="A1284" s="196" t="str">
        <f>IFERROR(__xludf.DUMMYFUNCTION("""COMPUTED_VALUE"""),"the")</f>
        <v>the</v>
      </c>
      <c r="B1284" s="197"/>
      <c r="C1284" s="197"/>
      <c r="D1284" s="20"/>
      <c r="E1284" s="20"/>
    </row>
    <row r="1285">
      <c r="A1285" s="196" t="str">
        <f>IFERROR(__xludf.DUMMYFUNCTION("""COMPUTED_VALUE"""),"Crystal")</f>
        <v>Crystal</v>
      </c>
      <c r="B1285" s="197"/>
      <c r="C1285" s="197"/>
      <c r="D1285" s="20"/>
      <c r="E1285" s="20"/>
    </row>
    <row r="1286">
      <c r="A1286" s="196" t="str">
        <f>IFERROR(__xludf.DUMMYFUNCTION("""COMPUTED_VALUE"""),"Catacombs")</f>
        <v>Catacombs</v>
      </c>
      <c r="B1286" s="197"/>
      <c r="C1286" s="197"/>
      <c r="D1286" s="20"/>
      <c r="E1286" s="20"/>
    </row>
    <row r="1287">
      <c r="A1287" s="196" t="str">
        <f>IFERROR(__xludf.DUMMYFUNCTION("""COMPUTED_VALUE"""),"Forsaken")</f>
        <v>Forsaken</v>
      </c>
      <c r="B1287" s="197"/>
      <c r="C1287" s="197"/>
      <c r="D1287" s="20"/>
      <c r="E1287" s="20"/>
    </row>
    <row r="1288">
      <c r="A1288" s="196" t="str">
        <f>IFERROR(__xludf.DUMMYFUNCTION("""COMPUTED_VALUE"""),"Aristocrat")</f>
        <v>Aristocrat</v>
      </c>
      <c r="B1288" s="197"/>
      <c r="C1288" s="197"/>
      <c r="D1288" s="20"/>
      <c r="E1288" s="20"/>
    </row>
    <row r="1289">
      <c r="A1289" s="196"/>
      <c r="B1289" s="197"/>
      <c r="C1289" s="197"/>
      <c r="D1289" s="20"/>
      <c r="E1289" s="20"/>
    </row>
    <row r="1290">
      <c r="A1290" s="196"/>
      <c r="B1290" s="197"/>
      <c r="C1290" s="197"/>
      <c r="D1290" s="20"/>
      <c r="E1290" s="20"/>
    </row>
    <row r="1291">
      <c r="A1291" s="196"/>
      <c r="B1291" s="197"/>
      <c r="C1291" s="197"/>
      <c r="D1291" s="20"/>
      <c r="E1291" s="20"/>
    </row>
    <row r="1292">
      <c r="A1292" s="196" t="str">
        <f>IFERROR(__xludf.DUMMYFUNCTION("""COMPUTED_VALUE"""),"Roar")</f>
        <v>Roar</v>
      </c>
      <c r="B1292" s="197"/>
      <c r="C1292" s="197"/>
      <c r="D1292" s="20"/>
      <c r="E1292" s="20"/>
    </row>
    <row r="1293">
      <c r="A1293" s="196" t="str">
        <f>IFERROR(__xludf.DUMMYFUNCTION("""COMPUTED_VALUE"""),"from")</f>
        <v>from</v>
      </c>
      <c r="B1293" s="197"/>
      <c r="C1293" s="197"/>
      <c r="D1293" s="20"/>
      <c r="E1293" s="20"/>
    </row>
    <row r="1294">
      <c r="A1294" s="196" t="str">
        <f>IFERROR(__xludf.DUMMYFUNCTION("""COMPUTED_VALUE"""),"the")</f>
        <v>the</v>
      </c>
      <c r="B1294" s="197"/>
      <c r="C1294" s="197"/>
      <c r="D1294" s="20"/>
      <c r="E1294" s="20"/>
    </row>
    <row r="1295">
      <c r="A1295" s="196" t="str">
        <f>IFERROR(__xludf.DUMMYFUNCTION("""COMPUTED_VALUE"""),"Past")</f>
        <v>Past</v>
      </c>
      <c r="B1295" s="197"/>
      <c r="C1295" s="197"/>
      <c r="D1295" s="20"/>
      <c r="E1295" s="20"/>
    </row>
    <row r="1296">
      <c r="A1296" s="196"/>
      <c r="B1296" s="197"/>
      <c r="C1296" s="197"/>
      <c r="D1296" s="20"/>
      <c r="E1296" s="20"/>
    </row>
    <row r="1297">
      <c r="A1297" s="196" t="str">
        <f>IFERROR(__xludf.DUMMYFUNCTION("""COMPUTED_VALUE"""),"Rootseed")</f>
        <v>Rootseed</v>
      </c>
      <c r="B1297" s="197"/>
      <c r="C1297" s="197"/>
      <c r="D1297" s="20"/>
      <c r="E1297" s="20"/>
    </row>
    <row r="1298">
      <c r="A1298" s="196" t="str">
        <f>IFERROR(__xludf.DUMMYFUNCTION("""COMPUTED_VALUE"""),"Snapscale")</f>
        <v>Snapscale</v>
      </c>
      <c r="B1298" s="197"/>
      <c r="C1298" s="197"/>
      <c r="D1298" s="20"/>
      <c r="E1298" s="20"/>
    </row>
    <row r="1299">
      <c r="A1299" s="196"/>
      <c r="B1299" s="197"/>
      <c r="C1299" s="197"/>
      <c r="D1299" s="20"/>
      <c r="E1299" s="20"/>
    </row>
    <row r="1300">
      <c r="A1300" s="196"/>
      <c r="B1300" s="197"/>
      <c r="C1300" s="197"/>
      <c r="D1300" s="20"/>
      <c r="E1300" s="20"/>
    </row>
    <row r="1301">
      <c r="A1301" s="196"/>
      <c r="B1301" s="197"/>
      <c r="C1301" s="197"/>
      <c r="D1301" s="20"/>
      <c r="E1301" s="20"/>
    </row>
    <row r="1302">
      <c r="A1302" s="196" t="str">
        <f>IFERROR(__xludf.DUMMYFUNCTION("""COMPUTED_VALUE"""),"Alpha")</f>
        <v>Alpha</v>
      </c>
      <c r="B1302" s="197"/>
      <c r="C1302" s="197"/>
      <c r="D1302" s="20"/>
      <c r="E1302" s="20"/>
    </row>
    <row r="1303">
      <c r="A1303" s="196" t="str">
        <f>IFERROR(__xludf.DUMMYFUNCTION("""COMPUTED_VALUE"""),"of")</f>
        <v>of</v>
      </c>
      <c r="B1303" s="197"/>
      <c r="C1303" s="197"/>
      <c r="D1303" s="20"/>
      <c r="E1303" s="20"/>
    </row>
    <row r="1304">
      <c r="A1304" s="196" t="str">
        <f>IFERROR(__xludf.DUMMYFUNCTION("""COMPUTED_VALUE"""),"the")</f>
        <v>the</v>
      </c>
      <c r="B1304" s="197"/>
      <c r="C1304" s="197"/>
      <c r="D1304" s="20"/>
      <c r="E1304" s="20"/>
    </row>
    <row r="1305">
      <c r="A1305" s="196" t="str">
        <f>IFERROR(__xludf.DUMMYFUNCTION("""COMPUTED_VALUE"""),"Stampede")</f>
        <v>Stampede</v>
      </c>
      <c r="B1305" s="197"/>
      <c r="C1305" s="197"/>
      <c r="D1305" s="20"/>
      <c r="E1305" s="20"/>
    </row>
    <row r="1306">
      <c r="A1306" s="196"/>
      <c r="B1306" s="197"/>
      <c r="C1306" s="197"/>
      <c r="D1306" s="20"/>
      <c r="E1306" s="20"/>
    </row>
    <row r="1307">
      <c r="A1307" s="196" t="str">
        <f>IFERROR(__xludf.DUMMYFUNCTION("""COMPUTED_VALUE"""),"Amethyst")</f>
        <v>Amethyst</v>
      </c>
      <c r="B1307" s="197"/>
      <c r="C1307" s="197"/>
      <c r="D1307" s="20"/>
      <c r="E1307" s="20"/>
    </row>
    <row r="1308">
      <c r="A1308" s="196" t="str">
        <f>IFERROR(__xludf.DUMMYFUNCTION("""COMPUTED_VALUE"""),"Argosaurus")</f>
        <v>Argosaurus</v>
      </c>
      <c r="B1308" s="197"/>
      <c r="C1308" s="197"/>
      <c r="D1308" s="20"/>
      <c r="E1308" s="20"/>
    </row>
    <row r="1309">
      <c r="A1309" s="196"/>
      <c r="B1309" s="197"/>
      <c r="C1309" s="197"/>
      <c r="D1309" s="20"/>
      <c r="E1309" s="20"/>
    </row>
    <row r="1310">
      <c r="A1310" s="196"/>
      <c r="B1310" s="197"/>
      <c r="C1310" s="197"/>
      <c r="D1310" s="20"/>
      <c r="E1310" s="20"/>
    </row>
    <row r="1311">
      <c r="A1311" s="196"/>
      <c r="B1311" s="197"/>
      <c r="C1311" s="197"/>
      <c r="D1311" s="20"/>
      <c r="E1311" s="20"/>
    </row>
    <row r="1312">
      <c r="A1312" s="196" t="str">
        <f>IFERROR(__xludf.DUMMYFUNCTION("""COMPUTED_VALUE"""),"Astral")</f>
        <v>Astral</v>
      </c>
      <c r="B1312" s="197"/>
      <c r="C1312" s="197"/>
      <c r="D1312" s="20"/>
      <c r="E1312" s="20"/>
    </row>
    <row r="1313">
      <c r="A1313" s="196" t="str">
        <f>IFERROR(__xludf.DUMMYFUNCTION("""COMPUTED_VALUE"""),"Unicorn")</f>
        <v>Unicorn</v>
      </c>
      <c r="B1313" s="197"/>
      <c r="C1313" s="197"/>
      <c r="D1313" s="20"/>
      <c r="E1313" s="20"/>
    </row>
    <row r="1314">
      <c r="A1314" s="196"/>
      <c r="B1314" s="197"/>
      <c r="C1314" s="197"/>
      <c r="D1314" s="20"/>
      <c r="E1314" s="20"/>
    </row>
    <row r="1315">
      <c r="A1315" s="196"/>
      <c r="B1315" s="197"/>
      <c r="C1315" s="197"/>
      <c r="D1315" s="20"/>
      <c r="E1315" s="20"/>
    </row>
    <row r="1316">
      <c r="A1316" s="196"/>
      <c r="B1316" s="197"/>
      <c r="C1316" s="197"/>
      <c r="D1316" s="20"/>
      <c r="E1316" s="20"/>
    </row>
    <row r="1317">
      <c r="A1317" s="196" t="str">
        <f>IFERROR(__xludf.DUMMYFUNCTION("""COMPUTED_VALUE"""),"Spectra")</f>
        <v>Spectra</v>
      </c>
      <c r="B1317" s="197"/>
      <c r="C1317" s="197"/>
      <c r="D1317" s="20"/>
      <c r="E1317" s="20"/>
    </row>
    <row r="1318">
      <c r="A1318" s="196" t="str">
        <f>IFERROR(__xludf.DUMMYFUNCTION("""COMPUTED_VALUE"""),"Stick")</f>
        <v>Stick</v>
      </c>
      <c r="B1318" s="197"/>
      <c r="C1318" s="197"/>
      <c r="D1318" s="20"/>
      <c r="E1318" s="20"/>
    </row>
    <row r="1319">
      <c r="A1319" s="196" t="str">
        <f>IFERROR(__xludf.DUMMYFUNCTION("""COMPUTED_VALUE"""),"Bug")</f>
        <v>Bug</v>
      </c>
      <c r="B1319" s="197"/>
      <c r="C1319" s="197"/>
      <c r="D1319" s="20"/>
      <c r="E1319" s="20"/>
    </row>
    <row r="1320">
      <c r="A1320" s="196"/>
      <c r="B1320" s="197"/>
      <c r="C1320" s="197"/>
      <c r="D1320" s="20"/>
      <c r="E1320" s="20"/>
    </row>
    <row r="1321">
      <c r="A1321" s="196"/>
      <c r="B1321" s="197"/>
      <c r="C1321" s="197"/>
      <c r="D1321" s="20"/>
      <c r="E1321" s="20"/>
    </row>
    <row r="1322">
      <c r="A1322" s="196" t="str">
        <f>IFERROR(__xludf.DUMMYFUNCTION("""COMPUTED_VALUE"""),"Calming")</f>
        <v>Calming</v>
      </c>
      <c r="B1322" s="197"/>
      <c r="C1322" s="197"/>
      <c r="D1322" s="20"/>
      <c r="E1322" s="20"/>
    </row>
    <row r="1323">
      <c r="A1323" s="196" t="str">
        <f>IFERROR(__xludf.DUMMYFUNCTION("""COMPUTED_VALUE"""),"Apparition")</f>
        <v>Apparition</v>
      </c>
      <c r="B1323" s="197"/>
      <c r="C1323" s="197"/>
      <c r="D1323" s="20"/>
      <c r="E1323" s="20"/>
    </row>
    <row r="1324">
      <c r="A1324" s="196"/>
      <c r="B1324" s="197"/>
      <c r="C1324" s="197"/>
      <c r="D1324" s="20"/>
      <c r="E1324" s="20"/>
    </row>
    <row r="1325">
      <c r="A1325" s="196"/>
      <c r="B1325" s="197"/>
      <c r="C1325" s="197"/>
      <c r="D1325" s="20"/>
      <c r="E1325" s="20"/>
    </row>
    <row r="1326">
      <c r="A1326" s="196"/>
      <c r="B1326" s="197"/>
      <c r="C1326" s="197"/>
      <c r="D1326" s="20"/>
      <c r="E1326" s="20"/>
    </row>
    <row r="1327">
      <c r="A1327" s="196" t="str">
        <f>IFERROR(__xludf.DUMMYFUNCTION("""COMPUTED_VALUE"""),"Sylvan")</f>
        <v>Sylvan</v>
      </c>
      <c r="B1327" s="197"/>
      <c r="C1327" s="197"/>
      <c r="D1327" s="20"/>
      <c r="E1327" s="20"/>
    </row>
    <row r="1328">
      <c r="A1328" s="196" t="str">
        <f>IFERROR(__xludf.DUMMYFUNCTION("""COMPUTED_VALUE"""),"Gamekeeper")</f>
        <v>Gamekeeper</v>
      </c>
      <c r="B1328" s="197"/>
      <c r="C1328" s="197"/>
      <c r="D1328" s="20"/>
      <c r="E1328" s="20"/>
    </row>
    <row r="1329">
      <c r="A1329" s="196"/>
      <c r="B1329" s="197"/>
      <c r="C1329" s="197"/>
      <c r="D1329" s="20"/>
      <c r="E1329" s="20"/>
    </row>
    <row r="1330">
      <c r="A1330" s="196"/>
      <c r="B1330" s="197"/>
      <c r="C1330" s="197"/>
      <c r="D1330" s="20"/>
      <c r="E1330" s="20"/>
    </row>
    <row r="1331">
      <c r="A1331" s="196"/>
      <c r="B1331" s="197"/>
      <c r="C1331" s="197"/>
      <c r="D1331" s="20"/>
      <c r="E1331" s="20"/>
    </row>
    <row r="1332">
      <c r="A1332" s="196" t="str">
        <f>IFERROR(__xludf.DUMMYFUNCTION("""COMPUTED_VALUE"""),"Tainted")</f>
        <v>Tainted</v>
      </c>
      <c r="B1332" s="197"/>
      <c r="C1332" s="197"/>
      <c r="D1332" s="20"/>
      <c r="E1332" s="20"/>
    </row>
    <row r="1333">
      <c r="A1333" s="196" t="str">
        <f>IFERROR(__xludf.DUMMYFUNCTION("""COMPUTED_VALUE"""),"Jade")</f>
        <v>Jade</v>
      </c>
      <c r="B1333" s="197"/>
      <c r="C1333" s="197"/>
      <c r="D1333" s="20"/>
      <c r="E1333" s="20"/>
    </row>
    <row r="1334">
      <c r="A1334" s="196" t="str">
        <f>IFERROR(__xludf.DUMMYFUNCTION("""COMPUTED_VALUE"""),"Monstrosity")</f>
        <v>Monstrosity</v>
      </c>
      <c r="B1334" s="197"/>
      <c r="C1334" s="197"/>
      <c r="D1334" s="20"/>
      <c r="E1334" s="20"/>
    </row>
    <row r="1335">
      <c r="A1335" s="196"/>
      <c r="B1335" s="197"/>
      <c r="C1335" s="197"/>
      <c r="D1335" s="20"/>
      <c r="E1335" s="20"/>
    </row>
    <row r="1336">
      <c r="A1336" s="196"/>
      <c r="B1336" s="197"/>
      <c r="C1336" s="197"/>
      <c r="D1336" s="20"/>
      <c r="E1336" s="20"/>
    </row>
    <row r="1337">
      <c r="A1337" s="196" t="str">
        <f>IFERROR(__xludf.DUMMYFUNCTION("""COMPUTED_VALUE"""),"Tainted")</f>
        <v>Tainted</v>
      </c>
      <c r="B1337" s="197"/>
      <c r="C1337" s="197"/>
      <c r="D1337" s="20"/>
      <c r="E1337" s="20"/>
    </row>
    <row r="1338">
      <c r="A1338" s="196" t="str">
        <f>IFERROR(__xludf.DUMMYFUNCTION("""COMPUTED_VALUE"""),"Jade")</f>
        <v>Jade</v>
      </c>
      <c r="B1338" s="197"/>
      <c r="C1338" s="197"/>
      <c r="D1338" s="20"/>
      <c r="E1338" s="20"/>
    </row>
    <row r="1339">
      <c r="A1339" s="196" t="str">
        <f>IFERROR(__xludf.DUMMYFUNCTION("""COMPUTED_VALUE"""),"Mycomancer")</f>
        <v>Mycomancer</v>
      </c>
      <c r="B1339" s="197"/>
      <c r="C1339" s="197"/>
      <c r="D1339" s="20"/>
      <c r="E1339" s="20"/>
    </row>
    <row r="1340">
      <c r="A1340" s="196"/>
      <c r="B1340" s="197"/>
      <c r="C1340" s="197"/>
      <c r="D1340" s="20"/>
      <c r="E1340" s="20"/>
    </row>
    <row r="1341">
      <c r="A1341" s="196"/>
      <c r="B1341" s="197"/>
      <c r="C1341" s="197"/>
      <c r="D1341" s="20"/>
      <c r="E1341" s="20"/>
    </row>
    <row r="1342">
      <c r="A1342" s="196" t="str">
        <f>IFERROR(__xludf.DUMMYFUNCTION("""COMPUTED_VALUE"""),"Caring")</f>
        <v>Caring</v>
      </c>
      <c r="B1342" s="197"/>
      <c r="C1342" s="197"/>
      <c r="D1342" s="20"/>
      <c r="E1342" s="20"/>
    </row>
    <row r="1343">
      <c r="A1343" s="196" t="str">
        <f>IFERROR(__xludf.DUMMYFUNCTION("""COMPUTED_VALUE"""),"Matriarch")</f>
        <v>Matriarch</v>
      </c>
      <c r="B1343" s="197"/>
      <c r="C1343" s="197"/>
      <c r="D1343" s="20"/>
      <c r="E1343" s="20"/>
    </row>
    <row r="1344">
      <c r="A1344" s="196"/>
      <c r="B1344" s="197"/>
      <c r="C1344" s="197"/>
      <c r="D1344" s="20"/>
      <c r="E1344" s="20"/>
    </row>
    <row r="1345">
      <c r="A1345" s="196"/>
      <c r="B1345" s="197"/>
      <c r="C1345" s="197"/>
      <c r="D1345" s="20"/>
      <c r="E1345" s="20"/>
    </row>
    <row r="1346">
      <c r="A1346" s="196"/>
      <c r="B1346" s="197"/>
      <c r="C1346" s="197"/>
      <c r="D1346" s="20"/>
      <c r="E1346" s="20"/>
    </row>
    <row r="1347">
      <c r="A1347" s="196" t="str">
        <f>IFERROR(__xludf.DUMMYFUNCTION("""COMPUTED_VALUE"""),"Trickster")</f>
        <v>Trickster</v>
      </c>
      <c r="B1347" s="197"/>
      <c r="C1347" s="197"/>
      <c r="D1347" s="20"/>
      <c r="E1347" s="20"/>
    </row>
    <row r="1348">
      <c r="A1348" s="196" t="str">
        <f>IFERROR(__xludf.DUMMYFUNCTION("""COMPUTED_VALUE"""),"Sprite")</f>
        <v>Sprite</v>
      </c>
      <c r="B1348" s="197"/>
      <c r="C1348" s="197"/>
      <c r="D1348" s="20"/>
      <c r="E1348" s="20"/>
    </row>
    <row r="1349">
      <c r="A1349" s="196"/>
      <c r="B1349" s="197"/>
      <c r="C1349" s="197"/>
      <c r="D1349" s="20"/>
      <c r="E1349" s="20"/>
    </row>
    <row r="1350">
      <c r="A1350" s="196"/>
      <c r="B1350" s="197"/>
      <c r="C1350" s="197"/>
      <c r="D1350" s="20"/>
      <c r="E1350" s="20"/>
    </row>
    <row r="1351">
      <c r="A1351" s="196"/>
      <c r="B1351" s="197"/>
      <c r="C1351" s="197"/>
      <c r="D1351" s="20"/>
      <c r="E1351" s="20"/>
    </row>
    <row r="1352">
      <c r="A1352" s="196" t="str">
        <f>IFERROR(__xludf.DUMMYFUNCTION("""COMPUTED_VALUE"""),"Venomleaf")</f>
        <v>Venomleaf</v>
      </c>
      <c r="B1352" s="197"/>
      <c r="C1352" s="197"/>
      <c r="D1352" s="20"/>
      <c r="E1352" s="20"/>
    </row>
    <row r="1353">
      <c r="A1353" s="196" t="str">
        <f>IFERROR(__xludf.DUMMYFUNCTION("""COMPUTED_VALUE"""),"Croaker")</f>
        <v>Croaker</v>
      </c>
      <c r="B1353" s="197"/>
      <c r="C1353" s="197"/>
      <c r="D1353" s="20"/>
      <c r="E1353" s="20"/>
    </row>
    <row r="1354">
      <c r="A1354" s="196"/>
      <c r="B1354" s="197"/>
      <c r="C1354" s="197"/>
      <c r="D1354" s="20"/>
      <c r="E1354" s="20"/>
    </row>
    <row r="1355">
      <c r="A1355" s="196"/>
      <c r="B1355" s="197"/>
      <c r="C1355" s="197"/>
      <c r="D1355" s="20"/>
      <c r="E1355" s="20"/>
    </row>
    <row r="1356">
      <c r="A1356" s="196"/>
      <c r="B1356" s="197"/>
      <c r="C1356" s="197"/>
      <c r="D1356" s="20"/>
      <c r="E1356" s="20"/>
    </row>
    <row r="1357">
      <c r="A1357" s="196" t="str">
        <f>IFERROR(__xludf.DUMMYFUNCTION("""COMPUTED_VALUE"""),"Darkwood")</f>
        <v>Darkwood</v>
      </c>
      <c r="B1357" s="197"/>
      <c r="C1357" s="197"/>
      <c r="D1357" s="20"/>
      <c r="E1357" s="20"/>
    </row>
    <row r="1358">
      <c r="A1358" s="196" t="str">
        <f>IFERROR(__xludf.DUMMYFUNCTION("""COMPUTED_VALUE"""),"Tracker")</f>
        <v>Tracker</v>
      </c>
      <c r="B1358" s="197"/>
      <c r="C1358" s="197"/>
      <c r="D1358" s="20"/>
      <c r="E1358" s="20"/>
    </row>
    <row r="1359">
      <c r="A1359" s="196"/>
      <c r="B1359" s="197"/>
      <c r="C1359" s="197"/>
      <c r="D1359" s="20"/>
      <c r="E1359" s="20"/>
    </row>
    <row r="1360">
      <c r="A1360" s="196"/>
      <c r="B1360" s="197"/>
      <c r="C1360" s="197"/>
      <c r="D1360" s="20"/>
      <c r="E1360" s="20"/>
    </row>
    <row r="1361">
      <c r="A1361" s="196"/>
      <c r="B1361" s="197"/>
      <c r="C1361" s="197"/>
      <c r="D1361" s="20"/>
      <c r="E1361" s="20"/>
    </row>
    <row r="1362">
      <c r="A1362" s="196" t="str">
        <f>IFERROR(__xludf.DUMMYFUNCTION("""COMPUTED_VALUE"""),"Verdant")</f>
        <v>Verdant</v>
      </c>
      <c r="B1362" s="197"/>
      <c r="C1362" s="197"/>
      <c r="D1362" s="20"/>
      <c r="E1362" s="20"/>
    </row>
    <row r="1363">
      <c r="A1363" s="196" t="str">
        <f>IFERROR(__xludf.DUMMYFUNCTION("""COMPUTED_VALUE"""),"Sakura")</f>
        <v>Sakura</v>
      </c>
      <c r="B1363" s="197"/>
      <c r="C1363" s="197"/>
      <c r="D1363" s="20"/>
      <c r="E1363" s="20"/>
    </row>
    <row r="1364">
      <c r="A1364" s="196" t="str">
        <f>IFERROR(__xludf.DUMMYFUNCTION("""COMPUTED_VALUE"""),"Tree")</f>
        <v>Tree</v>
      </c>
      <c r="B1364" s="197"/>
      <c r="C1364" s="197"/>
      <c r="D1364" s="20"/>
      <c r="E1364" s="20"/>
    </row>
    <row r="1365">
      <c r="A1365" s="196"/>
      <c r="B1365" s="197"/>
      <c r="C1365" s="197"/>
      <c r="D1365" s="20"/>
      <c r="E1365" s="20"/>
    </row>
    <row r="1366">
      <c r="A1366" s="196"/>
      <c r="B1366" s="197"/>
      <c r="C1366" s="197"/>
      <c r="D1366" s="20"/>
      <c r="E1366" s="20"/>
    </row>
    <row r="1367">
      <c r="A1367" s="196" t="str">
        <f>IFERROR(__xludf.DUMMYFUNCTION("""COMPUTED_VALUE"""),"Forgotten")</f>
        <v>Forgotten</v>
      </c>
      <c r="B1367" s="197"/>
      <c r="C1367" s="197"/>
      <c r="D1367" s="20"/>
      <c r="E1367" s="20"/>
    </row>
    <row r="1368">
      <c r="A1368" s="196" t="str">
        <f>IFERROR(__xludf.DUMMYFUNCTION("""COMPUTED_VALUE"""),"Ancient")</f>
        <v>Ancient</v>
      </c>
      <c r="B1368" s="197"/>
      <c r="C1368" s="197"/>
      <c r="D1368" s="20"/>
      <c r="E1368" s="20"/>
    </row>
    <row r="1369">
      <c r="A1369" s="196"/>
      <c r="B1369" s="197"/>
      <c r="C1369" s="197"/>
      <c r="D1369" s="20"/>
      <c r="E1369" s="20"/>
    </row>
    <row r="1370">
      <c r="A1370" s="196"/>
      <c r="B1370" s="197"/>
      <c r="C1370" s="197"/>
      <c r="D1370" s="20"/>
      <c r="E1370" s="20"/>
    </row>
    <row r="1371">
      <c r="A1371" s="196"/>
      <c r="B1371" s="197"/>
      <c r="C1371" s="197"/>
      <c r="D1371" s="20"/>
      <c r="E1371" s="20"/>
    </row>
    <row r="1372">
      <c r="A1372" s="196" t="str">
        <f>IFERROR(__xludf.DUMMYFUNCTION("""COMPUTED_VALUE"""),"Locust")</f>
        <v>Locust</v>
      </c>
      <c r="B1372" s="197"/>
      <c r="C1372" s="197"/>
      <c r="D1372" s="20"/>
      <c r="E1372" s="20"/>
    </row>
    <row r="1373">
      <c r="A1373" s="196" t="str">
        <f>IFERROR(__xludf.DUMMYFUNCTION("""COMPUTED_VALUE"""),"Swarm")</f>
        <v>Swarm</v>
      </c>
      <c r="B1373" s="197"/>
      <c r="C1373" s="197"/>
      <c r="D1373" s="20"/>
      <c r="E1373" s="20"/>
    </row>
    <row r="1374">
      <c r="A1374" s="196"/>
      <c r="B1374" s="197"/>
      <c r="C1374" s="197"/>
      <c r="D1374" s="20"/>
      <c r="E1374" s="20"/>
    </row>
    <row r="1375">
      <c r="A1375" s="196"/>
      <c r="B1375" s="197"/>
      <c r="C1375" s="197"/>
      <c r="D1375" s="20"/>
      <c r="E1375" s="20"/>
    </row>
    <row r="1376">
      <c r="A1376" s="196"/>
      <c r="B1376" s="197"/>
      <c r="C1376" s="197"/>
      <c r="D1376" s="20"/>
      <c r="E1376" s="20"/>
    </row>
    <row r="1377">
      <c r="A1377" s="196" t="str">
        <f>IFERROR(__xludf.DUMMYFUNCTION("""COMPUTED_VALUE"""),"Emerald")</f>
        <v>Emerald</v>
      </c>
      <c r="B1377" s="197"/>
      <c r="C1377" s="197"/>
      <c r="D1377" s="20"/>
      <c r="E1377" s="20"/>
    </row>
    <row r="1378">
      <c r="A1378" s="196" t="str">
        <f>IFERROR(__xludf.DUMMYFUNCTION("""COMPUTED_VALUE"""),"Fang")</f>
        <v>Fang</v>
      </c>
      <c r="B1378" s="197"/>
      <c r="C1378" s="197"/>
      <c r="D1378" s="20"/>
      <c r="E1378" s="20"/>
    </row>
    <row r="1379">
      <c r="A1379" s="196" t="str">
        <f>IFERROR(__xludf.DUMMYFUNCTION("""COMPUTED_VALUE"""),"Cobra")</f>
        <v>Cobra</v>
      </c>
      <c r="B1379" s="197"/>
      <c r="C1379" s="197"/>
      <c r="D1379" s="20"/>
      <c r="E1379" s="20"/>
    </row>
    <row r="1380">
      <c r="A1380" s="196"/>
      <c r="B1380" s="197"/>
      <c r="C1380" s="197"/>
      <c r="D1380" s="20"/>
      <c r="E1380" s="20"/>
    </row>
    <row r="1381">
      <c r="A1381" s="196"/>
      <c r="B1381" s="197"/>
      <c r="C1381" s="197"/>
      <c r="D1381" s="20"/>
      <c r="E1381" s="20"/>
    </row>
    <row r="1382">
      <c r="A1382" s="196" t="str">
        <f>IFERROR(__xludf.DUMMYFUNCTION("""COMPUTED_VALUE"""),"Entwining")</f>
        <v>Entwining</v>
      </c>
      <c r="B1382" s="197"/>
      <c r="C1382" s="197"/>
      <c r="D1382" s="20"/>
      <c r="E1382" s="20"/>
    </row>
    <row r="1383">
      <c r="A1383" s="196" t="str">
        <f>IFERROR(__xludf.DUMMYFUNCTION("""COMPUTED_VALUE"""),"Creeper")</f>
        <v>Creeper</v>
      </c>
      <c r="B1383" s="197"/>
      <c r="C1383" s="197"/>
      <c r="D1383" s="20"/>
      <c r="E1383" s="20"/>
    </row>
    <row r="1384">
      <c r="A1384" s="196"/>
      <c r="B1384" s="197"/>
      <c r="C1384" s="197"/>
      <c r="D1384" s="20"/>
      <c r="E1384" s="20"/>
    </row>
    <row r="1385">
      <c r="A1385" s="196"/>
      <c r="B1385" s="197"/>
      <c r="C1385" s="197"/>
      <c r="D1385" s="20"/>
      <c r="E1385" s="20"/>
    </row>
    <row r="1386">
      <c r="A1386" s="196"/>
      <c r="B1386" s="197"/>
      <c r="C1386" s="197"/>
      <c r="D1386" s="20"/>
      <c r="E1386" s="20"/>
    </row>
    <row r="1387">
      <c r="A1387" s="196" t="str">
        <f>IFERROR(__xludf.DUMMYFUNCTION("""COMPUTED_VALUE"""),"Jeweled")</f>
        <v>Jeweled</v>
      </c>
      <c r="B1387" s="197"/>
      <c r="C1387" s="197"/>
      <c r="D1387" s="20"/>
      <c r="E1387" s="20"/>
    </row>
    <row r="1388">
      <c r="A1388" s="196" t="str">
        <f>IFERROR(__xludf.DUMMYFUNCTION("""COMPUTED_VALUE"""),"Triceratops")</f>
        <v>Triceratops</v>
      </c>
      <c r="B1388" s="197"/>
      <c r="C1388" s="197"/>
      <c r="D1388" s="20"/>
      <c r="E1388" s="20"/>
    </row>
    <row r="1389">
      <c r="A1389" s="196"/>
      <c r="B1389" s="197"/>
      <c r="C1389" s="197"/>
      <c r="D1389" s="20"/>
      <c r="E1389" s="20"/>
    </row>
    <row r="1390">
      <c r="A1390" s="196"/>
      <c r="B1390" s="197"/>
      <c r="C1390" s="197"/>
      <c r="D1390" s="20"/>
      <c r="E1390" s="20"/>
    </row>
    <row r="1391">
      <c r="A1391" s="196"/>
      <c r="B1391" s="197"/>
      <c r="C1391" s="197"/>
      <c r="D1391" s="20"/>
      <c r="E1391" s="20"/>
    </row>
    <row r="1392">
      <c r="A1392" s="196" t="str">
        <f>IFERROR(__xludf.DUMMYFUNCTION("""COMPUTED_VALUE"""),"Jolly")</f>
        <v>Jolly</v>
      </c>
      <c r="B1392" s="197"/>
      <c r="C1392" s="197"/>
      <c r="D1392" s="20"/>
      <c r="E1392" s="20"/>
    </row>
    <row r="1393">
      <c r="A1393" s="196" t="str">
        <f>IFERROR(__xludf.DUMMYFUNCTION("""COMPUTED_VALUE"""),"Tamarin")</f>
        <v>Tamarin</v>
      </c>
      <c r="B1393" s="197"/>
      <c r="C1393" s="197"/>
      <c r="D1393" s="20"/>
      <c r="E1393" s="20"/>
    </row>
    <row r="1394">
      <c r="A1394" s="196"/>
      <c r="B1394" s="197"/>
      <c r="C1394" s="197"/>
      <c r="D1394" s="20"/>
      <c r="E1394" s="20"/>
    </row>
    <row r="1395">
      <c r="A1395" s="196"/>
      <c r="B1395" s="197"/>
      <c r="C1395" s="197"/>
      <c r="D1395" s="20"/>
      <c r="E1395" s="20"/>
    </row>
    <row r="1396">
      <c r="A1396" s="196"/>
      <c r="B1396" s="197"/>
      <c r="C1396" s="197"/>
      <c r="D1396" s="20"/>
      <c r="E1396" s="20"/>
    </row>
    <row r="1397">
      <c r="A1397" s="196" t="str">
        <f>IFERROR(__xludf.DUMMYFUNCTION("""COMPUTED_VALUE"""),"Leech")</f>
        <v>Leech</v>
      </c>
      <c r="B1397" s="197"/>
      <c r="C1397" s="197"/>
      <c r="D1397" s="20"/>
      <c r="E1397" s="20"/>
    </row>
    <row r="1398">
      <c r="A1398" s="196" t="str">
        <f>IFERROR(__xludf.DUMMYFUNCTION("""COMPUTED_VALUE"""),"Dragonfly")</f>
        <v>Dragonfly</v>
      </c>
      <c r="B1398" s="197"/>
      <c r="C1398" s="197"/>
      <c r="D1398" s="20"/>
      <c r="E1398" s="20"/>
    </row>
    <row r="1399">
      <c r="A1399" s="196"/>
      <c r="B1399" s="197"/>
      <c r="C1399" s="197"/>
      <c r="D1399" s="20"/>
      <c r="E1399" s="20"/>
    </row>
    <row r="1400">
      <c r="A1400" s="196"/>
      <c r="B1400" s="197"/>
      <c r="C1400" s="197"/>
      <c r="D1400" s="20"/>
      <c r="E1400" s="20"/>
    </row>
    <row r="1401">
      <c r="A1401" s="196"/>
      <c r="B1401" s="197"/>
      <c r="C1401" s="197"/>
      <c r="D1401" s="20"/>
      <c r="E1401" s="20"/>
    </row>
    <row r="1402">
      <c r="A1402" s="196" t="str">
        <f>IFERROR(__xludf.DUMMYFUNCTION("""COMPUTED_VALUE"""),"Nurseplant")</f>
        <v>Nurseplant</v>
      </c>
      <c r="B1402" s="197"/>
      <c r="C1402" s="197"/>
      <c r="D1402" s="20"/>
      <c r="E1402" s="20"/>
    </row>
    <row r="1403">
      <c r="A1403" s="196"/>
      <c r="B1403" s="197"/>
      <c r="C1403" s="197"/>
      <c r="D1403" s="20"/>
      <c r="E1403" s="20"/>
    </row>
    <row r="1404">
      <c r="A1404" s="196"/>
      <c r="B1404" s="197"/>
      <c r="C1404" s="197"/>
      <c r="D1404" s="20"/>
      <c r="E1404" s="20"/>
    </row>
    <row r="1405">
      <c r="A1405" s="196"/>
      <c r="B1405" s="197"/>
      <c r="C1405" s="197"/>
      <c r="D1405" s="20"/>
      <c r="E1405" s="20"/>
    </row>
    <row r="1406">
      <c r="A1406" s="196"/>
      <c r="B1406" s="197"/>
      <c r="C1406" s="197"/>
      <c r="D1406" s="20"/>
      <c r="E1406" s="20"/>
    </row>
    <row r="1407">
      <c r="A1407" s="196" t="str">
        <f>IFERROR(__xludf.DUMMYFUNCTION("""COMPUTED_VALUE"""),"Bloodthrone")</f>
        <v>Bloodthrone</v>
      </c>
      <c r="B1407" s="197"/>
      <c r="C1407" s="197"/>
      <c r="D1407" s="20"/>
      <c r="E1407" s="20"/>
    </row>
    <row r="1408">
      <c r="A1408" s="196" t="str">
        <f>IFERROR(__xludf.DUMMYFUNCTION("""COMPUTED_VALUE"""),"Familiar")</f>
        <v>Familiar</v>
      </c>
      <c r="B1408" s="197"/>
      <c r="C1408" s="197"/>
      <c r="D1408" s="20"/>
      <c r="E1408" s="20"/>
    </row>
    <row r="1409">
      <c r="A1409" s="196"/>
      <c r="B1409" s="197"/>
      <c r="C1409" s="197"/>
      <c r="D1409" s="20"/>
      <c r="E1409" s="20"/>
    </row>
    <row r="1410">
      <c r="A1410" s="196"/>
      <c r="B1410" s="197"/>
      <c r="C1410" s="197"/>
      <c r="D1410" s="20"/>
      <c r="E1410" s="20"/>
    </row>
    <row r="1411">
      <c r="A1411" s="196"/>
      <c r="B1411" s="197"/>
      <c r="C1411" s="197"/>
      <c r="D1411" s="20"/>
      <c r="E1411" s="20"/>
    </row>
    <row r="1412">
      <c r="A1412" s="196" t="str">
        <f>IFERROR(__xludf.DUMMYFUNCTION("""COMPUTED_VALUE"""),"Nurturing")</f>
        <v>Nurturing</v>
      </c>
      <c r="B1412" s="197"/>
      <c r="C1412" s="197"/>
      <c r="D1412" s="20"/>
      <c r="E1412" s="20"/>
    </row>
    <row r="1413">
      <c r="A1413" s="196" t="str">
        <f>IFERROR(__xludf.DUMMYFUNCTION("""COMPUTED_VALUE"""),"Rootsaurus")</f>
        <v>Rootsaurus</v>
      </c>
      <c r="B1413" s="197"/>
      <c r="C1413" s="197"/>
      <c r="D1413" s="20"/>
      <c r="E1413" s="20"/>
    </row>
    <row r="1414">
      <c r="A1414" s="196"/>
      <c r="B1414" s="197"/>
      <c r="C1414" s="197"/>
      <c r="D1414" s="20"/>
      <c r="E1414" s="20"/>
    </row>
    <row r="1415">
      <c r="A1415" s="196"/>
      <c r="B1415" s="197"/>
      <c r="C1415" s="197"/>
      <c r="D1415" s="20"/>
      <c r="E1415" s="20"/>
    </row>
    <row r="1416">
      <c r="A1416" s="196"/>
      <c r="B1416" s="197"/>
      <c r="C1416" s="197"/>
      <c r="D1416" s="20"/>
      <c r="E1416" s="20"/>
    </row>
    <row r="1417">
      <c r="A1417" s="196" t="str">
        <f>IFERROR(__xludf.DUMMYFUNCTION("""COMPUTED_VALUE"""),"Carnage")</f>
        <v>Carnage</v>
      </c>
      <c r="B1417" s="197"/>
      <c r="C1417" s="197"/>
      <c r="D1417" s="20"/>
      <c r="E1417" s="20"/>
    </row>
    <row r="1418">
      <c r="A1418" s="196" t="str">
        <f>IFERROR(__xludf.DUMMYFUNCTION("""COMPUTED_VALUE"""),"Hornet")</f>
        <v>Hornet</v>
      </c>
      <c r="B1418" s="197"/>
      <c r="C1418" s="197"/>
      <c r="D1418" s="20"/>
      <c r="E1418" s="20"/>
    </row>
    <row r="1419">
      <c r="A1419" s="196"/>
      <c r="B1419" s="197"/>
      <c r="C1419" s="197"/>
      <c r="D1419" s="20"/>
      <c r="E1419" s="20"/>
    </row>
    <row r="1420">
      <c r="A1420" s="196"/>
      <c r="B1420" s="197"/>
      <c r="C1420" s="197"/>
      <c r="D1420" s="20"/>
      <c r="E1420" s="20"/>
    </row>
    <row r="1421">
      <c r="A1421" s="196"/>
      <c r="B1421" s="197"/>
      <c r="C1421" s="197"/>
      <c r="D1421" s="20"/>
      <c r="E1421" s="20"/>
    </row>
    <row r="1422">
      <c r="A1422" s="196" t="str">
        <f>IFERROR(__xludf.DUMMYFUNCTION("""COMPUTED_VALUE"""),"Champion")</f>
        <v>Champion</v>
      </c>
      <c r="B1422" s="197"/>
      <c r="C1422" s="197"/>
      <c r="D1422" s="20"/>
      <c r="E1422" s="20"/>
    </row>
    <row r="1423">
      <c r="A1423" s="196" t="str">
        <f>IFERROR(__xludf.DUMMYFUNCTION("""COMPUTED_VALUE"""),"from")</f>
        <v>from</v>
      </c>
      <c r="B1423" s="197"/>
      <c r="C1423" s="197"/>
      <c r="D1423" s="20"/>
      <c r="E1423" s="20"/>
    </row>
    <row r="1424">
      <c r="A1424" s="196" t="str">
        <f>IFERROR(__xludf.DUMMYFUNCTION("""COMPUTED_VALUE"""),"Hell")</f>
        <v>Hell</v>
      </c>
      <c r="B1424" s="197"/>
      <c r="C1424" s="197"/>
      <c r="D1424" s="20"/>
      <c r="E1424" s="20"/>
    </row>
    <row r="1425">
      <c r="A1425" s="196"/>
      <c r="B1425" s="197"/>
      <c r="C1425" s="197"/>
      <c r="D1425" s="20"/>
      <c r="E1425" s="20"/>
    </row>
    <row r="1426">
      <c r="A1426" s="196"/>
      <c r="B1426" s="197"/>
      <c r="C1426" s="197"/>
      <c r="D1426" s="20"/>
      <c r="E1426" s="20"/>
    </row>
    <row r="1427">
      <c r="A1427" s="196" t="str">
        <f>IFERROR(__xludf.DUMMYFUNCTION("""COMPUTED_VALUE"""),"Colorgorger")</f>
        <v>Colorgorger</v>
      </c>
      <c r="B1427" s="197"/>
      <c r="C1427" s="197"/>
      <c r="D1427" s="20"/>
      <c r="E1427" s="20"/>
    </row>
    <row r="1428">
      <c r="A1428" s="196"/>
      <c r="B1428" s="197"/>
      <c r="C1428" s="197"/>
      <c r="D1428" s="20"/>
      <c r="E1428" s="20"/>
    </row>
    <row r="1429">
      <c r="A1429" s="196"/>
      <c r="B1429" s="197"/>
      <c r="C1429" s="197"/>
      <c r="D1429" s="20"/>
      <c r="E1429" s="20"/>
    </row>
    <row r="1430">
      <c r="A1430" s="196"/>
      <c r="B1430" s="197"/>
      <c r="C1430" s="197"/>
      <c r="D1430" s="20"/>
      <c r="E1430" s="20"/>
    </row>
    <row r="1431">
      <c r="A1431" s="196"/>
      <c r="B1431" s="197"/>
      <c r="C1431" s="197"/>
      <c r="D1431" s="20"/>
      <c r="E1431" s="20"/>
    </row>
    <row r="1432">
      <c r="A1432" s="196" t="str">
        <f>IFERROR(__xludf.DUMMYFUNCTION("""COMPUTED_VALUE"""),"Dark")</f>
        <v>Dark</v>
      </c>
      <c r="B1432" s="197"/>
      <c r="C1432" s="197"/>
      <c r="D1432" s="20"/>
      <c r="E1432" s="20"/>
    </row>
    <row r="1433">
      <c r="A1433" s="196" t="str">
        <f>IFERROR(__xludf.DUMMYFUNCTION("""COMPUTED_VALUE"""),"Spoon")</f>
        <v>Spoon</v>
      </c>
      <c r="B1433" s="197"/>
      <c r="C1433" s="197"/>
      <c r="D1433" s="20"/>
      <c r="E1433" s="20"/>
    </row>
    <row r="1434">
      <c r="A1434" s="196"/>
      <c r="B1434" s="197"/>
      <c r="C1434" s="197"/>
      <c r="D1434" s="20"/>
      <c r="E1434" s="20"/>
    </row>
    <row r="1435">
      <c r="A1435" s="196"/>
      <c r="B1435" s="197"/>
      <c r="C1435" s="197"/>
      <c r="D1435" s="20"/>
      <c r="E1435" s="20"/>
    </row>
    <row r="1436">
      <c r="A1436" s="196"/>
      <c r="B1436" s="197"/>
      <c r="C1436" s="197"/>
      <c r="D1436" s="20"/>
      <c r="E1436" s="20"/>
    </row>
    <row r="1437">
      <c r="A1437" s="196" t="str">
        <f>IFERROR(__xludf.DUMMYFUNCTION("""COMPUTED_VALUE"""),"Dawnbreak")</f>
        <v>Dawnbreak</v>
      </c>
      <c r="B1437" s="197"/>
      <c r="C1437" s="197"/>
      <c r="D1437" s="20"/>
      <c r="E1437" s="20"/>
    </row>
    <row r="1438">
      <c r="A1438" s="196" t="str">
        <f>IFERROR(__xludf.DUMMYFUNCTION("""COMPUTED_VALUE"""),"Wendigo")</f>
        <v>Wendigo</v>
      </c>
      <c r="B1438" s="197"/>
      <c r="C1438" s="197"/>
      <c r="D1438" s="20"/>
      <c r="E1438" s="20"/>
    </row>
    <row r="1439">
      <c r="A1439" s="196"/>
      <c r="B1439" s="197"/>
      <c r="C1439" s="197"/>
      <c r="D1439" s="20"/>
      <c r="E1439" s="20"/>
    </row>
    <row r="1440">
      <c r="A1440" s="196"/>
      <c r="B1440" s="197"/>
      <c r="C1440" s="197"/>
      <c r="D1440" s="20"/>
      <c r="E1440" s="20"/>
    </row>
    <row r="1441">
      <c r="A1441" s="196"/>
      <c r="B1441" s="197"/>
      <c r="C1441" s="197"/>
      <c r="D1441" s="20"/>
      <c r="E1441" s="20"/>
    </row>
    <row r="1442">
      <c r="A1442" s="196" t="str">
        <f>IFERROR(__xludf.DUMMYFUNCTION("""COMPUTED_VALUE"""),"Depthdragger")</f>
        <v>Depthdragger</v>
      </c>
      <c r="B1442" s="197"/>
      <c r="C1442" s="197"/>
      <c r="D1442" s="20"/>
      <c r="E1442" s="20"/>
    </row>
    <row r="1443">
      <c r="A1443" s="196"/>
      <c r="B1443" s="197"/>
      <c r="C1443" s="197"/>
      <c r="D1443" s="20"/>
      <c r="E1443" s="20"/>
    </row>
    <row r="1444">
      <c r="A1444" s="196"/>
      <c r="B1444" s="197"/>
      <c r="C1444" s="197"/>
      <c r="D1444" s="20"/>
      <c r="E1444" s="20"/>
    </row>
    <row r="1445">
      <c r="A1445" s="196"/>
      <c r="B1445" s="197"/>
      <c r="C1445" s="197"/>
      <c r="D1445" s="20"/>
      <c r="E1445" s="20"/>
    </row>
    <row r="1446">
      <c r="A1446" s="196"/>
      <c r="B1446" s="197"/>
      <c r="C1446" s="197"/>
      <c r="D1446" s="20"/>
      <c r="E1446" s="20"/>
    </row>
    <row r="1447">
      <c r="A1447" s="196" t="str">
        <f>IFERROR(__xludf.DUMMYFUNCTION("""COMPUTED_VALUE"""),"Discarded")</f>
        <v>Discarded</v>
      </c>
      <c r="B1447" s="197"/>
      <c r="C1447" s="197"/>
      <c r="D1447" s="20"/>
      <c r="E1447" s="20"/>
    </row>
    <row r="1448">
      <c r="A1448" s="196" t="str">
        <f>IFERROR(__xludf.DUMMYFUNCTION("""COMPUTED_VALUE"""),"Abomination")</f>
        <v>Abomination</v>
      </c>
      <c r="B1448" s="197"/>
      <c r="C1448" s="197"/>
      <c r="D1448" s="20"/>
      <c r="E1448" s="20"/>
    </row>
    <row r="1449">
      <c r="A1449" s="196"/>
      <c r="B1449" s="197"/>
      <c r="C1449" s="197"/>
      <c r="D1449" s="20"/>
      <c r="E1449" s="20"/>
    </row>
    <row r="1450">
      <c r="A1450" s="196"/>
      <c r="B1450" s="197"/>
      <c r="C1450" s="197"/>
      <c r="D1450" s="20"/>
      <c r="E1450" s="20"/>
    </row>
    <row r="1451">
      <c r="A1451" s="196"/>
      <c r="B1451" s="197"/>
      <c r="C1451" s="197"/>
      <c r="D1451" s="20"/>
      <c r="E1451" s="20"/>
    </row>
    <row r="1452">
      <c r="A1452" s="196" t="str">
        <f>IFERROR(__xludf.DUMMYFUNCTION("""COMPUTED_VALUE"""),"Doomgaze")</f>
        <v>Doomgaze</v>
      </c>
      <c r="B1452" s="197"/>
      <c r="C1452" s="197"/>
      <c r="D1452" s="20"/>
      <c r="E1452" s="20"/>
    </row>
    <row r="1453">
      <c r="A1453" s="196" t="str">
        <f>IFERROR(__xludf.DUMMYFUNCTION("""COMPUTED_VALUE"""),"Overlord")</f>
        <v>Overlord</v>
      </c>
      <c r="B1453" s="197"/>
      <c r="C1453" s="197"/>
      <c r="D1453" s="20"/>
      <c r="E1453" s="20"/>
    </row>
    <row r="1454">
      <c r="A1454" s="196"/>
      <c r="B1454" s="197"/>
      <c r="C1454" s="197"/>
      <c r="D1454" s="20"/>
      <c r="E1454" s="20"/>
    </row>
    <row r="1455">
      <c r="A1455" s="196"/>
      <c r="B1455" s="197"/>
      <c r="C1455" s="197"/>
      <c r="D1455" s="20"/>
      <c r="E1455" s="20"/>
    </row>
    <row r="1456">
      <c r="A1456" s="196"/>
      <c r="B1456" s="197"/>
      <c r="C1456" s="197"/>
      <c r="D1456" s="20"/>
      <c r="E1456" s="20"/>
    </row>
    <row r="1457">
      <c r="A1457" s="196" t="str">
        <f>IFERROR(__xludf.DUMMYFUNCTION("""COMPUTED_VALUE"""),"Dread")</f>
        <v>Dread</v>
      </c>
      <c r="B1457" s="197"/>
      <c r="C1457" s="197"/>
      <c r="D1457" s="20"/>
      <c r="E1457" s="20"/>
    </row>
    <row r="1458">
      <c r="A1458" s="196" t="str">
        <f>IFERROR(__xludf.DUMMYFUNCTION("""COMPUTED_VALUE"""),"Cryptlord")</f>
        <v>Cryptlord</v>
      </c>
      <c r="B1458" s="197"/>
      <c r="C1458" s="197"/>
      <c r="D1458" s="20"/>
      <c r="E1458" s="20"/>
    </row>
    <row r="1459">
      <c r="A1459" s="196"/>
      <c r="B1459" s="197"/>
      <c r="C1459" s="197"/>
      <c r="D1459" s="20"/>
      <c r="E1459" s="20"/>
    </row>
    <row r="1460">
      <c r="A1460" s="196"/>
      <c r="B1460" s="197"/>
      <c r="C1460" s="197"/>
      <c r="D1460" s="20"/>
      <c r="E1460" s="20"/>
    </row>
    <row r="1461">
      <c r="A1461" s="196"/>
      <c r="B1461" s="197"/>
      <c r="C1461" s="197"/>
      <c r="D1461" s="20"/>
      <c r="E1461" s="20"/>
    </row>
    <row r="1462">
      <c r="A1462" s="196" t="str">
        <f>IFERROR(__xludf.DUMMYFUNCTION("""COMPUTED_VALUE"""),"Nutrient")</f>
        <v>Nutrient</v>
      </c>
      <c r="B1462" s="197"/>
      <c r="C1462" s="197"/>
      <c r="D1462" s="20"/>
      <c r="E1462" s="20"/>
    </row>
    <row r="1463">
      <c r="A1463" s="196" t="str">
        <f>IFERROR(__xludf.DUMMYFUNCTION("""COMPUTED_VALUE"""),"Nexus")</f>
        <v>Nexus</v>
      </c>
      <c r="B1463" s="197"/>
      <c r="C1463" s="197"/>
      <c r="D1463" s="20"/>
      <c r="E1463" s="20"/>
    </row>
    <row r="1464">
      <c r="A1464" s="196"/>
      <c r="B1464" s="197"/>
      <c r="C1464" s="197"/>
      <c r="D1464" s="20"/>
      <c r="E1464" s="20"/>
    </row>
    <row r="1465">
      <c r="A1465" s="196"/>
      <c r="B1465" s="197"/>
      <c r="C1465" s="197"/>
      <c r="D1465" s="20"/>
      <c r="E1465" s="20"/>
    </row>
    <row r="1466">
      <c r="A1466" s="196"/>
      <c r="B1466" s="197"/>
      <c r="C1466" s="197"/>
      <c r="D1466" s="20"/>
      <c r="E1466" s="20"/>
    </row>
    <row r="1467">
      <c r="A1467" s="196" t="str">
        <f>IFERROR(__xludf.DUMMYFUNCTION("""COMPUTED_VALUE"""),"Fatepeek")</f>
        <v>Fatepeek</v>
      </c>
      <c r="B1467" s="197"/>
      <c r="C1467" s="197"/>
      <c r="D1467" s="20"/>
      <c r="E1467" s="20"/>
    </row>
    <row r="1468">
      <c r="A1468" s="196" t="str">
        <f>IFERROR(__xludf.DUMMYFUNCTION("""COMPUTED_VALUE"""),"Imp")</f>
        <v>Imp</v>
      </c>
      <c r="B1468" s="197"/>
      <c r="C1468" s="197"/>
      <c r="D1468" s="20"/>
      <c r="E1468" s="20"/>
    </row>
    <row r="1469">
      <c r="A1469" s="196"/>
      <c r="B1469" s="197"/>
      <c r="C1469" s="197"/>
      <c r="D1469" s="20"/>
      <c r="E1469" s="20"/>
    </row>
    <row r="1470">
      <c r="A1470" s="196"/>
      <c r="B1470" s="197"/>
      <c r="C1470" s="197"/>
      <c r="D1470" s="20"/>
      <c r="E1470" s="20"/>
    </row>
    <row r="1471">
      <c r="A1471" s="196"/>
      <c r="B1471" s="197"/>
      <c r="C1471" s="197"/>
      <c r="D1471" s="20"/>
      <c r="E1471" s="20"/>
    </row>
    <row r="1472">
      <c r="A1472" s="196" t="str">
        <f>IFERROR(__xludf.DUMMYFUNCTION("""COMPUTED_VALUE"""),"One")</f>
        <v>One</v>
      </c>
      <c r="B1472" s="197"/>
      <c r="C1472" s="197"/>
      <c r="D1472" s="20"/>
      <c r="E1472" s="20"/>
    </row>
    <row r="1473">
      <c r="A1473" s="196" t="str">
        <f>IFERROR(__xludf.DUMMYFUNCTION("""COMPUTED_VALUE"""),"Eyed")</f>
        <v>Eyed</v>
      </c>
      <c r="B1473" s="197"/>
      <c r="C1473" s="197"/>
      <c r="D1473" s="20"/>
      <c r="E1473" s="20"/>
    </row>
    <row r="1474">
      <c r="A1474" s="196" t="str">
        <f>IFERROR(__xludf.DUMMYFUNCTION("""COMPUTED_VALUE"""),"Dread")</f>
        <v>Dread</v>
      </c>
      <c r="B1474" s="197"/>
      <c r="C1474" s="197"/>
      <c r="D1474" s="20"/>
      <c r="E1474" s="20"/>
    </row>
    <row r="1475">
      <c r="A1475" s="196"/>
      <c r="B1475" s="197"/>
      <c r="C1475" s="197"/>
      <c r="D1475" s="20"/>
      <c r="E1475" s="20"/>
    </row>
    <row r="1476">
      <c r="A1476" s="196"/>
      <c r="B1476" s="197"/>
      <c r="C1476" s="197"/>
      <c r="D1476" s="20"/>
      <c r="E1476" s="20"/>
    </row>
    <row r="1477">
      <c r="A1477" s="196" t="str">
        <f>IFERROR(__xludf.DUMMYFUNCTION("""COMPUTED_VALUE"""),"Plunderpillar")</f>
        <v>Plunderpillar</v>
      </c>
      <c r="B1477" s="197"/>
      <c r="C1477" s="197"/>
      <c r="D1477" s="20"/>
      <c r="E1477" s="20"/>
    </row>
    <row r="1478">
      <c r="A1478" s="196"/>
      <c r="B1478" s="197"/>
      <c r="C1478" s="197"/>
      <c r="D1478" s="20"/>
      <c r="E1478" s="20"/>
    </row>
    <row r="1479">
      <c r="A1479" s="196"/>
      <c r="B1479" s="197"/>
      <c r="C1479" s="197"/>
      <c r="D1479" s="20"/>
      <c r="E1479" s="20"/>
    </row>
    <row r="1480">
      <c r="A1480" s="196"/>
      <c r="B1480" s="197"/>
      <c r="C1480" s="197"/>
      <c r="D1480" s="20"/>
      <c r="E1480" s="20"/>
    </row>
    <row r="1481">
      <c r="A1481" s="196"/>
      <c r="B1481" s="197"/>
      <c r="C1481" s="197"/>
      <c r="D1481" s="20"/>
      <c r="E1481" s="20"/>
    </row>
    <row r="1482">
      <c r="A1482" s="196" t="str">
        <f>IFERROR(__xludf.DUMMYFUNCTION("""COMPUTED_VALUE"""),"Raptor")</f>
        <v>Raptor</v>
      </c>
      <c r="B1482" s="197"/>
      <c r="C1482" s="197"/>
      <c r="D1482" s="20"/>
      <c r="E1482" s="20"/>
    </row>
    <row r="1483">
      <c r="A1483" s="196" t="str">
        <f>IFERROR(__xludf.DUMMYFUNCTION("""COMPUTED_VALUE"""),"Pack")</f>
        <v>Pack</v>
      </c>
      <c r="B1483" s="197"/>
      <c r="C1483" s="197"/>
      <c r="D1483" s="20"/>
      <c r="E1483" s="20"/>
    </row>
    <row r="1484">
      <c r="A1484" s="196"/>
      <c r="B1484" s="197"/>
      <c r="C1484" s="197"/>
      <c r="D1484" s="20"/>
      <c r="E1484" s="20"/>
    </row>
    <row r="1485">
      <c r="A1485" s="196"/>
      <c r="B1485" s="197"/>
      <c r="C1485" s="197"/>
      <c r="D1485" s="20"/>
      <c r="E1485" s="20"/>
    </row>
    <row r="1486">
      <c r="A1486" s="196"/>
      <c r="B1486" s="197"/>
      <c r="C1486" s="197"/>
      <c r="D1486" s="20"/>
      <c r="E1486" s="20"/>
    </row>
    <row r="1487">
      <c r="A1487" s="196" t="str">
        <f>IFERROR(__xludf.DUMMYFUNCTION("""COMPUTED_VALUE"""),"Saurian")</f>
        <v>Saurian</v>
      </c>
      <c r="B1487" s="197"/>
      <c r="C1487" s="197"/>
      <c r="D1487" s="20"/>
      <c r="E1487" s="20"/>
    </row>
    <row r="1488">
      <c r="A1488" s="196" t="str">
        <f>IFERROR(__xludf.DUMMYFUNCTION("""COMPUTED_VALUE"""),"Wraith")</f>
        <v>Wraith</v>
      </c>
      <c r="B1488" s="197"/>
      <c r="C1488" s="197"/>
      <c r="D1488" s="20"/>
      <c r="E1488" s="20"/>
    </row>
    <row r="1489">
      <c r="A1489" s="196"/>
      <c r="B1489" s="197"/>
      <c r="C1489" s="197"/>
      <c r="D1489" s="20"/>
      <c r="E1489" s="20"/>
    </row>
    <row r="1490">
      <c r="A1490" s="196"/>
      <c r="B1490" s="197"/>
      <c r="C1490" s="197"/>
      <c r="D1490" s="20"/>
      <c r="E1490" s="20"/>
    </row>
    <row r="1491">
      <c r="A1491" s="196"/>
      <c r="B1491" s="197"/>
      <c r="C1491" s="197"/>
      <c r="D1491" s="20"/>
      <c r="E1491" s="20"/>
    </row>
    <row r="1492">
      <c r="A1492" s="196" t="str">
        <f>IFERROR(__xludf.DUMMYFUNCTION("""COMPUTED_VALUE"""),"Gravebound")</f>
        <v>Gravebound</v>
      </c>
      <c r="B1492" s="197"/>
      <c r="C1492" s="197"/>
      <c r="D1492" s="20"/>
      <c r="E1492" s="20"/>
    </row>
    <row r="1493">
      <c r="A1493" s="196" t="str">
        <f>IFERROR(__xludf.DUMMYFUNCTION("""COMPUTED_VALUE"""),"Ghoul")</f>
        <v>Ghoul</v>
      </c>
      <c r="B1493" s="197"/>
      <c r="C1493" s="197"/>
      <c r="D1493" s="20"/>
      <c r="E1493" s="20"/>
    </row>
    <row r="1494">
      <c r="A1494" s="196"/>
      <c r="B1494" s="197"/>
      <c r="C1494" s="197"/>
      <c r="D1494" s="20"/>
      <c r="E1494" s="20"/>
    </row>
    <row r="1495">
      <c r="A1495" s="196"/>
      <c r="B1495" s="197"/>
      <c r="C1495" s="197"/>
      <c r="D1495" s="20"/>
      <c r="E1495" s="20"/>
    </row>
    <row r="1496">
      <c r="A1496" s="196"/>
      <c r="B1496" s="197"/>
      <c r="C1496" s="197"/>
      <c r="D1496" s="20"/>
      <c r="E1496" s="20"/>
    </row>
    <row r="1497">
      <c r="A1497" s="196" t="str">
        <f>IFERROR(__xludf.DUMMYFUNCTION("""COMPUTED_VALUE"""),"Graverobber")</f>
        <v>Graverobber</v>
      </c>
      <c r="B1497" s="197"/>
      <c r="C1497" s="197"/>
      <c r="D1497" s="20"/>
      <c r="E1497" s="20"/>
    </row>
    <row r="1498">
      <c r="A1498" s="196"/>
      <c r="B1498" s="197"/>
      <c r="C1498" s="197"/>
      <c r="D1498" s="20"/>
      <c r="E1498" s="20"/>
    </row>
    <row r="1499">
      <c r="A1499" s="196"/>
      <c r="B1499" s="197"/>
      <c r="C1499" s="197"/>
      <c r="D1499" s="20"/>
      <c r="E1499" s="20"/>
    </row>
    <row r="1500">
      <c r="A1500" s="196"/>
      <c r="B1500" s="197"/>
      <c r="C1500" s="197"/>
      <c r="D1500" s="20"/>
      <c r="E1500" s="20"/>
    </row>
    <row r="1501">
      <c r="A1501" s="196"/>
      <c r="B1501" s="197"/>
      <c r="C1501" s="197"/>
      <c r="D1501" s="20"/>
      <c r="E1501" s="20"/>
    </row>
    <row r="1502">
      <c r="A1502" s="196" t="str">
        <f>IFERROR(__xludf.DUMMYFUNCTION("""COMPUTED_VALUE"""),"Greedspawn")</f>
        <v>Greedspawn</v>
      </c>
      <c r="B1502" s="197"/>
      <c r="C1502" s="197"/>
      <c r="D1502" s="20"/>
      <c r="E1502" s="20"/>
    </row>
    <row r="1503">
      <c r="A1503" s="196"/>
      <c r="B1503" s="197"/>
      <c r="C1503" s="197"/>
      <c r="D1503" s="20"/>
      <c r="E1503" s="20"/>
    </row>
    <row r="1504">
      <c r="A1504" s="196"/>
      <c r="B1504" s="197"/>
      <c r="C1504" s="197"/>
      <c r="D1504" s="20"/>
      <c r="E1504" s="20"/>
    </row>
    <row r="1505">
      <c r="A1505" s="196"/>
      <c r="B1505" s="197"/>
      <c r="C1505" s="197"/>
      <c r="D1505" s="20"/>
      <c r="E1505" s="20"/>
    </row>
    <row r="1506">
      <c r="A1506" s="196"/>
      <c r="B1506" s="197"/>
      <c r="C1506" s="197"/>
      <c r="D1506" s="20"/>
      <c r="E1506" s="20"/>
    </row>
    <row r="1507">
      <c r="A1507" s="196" t="str">
        <f>IFERROR(__xludf.DUMMYFUNCTION("""COMPUTED_VALUE"""),"Grim")</f>
        <v>Grim</v>
      </c>
      <c r="B1507" s="197"/>
      <c r="C1507" s="197"/>
      <c r="D1507" s="20"/>
      <c r="E1507" s="20"/>
    </row>
    <row r="1508">
      <c r="A1508" s="196" t="str">
        <f>IFERROR(__xludf.DUMMYFUNCTION("""COMPUTED_VALUE"""),"Titan")</f>
        <v>Titan</v>
      </c>
      <c r="B1508" s="197"/>
      <c r="C1508" s="197"/>
      <c r="D1508" s="20"/>
      <c r="E1508" s="20"/>
    </row>
    <row r="1509">
      <c r="A1509" s="196"/>
      <c r="B1509" s="197"/>
      <c r="C1509" s="197"/>
      <c r="D1509" s="20"/>
      <c r="E1509" s="20"/>
    </row>
    <row r="1510">
      <c r="A1510" s="196"/>
      <c r="B1510" s="197"/>
      <c r="C1510" s="197"/>
      <c r="D1510" s="20"/>
      <c r="E1510" s="20"/>
    </row>
    <row r="1511">
      <c r="A1511" s="196"/>
      <c r="B1511" s="197"/>
      <c r="C1511" s="197"/>
      <c r="D1511" s="20"/>
      <c r="E1511" s="20"/>
    </row>
    <row r="1512">
      <c r="A1512" s="196" t="str">
        <f>IFERROR(__xludf.DUMMYFUNCTION("""COMPUTED_VALUE"""),"Shadowpounce")</f>
        <v>Shadowpounce</v>
      </c>
      <c r="B1512" s="197"/>
      <c r="C1512" s="197"/>
      <c r="D1512" s="20"/>
      <c r="E1512" s="20"/>
    </row>
    <row r="1513">
      <c r="A1513" s="196" t="str">
        <f>IFERROR(__xludf.DUMMYFUNCTION("""COMPUTED_VALUE"""),"Panther")</f>
        <v>Panther</v>
      </c>
      <c r="B1513" s="197"/>
      <c r="C1513" s="197"/>
      <c r="D1513" s="20"/>
      <c r="E1513" s="20"/>
    </row>
    <row r="1514">
      <c r="A1514" s="196"/>
      <c r="B1514" s="197"/>
      <c r="C1514" s="197"/>
      <c r="D1514" s="20"/>
      <c r="E1514" s="20"/>
    </row>
    <row r="1515">
      <c r="A1515" s="196"/>
      <c r="B1515" s="197"/>
      <c r="C1515" s="197"/>
      <c r="D1515" s="20"/>
      <c r="E1515" s="20"/>
    </row>
    <row r="1516">
      <c r="A1516" s="196"/>
      <c r="B1516" s="197"/>
      <c r="C1516" s="197"/>
      <c r="D1516" s="20"/>
      <c r="E1516" s="20"/>
    </row>
    <row r="1517">
      <c r="A1517" s="196" t="str">
        <f>IFERROR(__xludf.DUMMYFUNCTION("""COMPUTED_VALUE"""),"Shardtooth")</f>
        <v>Shardtooth</v>
      </c>
      <c r="B1517" s="197"/>
      <c r="C1517" s="197"/>
      <c r="D1517" s="20"/>
      <c r="E1517" s="20"/>
    </row>
    <row r="1518">
      <c r="A1518" s="196"/>
      <c r="B1518" s="197"/>
      <c r="C1518" s="197"/>
      <c r="D1518" s="20"/>
      <c r="E1518" s="20"/>
    </row>
    <row r="1519">
      <c r="A1519" s="196"/>
      <c r="B1519" s="197"/>
      <c r="C1519" s="197"/>
      <c r="D1519" s="20"/>
      <c r="E1519" s="20"/>
    </row>
    <row r="1520">
      <c r="A1520" s="196"/>
      <c r="B1520" s="197"/>
      <c r="C1520" s="197"/>
      <c r="D1520" s="20"/>
      <c r="E1520" s="20"/>
    </row>
    <row r="1521">
      <c r="A1521" s="196"/>
      <c r="B1521" s="197"/>
      <c r="C1521" s="197"/>
      <c r="D1521" s="20"/>
      <c r="E1521" s="20"/>
    </row>
    <row r="1522">
      <c r="A1522" s="196" t="str">
        <f>IFERROR(__xludf.DUMMYFUNCTION("""COMPUTED_VALUE"""),"Hungry")</f>
        <v>Hungry</v>
      </c>
      <c r="B1522" s="197"/>
      <c r="C1522" s="197"/>
      <c r="D1522" s="20"/>
      <c r="E1522" s="20"/>
    </row>
    <row r="1523">
      <c r="A1523" s="196" t="str">
        <f>IFERROR(__xludf.DUMMYFUNCTION("""COMPUTED_VALUE"""),"Shambler")</f>
        <v>Shambler</v>
      </c>
      <c r="B1523" s="197"/>
      <c r="C1523" s="197"/>
      <c r="D1523" s="20"/>
      <c r="E1523" s="20"/>
    </row>
    <row r="1524">
      <c r="A1524" s="196"/>
      <c r="B1524" s="197"/>
      <c r="C1524" s="197"/>
      <c r="D1524" s="20"/>
      <c r="E1524" s="20"/>
    </row>
    <row r="1525">
      <c r="A1525" s="196"/>
      <c r="B1525" s="197"/>
      <c r="C1525" s="197"/>
      <c r="D1525" s="20"/>
      <c r="E1525" s="20"/>
    </row>
    <row r="1526">
      <c r="A1526" s="196"/>
      <c r="B1526" s="197"/>
      <c r="C1526" s="197"/>
      <c r="D1526" s="20"/>
      <c r="E1526" s="20"/>
    </row>
    <row r="1527">
      <c r="A1527" s="196" t="str">
        <f>IFERROR(__xludf.DUMMYFUNCTION("""COMPUTED_VALUE"""),"Sunflower")</f>
        <v>Sunflower</v>
      </c>
      <c r="B1527" s="197"/>
      <c r="C1527" s="197"/>
      <c r="D1527" s="20"/>
      <c r="E1527" s="20"/>
    </row>
    <row r="1528">
      <c r="A1528" s="196" t="str">
        <f>IFERROR(__xludf.DUMMYFUNCTION("""COMPUTED_VALUE"""),"Sprite")</f>
        <v>Sprite</v>
      </c>
      <c r="B1528" s="197"/>
      <c r="C1528" s="197"/>
      <c r="D1528" s="20"/>
      <c r="E1528" s="20"/>
    </row>
    <row r="1529">
      <c r="A1529" s="196"/>
      <c r="B1529" s="197"/>
      <c r="C1529" s="197"/>
      <c r="D1529" s="20"/>
      <c r="E1529" s="20"/>
    </row>
    <row r="1530">
      <c r="A1530" s="196"/>
      <c r="B1530" s="197"/>
      <c r="C1530" s="197"/>
      <c r="D1530" s="20"/>
      <c r="E1530" s="20"/>
    </row>
    <row r="1531">
      <c r="A1531" s="196"/>
      <c r="B1531" s="197"/>
      <c r="C1531" s="197"/>
      <c r="D1531" s="20"/>
      <c r="E1531" s="20"/>
    </row>
    <row r="1532">
      <c r="A1532" s="196" t="str">
        <f>IFERROR(__xludf.DUMMYFUNCTION("""COMPUTED_VALUE"""),"Tiger")</f>
        <v>Tiger</v>
      </c>
      <c r="B1532" s="197"/>
      <c r="C1532" s="197"/>
      <c r="D1532" s="20"/>
      <c r="E1532" s="20"/>
    </row>
    <row r="1533">
      <c r="A1533" s="196" t="str">
        <f>IFERROR(__xludf.DUMMYFUNCTION("""COMPUTED_VALUE"""),"Matriarch")</f>
        <v>Matriarch</v>
      </c>
      <c r="B1533" s="197"/>
      <c r="C1533" s="197"/>
      <c r="D1533" s="20"/>
      <c r="E1533" s="20"/>
    </row>
    <row r="1534">
      <c r="A1534" s="196"/>
      <c r="B1534" s="197"/>
      <c r="C1534" s="197"/>
      <c r="D1534" s="20"/>
      <c r="E1534" s="20"/>
    </row>
    <row r="1535">
      <c r="A1535" s="196"/>
      <c r="B1535" s="197"/>
      <c r="C1535" s="197"/>
      <c r="D1535" s="20"/>
      <c r="E1535" s="20"/>
    </row>
    <row r="1536">
      <c r="A1536" s="196"/>
      <c r="B1536" s="197"/>
      <c r="C1536" s="197"/>
      <c r="D1536" s="20"/>
      <c r="E1536" s="20"/>
    </row>
    <row r="1537">
      <c r="A1537" s="196" t="str">
        <f>IFERROR(__xludf.DUMMYFUNCTION("""COMPUTED_VALUE"""),"Meekbone")</f>
        <v>Meekbone</v>
      </c>
      <c r="B1537" s="197"/>
      <c r="C1537" s="197"/>
      <c r="D1537" s="20"/>
      <c r="E1537" s="20"/>
    </row>
    <row r="1538">
      <c r="A1538" s="196" t="str">
        <f>IFERROR(__xludf.DUMMYFUNCTION("""COMPUTED_VALUE"""),"Soldier")</f>
        <v>Soldier</v>
      </c>
      <c r="B1538" s="197"/>
      <c r="C1538" s="197"/>
      <c r="D1538" s="20"/>
      <c r="E1538" s="20"/>
    </row>
    <row r="1539">
      <c r="A1539" s="196"/>
      <c r="B1539" s="197"/>
      <c r="C1539" s="197"/>
      <c r="D1539" s="20"/>
      <c r="E1539" s="20"/>
    </row>
    <row r="1540">
      <c r="A1540" s="196"/>
      <c r="B1540" s="197"/>
      <c r="C1540" s="197"/>
      <c r="D1540" s="20"/>
      <c r="E1540" s="20"/>
    </row>
    <row r="1541">
      <c r="A1541" s="196"/>
      <c r="B1541" s="197"/>
      <c r="C1541" s="197"/>
      <c r="D1541" s="20"/>
      <c r="E1541" s="20"/>
    </row>
    <row r="1542">
      <c r="A1542" s="196" t="str">
        <f>IFERROR(__xludf.DUMMYFUNCTION("""COMPUTED_VALUE"""),"Monarch")</f>
        <v>Monarch</v>
      </c>
      <c r="B1542" s="197"/>
      <c r="C1542" s="197"/>
      <c r="D1542" s="20"/>
      <c r="E1542" s="20"/>
    </row>
    <row r="1543">
      <c r="A1543" s="196" t="str">
        <f>IFERROR(__xludf.DUMMYFUNCTION("""COMPUTED_VALUE"""),"of")</f>
        <v>of</v>
      </c>
      <c r="B1543" s="197"/>
      <c r="C1543" s="197"/>
      <c r="D1543" s="20"/>
      <c r="E1543" s="20"/>
    </row>
    <row r="1544">
      <c r="A1544" s="196" t="str">
        <f>IFERROR(__xludf.DUMMYFUNCTION("""COMPUTED_VALUE"""),"Shadows")</f>
        <v>Shadows</v>
      </c>
      <c r="B1544" s="197"/>
      <c r="C1544" s="197"/>
      <c r="D1544" s="20"/>
      <c r="E1544" s="20"/>
    </row>
    <row r="1545">
      <c r="A1545" s="196"/>
      <c r="B1545" s="197"/>
      <c r="C1545" s="197"/>
      <c r="D1545" s="20"/>
      <c r="E1545" s="20"/>
    </row>
    <row r="1546">
      <c r="A1546" s="196"/>
      <c r="B1546" s="197"/>
      <c r="C1546" s="197"/>
      <c r="D1546" s="20"/>
      <c r="E1546" s="20"/>
    </row>
    <row r="1547">
      <c r="A1547" s="196" t="str">
        <f>IFERROR(__xludf.DUMMYFUNCTION("""COMPUTED_VALUE"""),"Venus")</f>
        <v>Venus</v>
      </c>
      <c r="B1547" s="197"/>
      <c r="C1547" s="197"/>
      <c r="D1547" s="20"/>
      <c r="E1547" s="20"/>
    </row>
    <row r="1548">
      <c r="A1548" s="196" t="str">
        <f>IFERROR(__xludf.DUMMYFUNCTION("""COMPUTED_VALUE"""),"Flytrap")</f>
        <v>Flytrap</v>
      </c>
      <c r="B1548" s="197"/>
      <c r="C1548" s="197"/>
      <c r="D1548" s="20"/>
      <c r="E1548" s="20"/>
    </row>
    <row r="1549">
      <c r="A1549" s="196"/>
      <c r="B1549" s="197"/>
      <c r="C1549" s="197"/>
      <c r="D1549" s="20"/>
      <c r="E1549" s="20"/>
    </row>
    <row r="1550">
      <c r="A1550" s="196"/>
      <c r="B1550" s="197"/>
      <c r="C1550" s="197"/>
      <c r="D1550" s="20"/>
      <c r="E1550" s="20"/>
    </row>
    <row r="1551">
      <c r="A1551" s="196"/>
      <c r="B1551" s="197"/>
      <c r="C1551" s="197"/>
      <c r="D1551" s="20"/>
      <c r="E1551" s="20"/>
    </row>
    <row r="1552">
      <c r="A1552" s="196" t="str">
        <f>IFERROR(__xludf.DUMMYFUNCTION("""COMPUTED_VALUE"""),"Arcane")</f>
        <v>Arcane</v>
      </c>
      <c r="B1552" s="197"/>
      <c r="C1552" s="197"/>
      <c r="D1552" s="20"/>
      <c r="E1552" s="20"/>
    </row>
    <row r="1553">
      <c r="A1553" s="196" t="str">
        <f>IFERROR(__xludf.DUMMYFUNCTION("""COMPUTED_VALUE"""),"Gorgosaur")</f>
        <v>Gorgosaur</v>
      </c>
      <c r="B1553" s="197"/>
      <c r="C1553" s="197"/>
      <c r="D1553" s="20"/>
      <c r="E1553" s="20"/>
    </row>
    <row r="1554">
      <c r="A1554" s="196"/>
      <c r="B1554" s="197"/>
      <c r="C1554" s="197"/>
      <c r="D1554" s="20"/>
      <c r="E1554" s="20"/>
    </row>
    <row r="1555">
      <c r="A1555" s="196"/>
      <c r="B1555" s="197"/>
      <c r="C1555" s="197"/>
      <c r="D1555" s="20"/>
      <c r="E1555" s="20"/>
    </row>
    <row r="1556">
      <c r="A1556" s="196"/>
      <c r="B1556" s="197"/>
      <c r="C1556" s="197"/>
      <c r="D1556" s="20"/>
      <c r="E1556" s="20"/>
    </row>
    <row r="1557">
      <c r="A1557" s="196" t="str">
        <f>IFERROR(__xludf.DUMMYFUNCTION("""COMPUTED_VALUE"""),"Bloodclaw")</f>
        <v>Bloodclaw</v>
      </c>
      <c r="B1557" s="197"/>
      <c r="C1557" s="197"/>
      <c r="D1557" s="20"/>
      <c r="E1557" s="20"/>
    </row>
    <row r="1558">
      <c r="A1558" s="196"/>
      <c r="B1558" s="197"/>
      <c r="C1558" s="197"/>
      <c r="D1558" s="20"/>
      <c r="E1558" s="20"/>
    </row>
    <row r="1559">
      <c r="A1559" s="196"/>
      <c r="B1559" s="197"/>
      <c r="C1559" s="197"/>
      <c r="D1559" s="20"/>
      <c r="E1559" s="20"/>
    </row>
    <row r="1560">
      <c r="A1560" s="196"/>
      <c r="B1560" s="197"/>
      <c r="C1560" s="197"/>
      <c r="D1560" s="20"/>
      <c r="E1560" s="20"/>
    </row>
    <row r="1561">
      <c r="A1561" s="196"/>
      <c r="B1561" s="197"/>
      <c r="C1561" s="197"/>
      <c r="D1561" s="20"/>
      <c r="E1561" s="20"/>
    </row>
    <row r="1562">
      <c r="A1562" s="196" t="str">
        <f>IFERROR(__xludf.DUMMYFUNCTION("""COMPUTED_VALUE"""),"Duke")</f>
        <v>Duke</v>
      </c>
      <c r="B1562" s="197"/>
      <c r="C1562" s="197"/>
      <c r="D1562" s="20"/>
      <c r="E1562" s="20"/>
    </row>
    <row r="1563">
      <c r="A1563" s="196" t="str">
        <f>IFERROR(__xludf.DUMMYFUNCTION("""COMPUTED_VALUE"""),"of")</f>
        <v>of</v>
      </c>
      <c r="B1563" s="197"/>
      <c r="C1563" s="197"/>
      <c r="D1563" s="20"/>
      <c r="E1563" s="20"/>
    </row>
    <row r="1564">
      <c r="A1564" s="196" t="str">
        <f>IFERROR(__xludf.DUMMYFUNCTION("""COMPUTED_VALUE"""),"the")</f>
        <v>the</v>
      </c>
      <c r="B1564" s="197"/>
      <c r="C1564" s="197"/>
      <c r="D1564" s="20"/>
      <c r="E1564" s="20"/>
    </row>
    <row r="1565">
      <c r="A1565" s="196" t="str">
        <f>IFERROR(__xludf.DUMMYFUNCTION("""COMPUTED_VALUE"""),"Grove")</f>
        <v>Grove</v>
      </c>
      <c r="B1565" s="197"/>
      <c r="C1565" s="197"/>
      <c r="D1565" s="20"/>
      <c r="E1565" s="20"/>
    </row>
    <row r="1566">
      <c r="A1566" s="196"/>
      <c r="B1566" s="197"/>
      <c r="C1566" s="197"/>
      <c r="D1566" s="20"/>
      <c r="E1566" s="20"/>
    </row>
    <row r="1567">
      <c r="A1567" s="196" t="str">
        <f>IFERROR(__xludf.DUMMYFUNCTION("""COMPUTED_VALUE"""),"Omenshadow")</f>
        <v>Omenshadow</v>
      </c>
      <c r="B1567" s="197"/>
      <c r="C1567" s="197"/>
      <c r="D1567" s="20"/>
      <c r="E1567" s="20"/>
    </row>
    <row r="1568">
      <c r="A1568" s="196"/>
      <c r="B1568" s="197"/>
      <c r="C1568" s="197"/>
      <c r="D1568" s="20"/>
      <c r="E1568" s="20"/>
    </row>
    <row r="1569">
      <c r="A1569" s="196"/>
      <c r="B1569" s="197"/>
      <c r="C1569" s="197"/>
      <c r="D1569" s="20"/>
      <c r="E1569" s="20"/>
    </row>
    <row r="1570">
      <c r="A1570" s="196"/>
      <c r="B1570" s="197"/>
      <c r="C1570" s="197"/>
      <c r="D1570" s="20"/>
      <c r="E1570" s="20"/>
    </row>
    <row r="1571">
      <c r="A1571" s="196"/>
      <c r="B1571" s="197"/>
      <c r="C1571" s="197"/>
      <c r="D1571" s="20"/>
      <c r="E1571" s="20"/>
    </row>
    <row r="1572">
      <c r="A1572" s="196" t="str">
        <f>IFERROR(__xludf.DUMMYFUNCTION("""COMPUTED_VALUE"""),"Mantis")</f>
        <v>Mantis</v>
      </c>
      <c r="B1572" s="197"/>
      <c r="C1572" s="197"/>
      <c r="D1572" s="20"/>
      <c r="E1572" s="20"/>
    </row>
    <row r="1573">
      <c r="A1573" s="196" t="str">
        <f>IFERROR(__xludf.DUMMYFUNCTION("""COMPUTED_VALUE"""),"Queen")</f>
        <v>Queen</v>
      </c>
      <c r="B1573" s="197"/>
      <c r="C1573" s="197"/>
      <c r="D1573" s="20"/>
      <c r="E1573" s="20"/>
    </row>
    <row r="1574">
      <c r="A1574" s="196"/>
      <c r="B1574" s="197"/>
      <c r="C1574" s="197"/>
      <c r="D1574" s="20"/>
      <c r="E1574" s="20"/>
    </row>
    <row r="1575">
      <c r="A1575" s="196"/>
      <c r="B1575" s="197"/>
      <c r="C1575" s="197"/>
      <c r="D1575" s="20"/>
      <c r="E1575" s="20"/>
    </row>
    <row r="1576">
      <c r="A1576" s="196"/>
      <c r="B1576" s="197"/>
      <c r="C1576" s="197"/>
      <c r="D1576" s="20"/>
      <c r="E1576" s="20"/>
    </row>
    <row r="1577">
      <c r="A1577" s="196" t="str">
        <f>IFERROR(__xludf.DUMMYFUNCTION("""COMPUTED_VALUE"""),"Purple")</f>
        <v>Purple</v>
      </c>
      <c r="B1577" s="197"/>
      <c r="C1577" s="197"/>
      <c r="D1577" s="20"/>
      <c r="E1577" s="20"/>
    </row>
    <row r="1578">
      <c r="A1578" s="196" t="str">
        <f>IFERROR(__xludf.DUMMYFUNCTION("""COMPUTED_VALUE"""),"Crusader")</f>
        <v>Crusader</v>
      </c>
      <c r="B1578" s="197"/>
      <c r="C1578" s="197"/>
      <c r="D1578" s="20"/>
      <c r="E1578" s="20"/>
    </row>
    <row r="1579">
      <c r="A1579" s="196"/>
      <c r="B1579" s="197"/>
      <c r="C1579" s="197"/>
      <c r="D1579" s="20"/>
      <c r="E1579" s="20"/>
    </row>
    <row r="1580">
      <c r="A1580" s="196"/>
      <c r="B1580" s="197"/>
      <c r="C1580" s="197"/>
      <c r="D1580" s="20"/>
      <c r="E1580" s="20"/>
    </row>
    <row r="1581">
      <c r="A1581" s="196"/>
      <c r="B1581" s="197"/>
      <c r="C1581" s="197"/>
      <c r="D1581" s="20"/>
      <c r="E1581" s="20"/>
    </row>
    <row r="1582">
      <c r="A1582" s="196" t="str">
        <f>IFERROR(__xludf.DUMMYFUNCTION("""COMPUTED_VALUE"""),"Reborn")</f>
        <v>Reborn</v>
      </c>
      <c r="B1582" s="197"/>
      <c r="C1582" s="197"/>
      <c r="D1582" s="20"/>
      <c r="E1582" s="20"/>
    </row>
    <row r="1583">
      <c r="A1583" s="196" t="str">
        <f>IFERROR(__xludf.DUMMYFUNCTION("""COMPUTED_VALUE"""),"Stargazer")</f>
        <v>Stargazer</v>
      </c>
      <c r="B1583" s="197"/>
      <c r="C1583" s="197"/>
      <c r="D1583" s="20"/>
      <c r="E1583" s="20"/>
    </row>
    <row r="1584">
      <c r="A1584" s="196"/>
      <c r="B1584" s="197"/>
      <c r="C1584" s="197"/>
      <c r="D1584" s="20"/>
      <c r="E1584" s="20"/>
    </row>
    <row r="1585">
      <c r="A1585" s="196"/>
      <c r="B1585" s="197"/>
      <c r="C1585" s="197"/>
      <c r="D1585" s="20"/>
      <c r="E1585" s="20"/>
    </row>
    <row r="1586">
      <c r="A1586" s="196"/>
      <c r="B1586" s="197"/>
      <c r="C1586" s="197"/>
      <c r="D1586" s="20"/>
      <c r="E1586" s="20"/>
    </row>
    <row r="1587">
      <c r="A1587" s="196" t="str">
        <f>IFERROR(__xludf.DUMMYFUNCTION("""COMPUTED_VALUE"""),"Relentless")</f>
        <v>Relentless</v>
      </c>
      <c r="B1587" s="197"/>
      <c r="C1587" s="197"/>
      <c r="D1587" s="20"/>
      <c r="E1587" s="20"/>
    </row>
    <row r="1588">
      <c r="A1588" s="196" t="str">
        <f>IFERROR(__xludf.DUMMYFUNCTION("""COMPUTED_VALUE"""),"Guardian")</f>
        <v>Guardian</v>
      </c>
      <c r="B1588" s="197"/>
      <c r="C1588" s="197"/>
      <c r="D1588" s="20"/>
      <c r="E1588" s="20"/>
    </row>
    <row r="1589">
      <c r="A1589" s="196"/>
      <c r="B1589" s="197"/>
      <c r="C1589" s="197"/>
      <c r="D1589" s="20"/>
      <c r="E1589" s="20"/>
    </row>
    <row r="1590">
      <c r="A1590" s="196"/>
      <c r="B1590" s="197"/>
      <c r="C1590" s="197"/>
      <c r="D1590" s="20"/>
      <c r="E1590" s="20"/>
    </row>
    <row r="1591">
      <c r="A1591" s="196"/>
      <c r="B1591" s="197"/>
      <c r="C1591" s="197"/>
      <c r="D1591" s="20"/>
      <c r="E1591" s="20"/>
    </row>
    <row r="1592">
      <c r="A1592" s="196" t="str">
        <f>IFERROR(__xludf.DUMMYFUNCTION("""COMPUTED_VALUE"""),"Runic")</f>
        <v>Runic</v>
      </c>
      <c r="B1592" s="197"/>
      <c r="C1592" s="197"/>
      <c r="D1592" s="20"/>
      <c r="E1592" s="20"/>
    </row>
    <row r="1593">
      <c r="A1593" s="196" t="str">
        <f>IFERROR(__xludf.DUMMYFUNCTION("""COMPUTED_VALUE"""),"Arachnid")</f>
        <v>Arachnid</v>
      </c>
      <c r="B1593" s="197"/>
      <c r="C1593" s="197"/>
      <c r="D1593" s="20"/>
      <c r="E1593" s="20"/>
    </row>
    <row r="1594">
      <c r="A1594" s="196"/>
      <c r="B1594" s="197"/>
      <c r="C1594" s="197"/>
      <c r="D1594" s="20"/>
      <c r="E1594" s="20"/>
    </row>
    <row r="1595">
      <c r="A1595" s="196"/>
      <c r="B1595" s="197"/>
      <c r="C1595" s="197"/>
      <c r="D1595" s="20"/>
      <c r="E1595" s="20"/>
    </row>
    <row r="1596">
      <c r="A1596" s="196"/>
      <c r="B1596" s="197"/>
      <c r="C1596" s="197"/>
      <c r="D1596" s="20"/>
      <c r="E1596" s="20"/>
    </row>
    <row r="1597">
      <c r="A1597" s="196" t="str">
        <f>IFERROR(__xludf.DUMMYFUNCTION("""COMPUTED_VALUE"""),"Sanguine")</f>
        <v>Sanguine</v>
      </c>
      <c r="B1597" s="197"/>
      <c r="C1597" s="197"/>
      <c r="D1597" s="20"/>
      <c r="E1597" s="20"/>
    </row>
    <row r="1598">
      <c r="A1598" s="196" t="str">
        <f>IFERROR(__xludf.DUMMYFUNCTION("""COMPUTED_VALUE"""),"Teapot")</f>
        <v>Teapot</v>
      </c>
      <c r="B1598" s="197"/>
      <c r="C1598" s="197"/>
      <c r="D1598" s="20"/>
      <c r="E1598" s="20"/>
    </row>
    <row r="1599">
      <c r="A1599" s="196"/>
      <c r="B1599" s="197"/>
      <c r="C1599" s="197"/>
      <c r="D1599" s="20"/>
      <c r="E1599" s="20"/>
    </row>
    <row r="1600">
      <c r="A1600" s="196"/>
      <c r="B1600" s="197"/>
      <c r="C1600" s="197"/>
      <c r="D1600" s="20"/>
      <c r="E1600" s="20"/>
    </row>
    <row r="1601">
      <c r="A1601" s="196"/>
      <c r="B1601" s="197"/>
      <c r="C1601" s="197"/>
      <c r="D1601" s="20"/>
      <c r="E1601" s="20"/>
    </row>
    <row r="1602">
      <c r="A1602" s="196" t="str">
        <f>IFERROR(__xludf.DUMMYFUNCTION("""COMPUTED_VALUE"""),"Sun")</f>
        <v>Sun</v>
      </c>
      <c r="B1602" s="197"/>
      <c r="C1602" s="197"/>
      <c r="D1602" s="20"/>
      <c r="E1602" s="20"/>
    </row>
    <row r="1603">
      <c r="A1603" s="196" t="str">
        <f>IFERROR(__xludf.DUMMYFUNCTION("""COMPUTED_VALUE"""),"Crystal")</f>
        <v>Crystal</v>
      </c>
      <c r="B1603" s="197"/>
      <c r="C1603" s="197"/>
      <c r="D1603" s="20"/>
      <c r="E1603" s="20"/>
    </row>
    <row r="1604">
      <c r="A1604" s="196" t="str">
        <f>IFERROR(__xludf.DUMMYFUNCTION("""COMPUTED_VALUE"""),"Saurus")</f>
        <v>Saurus</v>
      </c>
      <c r="B1604" s="197"/>
      <c r="C1604" s="197"/>
      <c r="D1604" s="20"/>
      <c r="E1604" s="20"/>
    </row>
    <row r="1605">
      <c r="A1605" s="196"/>
      <c r="B1605" s="197"/>
      <c r="C1605" s="197"/>
      <c r="D1605" s="20"/>
      <c r="E1605" s="20"/>
    </row>
    <row r="1606">
      <c r="A1606" s="196"/>
      <c r="B1606" s="197"/>
      <c r="C1606" s="197"/>
      <c r="D1606" s="20"/>
      <c r="E1606" s="20"/>
    </row>
    <row r="1607">
      <c r="A1607" s="196" t="str">
        <f>IFERROR(__xludf.DUMMYFUNCTION("""COMPUTED_VALUE"""),"Sandsilk")</f>
        <v>Sandsilk</v>
      </c>
      <c r="B1607" s="197"/>
      <c r="C1607" s="197"/>
      <c r="D1607" s="20"/>
      <c r="E1607" s="20"/>
    </row>
    <row r="1608">
      <c r="A1608" s="196" t="str">
        <f>IFERROR(__xludf.DUMMYFUNCTION("""COMPUTED_VALUE"""),"Fox")</f>
        <v>Fox</v>
      </c>
      <c r="B1608" s="197"/>
      <c r="C1608" s="197"/>
      <c r="D1608" s="20"/>
      <c r="E1608" s="20"/>
    </row>
    <row r="1609">
      <c r="A1609" s="196"/>
      <c r="B1609" s="197"/>
      <c r="C1609" s="197"/>
      <c r="D1609" s="20"/>
      <c r="E1609" s="20"/>
    </row>
    <row r="1610">
      <c r="A1610" s="196"/>
      <c r="B1610" s="197"/>
      <c r="C1610" s="197"/>
      <c r="D1610" s="20"/>
      <c r="E1610" s="20"/>
    </row>
    <row r="1611">
      <c r="A1611" s="196"/>
      <c r="B1611" s="197"/>
      <c r="C1611" s="197"/>
      <c r="D1611" s="20"/>
      <c r="E1611" s="20"/>
    </row>
    <row r="1612">
      <c r="A1612" s="196" t="str">
        <f>IFERROR(__xludf.DUMMYFUNCTION("""COMPUTED_VALUE"""),"Living")</f>
        <v>Living</v>
      </c>
      <c r="B1612" s="197"/>
      <c r="C1612" s="197"/>
      <c r="D1612" s="20"/>
      <c r="E1612" s="20"/>
    </row>
    <row r="1613">
      <c r="A1613" s="196" t="str">
        <f>IFERROR(__xludf.DUMMYFUNCTION("""COMPUTED_VALUE"""),"Thicket")</f>
        <v>Thicket</v>
      </c>
      <c r="B1613" s="197"/>
      <c r="C1613" s="197"/>
      <c r="D1613" s="20"/>
      <c r="E1613" s="20"/>
    </row>
    <row r="1614">
      <c r="A1614" s="196"/>
      <c r="B1614" s="197"/>
      <c r="C1614" s="197"/>
      <c r="D1614" s="20"/>
      <c r="E1614" s="20"/>
    </row>
    <row r="1615">
      <c r="A1615" s="196"/>
      <c r="B1615" s="197"/>
      <c r="C1615" s="197"/>
      <c r="D1615" s="20"/>
      <c r="E1615" s="20"/>
    </row>
    <row r="1616">
      <c r="A1616" s="196"/>
      <c r="B1616" s="197"/>
      <c r="C1616" s="197"/>
      <c r="D1616" s="20"/>
      <c r="E1616" s="20"/>
    </row>
    <row r="1617">
      <c r="A1617" s="196" t="str">
        <f>IFERROR(__xludf.DUMMYFUNCTION("""COMPUTED_VALUE"""),"Shrouded")</f>
        <v>Shrouded</v>
      </c>
      <c r="B1617" s="197"/>
      <c r="C1617" s="197"/>
      <c r="D1617" s="20"/>
      <c r="E1617" s="20"/>
    </row>
    <row r="1618">
      <c r="A1618" s="196" t="str">
        <f>IFERROR(__xludf.DUMMYFUNCTION("""COMPUTED_VALUE"""),"Trickster")</f>
        <v>Trickster</v>
      </c>
      <c r="B1618" s="197"/>
      <c r="C1618" s="197"/>
      <c r="D1618" s="20"/>
      <c r="E1618" s="20"/>
    </row>
    <row r="1619">
      <c r="A1619" s="196"/>
      <c r="B1619" s="197"/>
      <c r="C1619" s="197"/>
      <c r="D1619" s="20"/>
      <c r="E1619" s="20"/>
    </row>
    <row r="1620">
      <c r="A1620" s="196"/>
      <c r="B1620" s="197"/>
      <c r="C1620" s="197"/>
      <c r="D1620" s="20"/>
      <c r="E1620" s="20"/>
    </row>
    <row r="1621">
      <c r="A1621" s="196"/>
      <c r="B1621" s="197"/>
      <c r="C1621" s="197"/>
      <c r="D1621" s="20"/>
      <c r="E1621" s="20"/>
    </row>
    <row r="1622">
      <c r="A1622" s="196" t="str">
        <f>IFERROR(__xludf.DUMMYFUNCTION("""COMPUTED_VALUE"""),"Advocate")</f>
        <v>Advocate</v>
      </c>
      <c r="B1622" s="197"/>
      <c r="C1622" s="197"/>
      <c r="D1622" s="20"/>
      <c r="E1622" s="20"/>
    </row>
    <row r="1623">
      <c r="A1623" s="196" t="str">
        <f>IFERROR(__xludf.DUMMYFUNCTION("""COMPUTED_VALUE"""),"of")</f>
        <v>of</v>
      </c>
      <c r="B1623" s="197"/>
      <c r="C1623" s="197"/>
      <c r="D1623" s="20"/>
      <c r="E1623" s="20"/>
    </row>
    <row r="1624">
      <c r="A1624" s="196" t="str">
        <f>IFERROR(__xludf.DUMMYFUNCTION("""COMPUTED_VALUE"""),"the")</f>
        <v>the</v>
      </c>
      <c r="B1624" s="197"/>
      <c r="C1624" s="197"/>
      <c r="D1624" s="20"/>
      <c r="E1624" s="20"/>
    </row>
    <row r="1625">
      <c r="A1625" s="196" t="str">
        <f>IFERROR(__xludf.DUMMYFUNCTION("""COMPUTED_VALUE"""),"Grove")</f>
        <v>Grove</v>
      </c>
      <c r="B1625" s="197"/>
      <c r="C1625" s="197"/>
      <c r="D1625" s="20"/>
      <c r="E1625" s="20"/>
    </row>
    <row r="1626">
      <c r="A1626" s="196"/>
      <c r="B1626" s="197"/>
      <c r="C1626" s="197"/>
      <c r="D1626" s="20"/>
      <c r="E1626" s="20"/>
    </row>
    <row r="1627">
      <c r="A1627" s="196" t="str">
        <f>IFERROR(__xludf.DUMMYFUNCTION("""COMPUTED_VALUE"""),"Slumbering")</f>
        <v>Slumbering</v>
      </c>
      <c r="B1627" s="197"/>
      <c r="C1627" s="197"/>
      <c r="D1627" s="20"/>
      <c r="E1627" s="20"/>
    </row>
    <row r="1628">
      <c r="A1628" s="196" t="str">
        <f>IFERROR(__xludf.DUMMYFUNCTION("""COMPUTED_VALUE"""),"Fiend")</f>
        <v>Fiend</v>
      </c>
      <c r="B1628" s="197"/>
      <c r="C1628" s="197"/>
      <c r="D1628" s="20"/>
      <c r="E1628" s="20"/>
    </row>
    <row r="1629">
      <c r="A1629" s="196"/>
      <c r="B1629" s="197"/>
      <c r="C1629" s="197"/>
      <c r="D1629" s="20"/>
      <c r="E1629" s="20"/>
    </row>
    <row r="1630">
      <c r="A1630" s="196"/>
      <c r="B1630" s="197"/>
      <c r="C1630" s="197"/>
      <c r="D1630" s="20"/>
      <c r="E1630" s="20"/>
    </row>
    <row r="1631">
      <c r="A1631" s="196"/>
      <c r="B1631" s="197"/>
      <c r="C1631" s="197"/>
      <c r="D1631" s="20"/>
      <c r="E1631" s="20"/>
    </row>
    <row r="1632">
      <c r="A1632" s="196" t="str">
        <f>IFERROR(__xludf.DUMMYFUNCTION("""COMPUTED_VALUE"""),"Invigorating")</f>
        <v>Invigorating</v>
      </c>
      <c r="B1632" s="197"/>
      <c r="C1632" s="197"/>
      <c r="D1632" s="20"/>
      <c r="E1632" s="20"/>
    </row>
    <row r="1633">
      <c r="A1633" s="196" t="str">
        <f>IFERROR(__xludf.DUMMYFUNCTION("""COMPUTED_VALUE"""),"Lotus")</f>
        <v>Lotus</v>
      </c>
      <c r="B1633" s="197"/>
      <c r="C1633" s="197"/>
      <c r="D1633" s="20"/>
      <c r="E1633" s="20"/>
    </row>
    <row r="1634">
      <c r="A1634" s="196" t="str">
        <f>IFERROR(__xludf.DUMMYFUNCTION("""COMPUTED_VALUE"""),"Bloom")</f>
        <v>Bloom</v>
      </c>
      <c r="B1634" s="197"/>
      <c r="C1634" s="197"/>
      <c r="D1634" s="20"/>
      <c r="E1634" s="20"/>
    </row>
    <row r="1635">
      <c r="A1635" s="196"/>
      <c r="B1635" s="197"/>
      <c r="C1635" s="197"/>
      <c r="D1635" s="20"/>
      <c r="E1635" s="20"/>
    </row>
    <row r="1636">
      <c r="A1636" s="196"/>
      <c r="B1636" s="197"/>
      <c r="C1636" s="197"/>
      <c r="D1636" s="20"/>
      <c r="E1636" s="20"/>
    </row>
    <row r="1637">
      <c r="A1637" s="196" t="str">
        <f>IFERROR(__xludf.DUMMYFUNCTION("""COMPUTED_VALUE"""),"Photosynthaurus")</f>
        <v>Photosynthaurus</v>
      </c>
      <c r="B1637" s="197"/>
      <c r="C1637" s="197"/>
      <c r="D1637" s="20"/>
      <c r="E1637" s="20"/>
    </row>
    <row r="1638">
      <c r="A1638" s="196"/>
      <c r="B1638" s="197"/>
      <c r="C1638" s="197"/>
      <c r="D1638" s="20"/>
      <c r="E1638" s="20"/>
    </row>
    <row r="1639">
      <c r="A1639" s="196"/>
      <c r="B1639" s="197"/>
      <c r="C1639" s="197"/>
      <c r="D1639" s="20"/>
      <c r="E1639" s="20"/>
    </row>
    <row r="1640">
      <c r="A1640" s="196"/>
      <c r="B1640" s="197"/>
      <c r="C1640" s="197"/>
      <c r="D1640" s="20"/>
      <c r="E1640" s="20"/>
    </row>
    <row r="1641">
      <c r="A1641" s="196"/>
      <c r="B1641" s="197"/>
      <c r="C1641" s="197"/>
      <c r="D1641" s="20"/>
      <c r="E1641" s="20"/>
    </row>
    <row r="1642">
      <c r="A1642" s="196" t="str">
        <f>IFERROR(__xludf.DUMMYFUNCTION("""COMPUTED_VALUE"""),"Southern")</f>
        <v>Southern</v>
      </c>
      <c r="B1642" s="197"/>
      <c r="C1642" s="197"/>
      <c r="D1642" s="20"/>
      <c r="E1642" s="20"/>
    </row>
    <row r="1643">
      <c r="A1643" s="196" t="str">
        <f>IFERROR(__xludf.DUMMYFUNCTION("""COMPUTED_VALUE"""),"Reach")</f>
        <v>Reach</v>
      </c>
      <c r="B1643" s="197"/>
      <c r="C1643" s="197"/>
      <c r="D1643" s="20"/>
      <c r="E1643" s="20"/>
    </row>
    <row r="1644">
      <c r="A1644" s="196" t="str">
        <f>IFERROR(__xludf.DUMMYFUNCTION("""COMPUTED_VALUE"""),"Bulwark")</f>
        <v>Bulwark</v>
      </c>
      <c r="B1644" s="197"/>
      <c r="C1644" s="197"/>
      <c r="D1644" s="20"/>
      <c r="E1644" s="20"/>
    </row>
    <row r="1645">
      <c r="A1645" s="196"/>
      <c r="B1645" s="197"/>
      <c r="C1645" s="197"/>
      <c r="D1645" s="20"/>
      <c r="E1645" s="20"/>
    </row>
    <row r="1646">
      <c r="A1646" s="196"/>
      <c r="B1646" s="197"/>
      <c r="C1646" s="197"/>
      <c r="D1646" s="20"/>
      <c r="E1646" s="20"/>
    </row>
    <row r="1647">
      <c r="A1647" s="196" t="str">
        <f>IFERROR(__xludf.DUMMYFUNCTION("""COMPUTED_VALUE"""),"Thoughtfeaster")</f>
        <v>Thoughtfeaster</v>
      </c>
      <c r="B1647" s="197"/>
      <c r="C1647" s="197"/>
      <c r="D1647" s="20"/>
      <c r="E1647" s="20"/>
    </row>
    <row r="1648">
      <c r="A1648" s="196"/>
      <c r="B1648" s="197"/>
      <c r="C1648" s="197"/>
      <c r="D1648" s="20"/>
      <c r="E1648" s="20"/>
    </row>
    <row r="1649">
      <c r="A1649" s="196"/>
      <c r="B1649" s="197"/>
      <c r="C1649" s="197"/>
      <c r="D1649" s="20"/>
      <c r="E1649" s="20"/>
    </row>
    <row r="1650">
      <c r="A1650" s="196"/>
      <c r="B1650" s="197"/>
      <c r="C1650" s="197"/>
      <c r="D1650" s="20"/>
      <c r="E1650" s="20"/>
    </row>
    <row r="1651">
      <c r="A1651" s="196"/>
      <c r="B1651" s="197"/>
      <c r="C1651" s="197"/>
      <c r="D1651" s="20"/>
      <c r="E1651" s="20"/>
    </row>
    <row r="1652">
      <c r="A1652" s="196" t="str">
        <f>IFERROR(__xludf.DUMMYFUNCTION("""COMPUTED_VALUE"""),"Tombstone")</f>
        <v>Tombstone</v>
      </c>
      <c r="B1652" s="197"/>
      <c r="C1652" s="197"/>
      <c r="D1652" s="20"/>
      <c r="E1652" s="20"/>
    </row>
    <row r="1653">
      <c r="A1653" s="196" t="str">
        <f>IFERROR(__xludf.DUMMYFUNCTION("""COMPUTED_VALUE"""),"Carver")</f>
        <v>Carver</v>
      </c>
      <c r="B1653" s="197"/>
      <c r="C1653" s="197"/>
      <c r="D1653" s="20"/>
      <c r="E1653" s="20"/>
    </row>
    <row r="1654">
      <c r="A1654" s="196"/>
      <c r="B1654" s="197"/>
      <c r="C1654" s="197"/>
      <c r="D1654" s="20"/>
      <c r="E1654" s="20"/>
    </row>
    <row r="1655">
      <c r="A1655" s="196"/>
      <c r="B1655" s="197"/>
      <c r="C1655" s="197"/>
      <c r="D1655" s="20"/>
      <c r="E1655" s="20"/>
    </row>
    <row r="1656">
      <c r="A1656" s="196"/>
      <c r="B1656" s="197"/>
      <c r="C1656" s="197"/>
      <c r="D1656" s="20"/>
      <c r="E1656" s="20"/>
    </row>
    <row r="1657">
      <c r="A1657" s="196" t="str">
        <f>IFERROR(__xludf.DUMMYFUNCTION("""COMPUTED_VALUE"""),"Umbral")</f>
        <v>Umbral</v>
      </c>
      <c r="B1657" s="197"/>
      <c r="C1657" s="197"/>
      <c r="D1657" s="20"/>
      <c r="E1657" s="20"/>
    </row>
    <row r="1658">
      <c r="A1658" s="196" t="str">
        <f>IFERROR(__xludf.DUMMYFUNCTION("""COMPUTED_VALUE"""),"Nexus")</f>
        <v>Nexus</v>
      </c>
      <c r="B1658" s="197"/>
      <c r="C1658" s="197"/>
      <c r="D1658" s="20"/>
      <c r="E1658" s="20"/>
    </row>
    <row r="1659">
      <c r="A1659" s="196"/>
      <c r="B1659" s="197"/>
      <c r="C1659" s="197"/>
      <c r="D1659" s="20"/>
      <c r="E1659" s="20"/>
    </row>
    <row r="1660">
      <c r="A1660" s="196"/>
      <c r="B1660" s="197"/>
      <c r="C1660" s="197"/>
      <c r="D1660" s="20"/>
      <c r="E1660" s="20"/>
    </row>
    <row r="1661">
      <c r="A1661" s="196"/>
      <c r="B1661" s="197"/>
      <c r="C1661" s="197"/>
      <c r="D1661" s="20"/>
      <c r="E1661" s="20"/>
    </row>
    <row r="1662">
      <c r="A1662" s="196" t="str">
        <f>IFERROR(__xludf.DUMMYFUNCTION("""COMPUTED_VALUE"""),"Voidkiss")</f>
        <v>Voidkiss</v>
      </c>
      <c r="B1662" s="197"/>
      <c r="C1662" s="197"/>
      <c r="D1662" s="20"/>
      <c r="E1662" s="20"/>
    </row>
    <row r="1663">
      <c r="A1663" s="196" t="str">
        <f>IFERROR(__xludf.DUMMYFUNCTION("""COMPUTED_VALUE"""),"Siren")</f>
        <v>Siren</v>
      </c>
      <c r="B1663" s="197"/>
      <c r="C1663" s="197"/>
      <c r="D1663" s="20"/>
      <c r="E1663" s="20"/>
    </row>
    <row r="1664">
      <c r="A1664" s="196"/>
      <c r="B1664" s="197"/>
      <c r="C1664" s="197"/>
      <c r="D1664" s="20"/>
      <c r="E1664" s="20"/>
    </row>
    <row r="1665">
      <c r="A1665" s="196"/>
      <c r="B1665" s="197"/>
      <c r="C1665" s="197"/>
      <c r="D1665" s="20"/>
      <c r="E1665" s="20"/>
    </row>
    <row r="1666">
      <c r="A1666" s="196"/>
      <c r="B1666" s="197"/>
      <c r="C1666" s="197"/>
      <c r="D1666" s="20"/>
      <c r="E1666" s="20"/>
    </row>
    <row r="1667">
      <c r="A1667" s="196" t="str">
        <f>IFERROR(__xludf.DUMMYFUNCTION("""COMPUTED_VALUE"""),"Rootstrosity")</f>
        <v>Rootstrosity</v>
      </c>
      <c r="B1667" s="197"/>
      <c r="C1667" s="197"/>
      <c r="D1667" s="20"/>
      <c r="E1667" s="20"/>
    </row>
    <row r="1668">
      <c r="A1668" s="196"/>
      <c r="B1668" s="197"/>
      <c r="C1668" s="197"/>
      <c r="D1668" s="20"/>
      <c r="E1668" s="20"/>
    </row>
    <row r="1669">
      <c r="A1669" s="196"/>
      <c r="B1669" s="197"/>
      <c r="C1669" s="197"/>
      <c r="D1669" s="20"/>
      <c r="E1669" s="20"/>
    </row>
    <row r="1670">
      <c r="A1670" s="196"/>
      <c r="B1670" s="197"/>
      <c r="C1670" s="197"/>
      <c r="D1670" s="20"/>
      <c r="E1670" s="20"/>
    </row>
    <row r="1671">
      <c r="A1671" s="196"/>
      <c r="B1671" s="197"/>
      <c r="C1671" s="197"/>
      <c r="D1671" s="20"/>
      <c r="E1671" s="20"/>
    </row>
    <row r="1672">
      <c r="A1672" s="196" t="str">
        <f>IFERROR(__xludf.DUMMYFUNCTION("""COMPUTED_VALUE"""),"Voodoo")</f>
        <v>Voodoo</v>
      </c>
      <c r="B1672" s="197"/>
      <c r="C1672" s="197"/>
      <c r="D1672" s="20"/>
      <c r="E1672" s="20"/>
    </row>
    <row r="1673">
      <c r="A1673" s="196" t="str">
        <f>IFERROR(__xludf.DUMMYFUNCTION("""COMPUTED_VALUE"""),"Doctor")</f>
        <v>Doctor</v>
      </c>
      <c r="B1673" s="197"/>
      <c r="C1673" s="197"/>
      <c r="D1673" s="20"/>
      <c r="E1673" s="20"/>
    </row>
    <row r="1674">
      <c r="A1674" s="196"/>
      <c r="B1674" s="197"/>
      <c r="C1674" s="197"/>
      <c r="D1674" s="20"/>
      <c r="E1674" s="20"/>
    </row>
    <row r="1675">
      <c r="A1675" s="196"/>
      <c r="B1675" s="197"/>
      <c r="C1675" s="197"/>
      <c r="D1675" s="20"/>
      <c r="E1675" s="20"/>
    </row>
    <row r="1676">
      <c r="A1676" s="196"/>
      <c r="B1676" s="197"/>
      <c r="C1676" s="197"/>
      <c r="D1676" s="20"/>
      <c r="E1676" s="20"/>
    </row>
    <row r="1677">
      <c r="A1677" s="196" t="str">
        <f>IFERROR(__xludf.DUMMYFUNCTION("""COMPUTED_VALUE"""),"Whispering")</f>
        <v>Whispering</v>
      </c>
      <c r="B1677" s="197"/>
      <c r="C1677" s="197"/>
      <c r="D1677" s="20"/>
      <c r="E1677" s="20"/>
    </row>
    <row r="1678">
      <c r="A1678" s="196" t="str">
        <f>IFERROR(__xludf.DUMMYFUNCTION("""COMPUTED_VALUE"""),"Tome")</f>
        <v>Tome</v>
      </c>
      <c r="B1678" s="197"/>
      <c r="C1678" s="197"/>
      <c r="D1678" s="20"/>
      <c r="E1678" s="20"/>
    </row>
    <row r="1679">
      <c r="A1679" s="196"/>
      <c r="B1679" s="197"/>
      <c r="C1679" s="197"/>
      <c r="D1679" s="20"/>
      <c r="E1679" s="20"/>
    </row>
    <row r="1680">
      <c r="A1680" s="196"/>
      <c r="B1680" s="197"/>
      <c r="C1680" s="197"/>
      <c r="D1680" s="20"/>
      <c r="E1680" s="20"/>
    </row>
    <row r="1681">
      <c r="A1681" s="196"/>
      <c r="B1681" s="197"/>
      <c r="C1681" s="197"/>
      <c r="D1681" s="20"/>
      <c r="E1681" s="20"/>
    </row>
    <row r="1682">
      <c r="A1682" s="196" t="str">
        <f>IFERROR(__xludf.DUMMYFUNCTION("""COMPUTED_VALUE"""),"Choking")</f>
        <v>Choking</v>
      </c>
      <c r="B1682" s="197"/>
      <c r="C1682" s="197"/>
      <c r="D1682" s="20"/>
      <c r="E1682" s="20"/>
    </row>
    <row r="1683">
      <c r="A1683" s="196" t="str">
        <f>IFERROR(__xludf.DUMMYFUNCTION("""COMPUTED_VALUE"""),"Vines")</f>
        <v>Vines</v>
      </c>
      <c r="B1683" s="197"/>
      <c r="C1683" s="197"/>
      <c r="D1683" s="20"/>
      <c r="E1683" s="20"/>
    </row>
    <row r="1684">
      <c r="A1684" s="196"/>
      <c r="B1684" s="197"/>
      <c r="C1684" s="197"/>
      <c r="D1684" s="20"/>
      <c r="E1684" s="20"/>
    </row>
    <row r="1685">
      <c r="A1685" s="196"/>
      <c r="B1685" s="197"/>
      <c r="C1685" s="197"/>
      <c r="D1685" s="20"/>
      <c r="E1685" s="20"/>
    </row>
    <row r="1686">
      <c r="A1686" s="196"/>
      <c r="B1686" s="197"/>
      <c r="C1686" s="197"/>
      <c r="D1686" s="20"/>
      <c r="E1686" s="20"/>
    </row>
    <row r="1687">
      <c r="A1687" s="196" t="str">
        <f>IFERROR(__xludf.DUMMYFUNCTION("""COMPUTED_VALUE"""),"Heathborn")</f>
        <v>Heathborn</v>
      </c>
      <c r="B1687" s="197"/>
      <c r="C1687" s="197"/>
      <c r="D1687" s="20"/>
      <c r="E1687" s="20"/>
    </row>
    <row r="1688">
      <c r="A1688" s="196" t="str">
        <f>IFERROR(__xludf.DUMMYFUNCTION("""COMPUTED_VALUE"""),"Protector")</f>
        <v>Protector</v>
      </c>
      <c r="B1688" s="197"/>
      <c r="C1688" s="197"/>
      <c r="D1688" s="20"/>
      <c r="E1688" s="20"/>
    </row>
    <row r="1689">
      <c r="A1689" s="196"/>
      <c r="B1689" s="197"/>
      <c r="C1689" s="197"/>
      <c r="D1689" s="20"/>
      <c r="E1689" s="20"/>
    </row>
    <row r="1690">
      <c r="A1690" s="196"/>
      <c r="B1690" s="197"/>
      <c r="C1690" s="197"/>
      <c r="D1690" s="20"/>
      <c r="E1690" s="20"/>
    </row>
    <row r="1691">
      <c r="A1691" s="196"/>
      <c r="B1691" s="197"/>
      <c r="C1691" s="197"/>
      <c r="D1691" s="20"/>
      <c r="E1691" s="20"/>
    </row>
    <row r="1692">
      <c r="A1692" s="196" t="str">
        <f>IFERROR(__xludf.DUMMYFUNCTION("""COMPUTED_VALUE"""),"Crusader")</f>
        <v>Crusader</v>
      </c>
      <c r="B1692" s="197"/>
      <c r="C1692" s="197"/>
      <c r="D1692" s="20"/>
      <c r="E1692" s="20"/>
    </row>
    <row r="1693">
      <c r="A1693" s="196" t="str">
        <f>IFERROR(__xludf.DUMMYFUNCTION("""COMPUTED_VALUE"""),"of")</f>
        <v>of</v>
      </c>
      <c r="B1693" s="197"/>
      <c r="C1693" s="197"/>
      <c r="D1693" s="20"/>
      <c r="E1693" s="20"/>
    </row>
    <row r="1694">
      <c r="A1694" s="196" t="str">
        <f>IFERROR(__xludf.DUMMYFUNCTION("""COMPUTED_VALUE"""),"the")</f>
        <v>the</v>
      </c>
      <c r="B1694" s="197"/>
      <c r="C1694" s="197"/>
      <c r="D1694" s="20"/>
      <c r="E1694" s="20"/>
    </row>
    <row r="1695">
      <c r="A1695" s="196" t="str">
        <f>IFERROR(__xludf.DUMMYFUNCTION("""COMPUTED_VALUE"""),"Wastelands")</f>
        <v>Wastelands</v>
      </c>
      <c r="B1695" s="197"/>
      <c r="C1695" s="197"/>
      <c r="D1695" s="20"/>
      <c r="E1695" s="20"/>
    </row>
    <row r="1696">
      <c r="A1696" s="196"/>
      <c r="B1696" s="197"/>
      <c r="C1696" s="197"/>
      <c r="D1696" s="20"/>
      <c r="E1696" s="20"/>
    </row>
    <row r="1697">
      <c r="A1697" s="196" t="str">
        <f>IFERROR(__xludf.DUMMYFUNCTION("""COMPUTED_VALUE"""),"Crystalbane")</f>
        <v>Crystalbane</v>
      </c>
      <c r="B1697" s="197"/>
      <c r="C1697" s="197"/>
      <c r="D1697" s="20"/>
      <c r="E1697" s="20"/>
    </row>
    <row r="1698">
      <c r="A1698" s="196" t="str">
        <f>IFERROR(__xludf.DUMMYFUNCTION("""COMPUTED_VALUE"""),"Glutton")</f>
        <v>Glutton</v>
      </c>
      <c r="B1698" s="197"/>
      <c r="C1698" s="197"/>
      <c r="D1698" s="20"/>
      <c r="E1698" s="20"/>
    </row>
    <row r="1699">
      <c r="A1699" s="196"/>
      <c r="B1699" s="197"/>
      <c r="C1699" s="197"/>
      <c r="D1699" s="20"/>
      <c r="E1699" s="20"/>
    </row>
    <row r="1700">
      <c r="A1700" s="196"/>
      <c r="B1700" s="197"/>
      <c r="C1700" s="197"/>
      <c r="D1700" s="20"/>
      <c r="E1700" s="20"/>
    </row>
    <row r="1701">
      <c r="A1701" s="196"/>
      <c r="B1701" s="197"/>
      <c r="C1701" s="197"/>
      <c r="D1701" s="20"/>
      <c r="E1701" s="20"/>
    </row>
    <row r="1702">
      <c r="A1702" s="196" t="str">
        <f>IFERROR(__xludf.DUMMYFUNCTION("""COMPUTED_VALUE"""),"Crystalline")</f>
        <v>Crystalline</v>
      </c>
      <c r="B1702" s="197"/>
      <c r="C1702" s="197"/>
      <c r="D1702" s="20"/>
      <c r="E1702" s="20"/>
    </row>
    <row r="1703">
      <c r="A1703" s="196" t="str">
        <f>IFERROR(__xludf.DUMMYFUNCTION("""COMPUTED_VALUE"""),"Parasite")</f>
        <v>Parasite</v>
      </c>
      <c r="B1703" s="197"/>
      <c r="C1703" s="197"/>
      <c r="D1703" s="20"/>
      <c r="E1703" s="20"/>
    </row>
    <row r="1704">
      <c r="A1704" s="196"/>
      <c r="B1704" s="197"/>
      <c r="C1704" s="197"/>
      <c r="D1704" s="20"/>
      <c r="E1704" s="20"/>
    </row>
    <row r="1705">
      <c r="A1705" s="196"/>
      <c r="B1705" s="197"/>
      <c r="C1705" s="197"/>
      <c r="D1705" s="20"/>
      <c r="E1705" s="20"/>
    </row>
    <row r="1706">
      <c r="A1706" s="196"/>
      <c r="B1706" s="197"/>
      <c r="C1706" s="197"/>
      <c r="D1706" s="20"/>
      <c r="E1706" s="20"/>
    </row>
    <row r="1707">
      <c r="A1707" s="196" t="str">
        <f>IFERROR(__xludf.DUMMYFUNCTION("""COMPUTED_VALUE"""),"Fortune's")</f>
        <v>Fortune's</v>
      </c>
      <c r="B1707" s="197"/>
      <c r="C1707" s="197"/>
      <c r="D1707" s="20"/>
      <c r="E1707" s="20"/>
    </row>
    <row r="1708">
      <c r="A1708" s="196" t="str">
        <f>IFERROR(__xludf.DUMMYFUNCTION("""COMPUTED_VALUE"""),"Favorite")</f>
        <v>Favorite</v>
      </c>
      <c r="B1708" s="197"/>
      <c r="C1708" s="197"/>
      <c r="D1708" s="20"/>
      <c r="E1708" s="20"/>
    </row>
    <row r="1709">
      <c r="A1709" s="196"/>
      <c r="B1709" s="197"/>
      <c r="C1709" s="197"/>
      <c r="D1709" s="20"/>
      <c r="E1709" s="20"/>
    </row>
    <row r="1710">
      <c r="A1710" s="196"/>
      <c r="B1710" s="197"/>
      <c r="C1710" s="197"/>
      <c r="D1710" s="20"/>
      <c r="E1710" s="20"/>
    </row>
    <row r="1711">
      <c r="A1711" s="196"/>
      <c r="B1711" s="197"/>
      <c r="C1711" s="197"/>
      <c r="D1711" s="20"/>
      <c r="E1711" s="20"/>
    </row>
    <row r="1712">
      <c r="A1712" s="196" t="str">
        <f>IFERROR(__xludf.DUMMYFUNCTION("""COMPUTED_VALUE"""),"Gigantic")</f>
        <v>Gigantic</v>
      </c>
      <c r="B1712" s="197"/>
      <c r="C1712" s="197"/>
      <c r="D1712" s="20"/>
      <c r="E1712" s="20"/>
    </row>
    <row r="1713">
      <c r="A1713" s="196" t="str">
        <f>IFERROR(__xludf.DUMMYFUNCTION("""COMPUTED_VALUE"""),"Terrormaw")</f>
        <v>Terrormaw</v>
      </c>
      <c r="B1713" s="197"/>
      <c r="C1713" s="197"/>
      <c r="D1713" s="20"/>
      <c r="E1713" s="20"/>
    </row>
    <row r="1714">
      <c r="A1714" s="196"/>
      <c r="B1714" s="197"/>
      <c r="C1714" s="197"/>
      <c r="D1714" s="20"/>
      <c r="E1714" s="20"/>
    </row>
    <row r="1715">
      <c r="A1715" s="196"/>
      <c r="B1715" s="197"/>
      <c r="C1715" s="197"/>
      <c r="D1715" s="20"/>
      <c r="E1715" s="20"/>
    </row>
    <row r="1716">
      <c r="A1716" s="196"/>
      <c r="B1716" s="197"/>
      <c r="C1716" s="197"/>
      <c r="D1716" s="20"/>
      <c r="E1716" s="20"/>
    </row>
    <row r="1717">
      <c r="A1717" s="196" t="str">
        <f>IFERROR(__xludf.DUMMYFUNCTION("""COMPUTED_VALUE"""),"Null")</f>
        <v>Null</v>
      </c>
      <c r="B1717" s="197"/>
      <c r="C1717" s="197"/>
      <c r="D1717" s="20"/>
      <c r="E1717" s="20"/>
    </row>
    <row r="1718">
      <c r="A1718" s="196" t="str">
        <f>IFERROR(__xludf.DUMMYFUNCTION("""COMPUTED_VALUE"""),"Ghost")</f>
        <v>Ghost</v>
      </c>
      <c r="B1718" s="197"/>
      <c r="C1718" s="197"/>
      <c r="D1718" s="20"/>
      <c r="E1718" s="20"/>
    </row>
    <row r="1719">
      <c r="A1719" s="196"/>
      <c r="B1719" s="197"/>
      <c r="C1719" s="197"/>
      <c r="D1719" s="20"/>
      <c r="E1719" s="20"/>
    </row>
    <row r="1720">
      <c r="A1720" s="196"/>
      <c r="B1720" s="197"/>
      <c r="C1720" s="197"/>
      <c r="D1720" s="20"/>
      <c r="E1720" s="20"/>
    </row>
    <row r="1721">
      <c r="A1721" s="196"/>
      <c r="B1721" s="197"/>
      <c r="C1721" s="197"/>
      <c r="D1721" s="20"/>
      <c r="E1721" s="20"/>
    </row>
    <row r="1722">
      <c r="A1722" s="196" t="str">
        <f>IFERROR(__xludf.DUMMYFUNCTION("""COMPUTED_VALUE"""),"Bear")</f>
        <v>Bear</v>
      </c>
      <c r="B1722" s="197"/>
      <c r="C1722" s="197"/>
      <c r="D1722" s="20"/>
      <c r="E1722" s="20"/>
    </row>
    <row r="1723">
      <c r="A1723" s="196" t="str">
        <f>IFERROR(__xludf.DUMMYFUNCTION("""COMPUTED_VALUE"""),"Cub")</f>
        <v>Cub</v>
      </c>
      <c r="B1723" s="197"/>
      <c r="C1723" s="197"/>
      <c r="D1723" s="20"/>
      <c r="E1723" s="20"/>
    </row>
    <row r="1724">
      <c r="A1724" s="196"/>
      <c r="B1724" s="197"/>
      <c r="C1724" s="197"/>
      <c r="D1724" s="20"/>
      <c r="E1724" s="20"/>
    </row>
    <row r="1725">
      <c r="A1725" s="196"/>
      <c r="B1725" s="197"/>
      <c r="C1725" s="197"/>
      <c r="D1725" s="20"/>
      <c r="E1725" s="20"/>
    </row>
    <row r="1726">
      <c r="A1726" s="196"/>
      <c r="B1726" s="197"/>
      <c r="C1726" s="197"/>
      <c r="D1726" s="20"/>
      <c r="E1726" s="20"/>
    </row>
    <row r="1727">
      <c r="A1727" s="196" t="str">
        <f>IFERROR(__xludf.DUMMYFUNCTION("""COMPUTED_VALUE"""),"Necroconut")</f>
        <v>Necroconut</v>
      </c>
      <c r="B1727" s="197"/>
      <c r="C1727" s="197"/>
      <c r="D1727" s="20"/>
      <c r="E1727" s="20"/>
    </row>
    <row r="1728">
      <c r="A1728" s="196" t="str">
        <f>IFERROR(__xludf.DUMMYFUNCTION("""COMPUTED_VALUE"""),"Crab")</f>
        <v>Crab</v>
      </c>
      <c r="B1728" s="197"/>
      <c r="C1728" s="197"/>
      <c r="D1728" s="20"/>
      <c r="E1728" s="20"/>
    </row>
    <row r="1729">
      <c r="A1729" s="196"/>
      <c r="B1729" s="197"/>
      <c r="C1729" s="197"/>
      <c r="D1729" s="20"/>
      <c r="E1729" s="20"/>
    </row>
    <row r="1730">
      <c r="A1730" s="196"/>
      <c r="B1730" s="197"/>
      <c r="C1730" s="197"/>
      <c r="D1730" s="20"/>
      <c r="E1730" s="20"/>
    </row>
    <row r="1731">
      <c r="A1731" s="196"/>
      <c r="B1731" s="197"/>
      <c r="C1731" s="197"/>
      <c r="D1731" s="20"/>
      <c r="E1731" s="20"/>
    </row>
    <row r="1732">
      <c r="A1732" s="196" t="str">
        <f>IFERROR(__xludf.DUMMYFUNCTION("""COMPUTED_VALUE"""),"Rotting")</f>
        <v>Rotting</v>
      </c>
      <c r="B1732" s="197"/>
      <c r="C1732" s="197"/>
      <c r="D1732" s="20"/>
      <c r="E1732" s="20"/>
    </row>
    <row r="1733">
      <c r="A1733" s="196" t="str">
        <f>IFERROR(__xludf.DUMMYFUNCTION("""COMPUTED_VALUE"""),"Alicorn")</f>
        <v>Alicorn</v>
      </c>
      <c r="B1733" s="197"/>
      <c r="C1733" s="197"/>
      <c r="D1733" s="20"/>
      <c r="E1733" s="20"/>
    </row>
    <row r="1734">
      <c r="A1734" s="196"/>
      <c r="B1734" s="197"/>
      <c r="C1734" s="197"/>
      <c r="D1734" s="20"/>
      <c r="E1734" s="20"/>
    </row>
    <row r="1735">
      <c r="A1735" s="196"/>
      <c r="B1735" s="197"/>
      <c r="C1735" s="197"/>
      <c r="D1735" s="20"/>
      <c r="E1735" s="20"/>
    </row>
    <row r="1736">
      <c r="A1736" s="196"/>
      <c r="B1736" s="197"/>
      <c r="C1736" s="197"/>
      <c r="D1736" s="20"/>
      <c r="E1736" s="20"/>
    </row>
    <row r="1737">
      <c r="A1737" s="196" t="str">
        <f>IFERROR(__xludf.DUMMYFUNCTION("""COMPUTED_VALUE"""),"Tainted")</f>
        <v>Tainted</v>
      </c>
      <c r="B1737" s="197"/>
      <c r="C1737" s="197"/>
      <c r="D1737" s="20"/>
      <c r="E1737" s="20"/>
    </row>
    <row r="1738">
      <c r="A1738" s="196" t="str">
        <f>IFERROR(__xludf.DUMMYFUNCTION("""COMPUTED_VALUE"""),"Jade")</f>
        <v>Jade</v>
      </c>
      <c r="B1738" s="197"/>
      <c r="C1738" s="197"/>
      <c r="D1738" s="20"/>
      <c r="E1738" s="20"/>
    </row>
    <row r="1739">
      <c r="A1739" s="196" t="str">
        <f>IFERROR(__xludf.DUMMYFUNCTION("""COMPUTED_VALUE"""),"Initiate")</f>
        <v>Initiate</v>
      </c>
      <c r="B1739" s="197"/>
      <c r="C1739" s="197"/>
      <c r="D1739" s="20"/>
      <c r="E1739" s="20"/>
    </row>
    <row r="1740">
      <c r="A1740" s="196"/>
      <c r="B1740" s="197"/>
      <c r="C1740" s="197"/>
      <c r="D1740" s="20"/>
      <c r="E1740" s="20"/>
    </row>
    <row r="1741">
      <c r="A1741" s="196"/>
      <c r="B1741" s="197"/>
      <c r="C1741" s="197"/>
      <c r="D1741" s="20"/>
      <c r="E1741" s="20"/>
    </row>
    <row r="1742">
      <c r="A1742" s="196" t="str">
        <f>IFERROR(__xludf.DUMMYFUNCTION("""COMPUTED_VALUE"""),"Cryptroach")</f>
        <v>Cryptroach</v>
      </c>
      <c r="B1742" s="197"/>
      <c r="C1742" s="197"/>
      <c r="D1742" s="20"/>
      <c r="E1742" s="20"/>
    </row>
    <row r="1743">
      <c r="A1743" s="196"/>
      <c r="B1743" s="197"/>
      <c r="C1743" s="197"/>
      <c r="D1743" s="20"/>
      <c r="E1743" s="20"/>
    </row>
    <row r="1744">
      <c r="A1744" s="196"/>
      <c r="B1744" s="197"/>
      <c r="C1744" s="197"/>
      <c r="D1744" s="20"/>
      <c r="E1744" s="20"/>
    </row>
    <row r="1745">
      <c r="A1745" s="196"/>
      <c r="B1745" s="197"/>
      <c r="C1745" s="197"/>
      <c r="D1745" s="20"/>
      <c r="E1745" s="20"/>
    </row>
    <row r="1746">
      <c r="A1746" s="196"/>
      <c r="B1746" s="197"/>
      <c r="C1746" s="197"/>
      <c r="D1746" s="20"/>
      <c r="E1746" s="20"/>
    </row>
    <row r="1747">
      <c r="A1747" s="196" t="str">
        <f>IFERROR(__xludf.DUMMYFUNCTION("""COMPUTED_VALUE"""),"Abyssal")</f>
        <v>Abyssal</v>
      </c>
      <c r="B1747" s="197"/>
      <c r="C1747" s="197"/>
      <c r="D1747" s="20"/>
      <c r="E1747" s="20"/>
    </row>
    <row r="1748">
      <c r="A1748" s="196" t="str">
        <f>IFERROR(__xludf.DUMMYFUNCTION("""COMPUTED_VALUE"""),"Silencer")</f>
        <v>Silencer</v>
      </c>
      <c r="B1748" s="197"/>
      <c r="C1748" s="197"/>
      <c r="D1748" s="20"/>
      <c r="E1748" s="20"/>
    </row>
    <row r="1749">
      <c r="A1749" s="196"/>
      <c r="B1749" s="197"/>
      <c r="C1749" s="197"/>
      <c r="D1749" s="20"/>
      <c r="E1749" s="20"/>
    </row>
    <row r="1750">
      <c r="A1750" s="196"/>
      <c r="B1750" s="197"/>
      <c r="C1750" s="197"/>
      <c r="D1750" s="20"/>
      <c r="E1750" s="20"/>
    </row>
    <row r="1751">
      <c r="A1751" s="196"/>
      <c r="B1751" s="197"/>
      <c r="C1751" s="197"/>
      <c r="D1751" s="20"/>
      <c r="E1751" s="20"/>
    </row>
    <row r="1752">
      <c r="A1752" s="196" t="str">
        <f>IFERROR(__xludf.DUMMYFUNCTION("""COMPUTED_VALUE"""),"Blightcoven")</f>
        <v>Blightcoven</v>
      </c>
      <c r="B1752" s="197"/>
      <c r="C1752" s="197"/>
      <c r="D1752" s="20"/>
      <c r="E1752" s="20"/>
    </row>
    <row r="1753">
      <c r="A1753" s="196" t="str">
        <f>IFERROR(__xludf.DUMMYFUNCTION("""COMPUTED_VALUE"""),"Puppeteer")</f>
        <v>Puppeteer</v>
      </c>
      <c r="B1753" s="197"/>
      <c r="C1753" s="197"/>
      <c r="D1753" s="20"/>
      <c r="E1753" s="20"/>
    </row>
    <row r="1754">
      <c r="A1754" s="196"/>
      <c r="B1754" s="197"/>
      <c r="C1754" s="197"/>
      <c r="D1754" s="20"/>
      <c r="E1754" s="20"/>
    </row>
    <row r="1755">
      <c r="A1755" s="196"/>
      <c r="B1755" s="197"/>
      <c r="C1755" s="197"/>
      <c r="D1755" s="20"/>
      <c r="E1755" s="20"/>
    </row>
    <row r="1756">
      <c r="A1756" s="196"/>
      <c r="B1756" s="197"/>
      <c r="C1756" s="197"/>
      <c r="D1756" s="20"/>
      <c r="E1756" s="20"/>
    </row>
    <row r="1757">
      <c r="A1757" s="196" t="str">
        <f>IFERROR(__xludf.DUMMYFUNCTION("""COMPUTED_VALUE"""),"Bloodthrone")</f>
        <v>Bloodthrone</v>
      </c>
      <c r="B1757" s="197"/>
      <c r="C1757" s="197"/>
      <c r="D1757" s="20"/>
      <c r="E1757" s="20"/>
    </row>
    <row r="1758">
      <c r="A1758" s="196" t="str">
        <f>IFERROR(__xludf.DUMMYFUNCTION("""COMPUTED_VALUE"""),"Ambassador")</f>
        <v>Ambassador</v>
      </c>
      <c r="B1758" s="197"/>
      <c r="C1758" s="197"/>
      <c r="D1758" s="20"/>
      <c r="E1758" s="20"/>
    </row>
    <row r="1759">
      <c r="A1759" s="196"/>
      <c r="B1759" s="197"/>
      <c r="C1759" s="197"/>
      <c r="D1759" s="20"/>
      <c r="E1759" s="20"/>
    </row>
    <row r="1760">
      <c r="A1760" s="196"/>
      <c r="B1760" s="197"/>
      <c r="C1760" s="197"/>
      <c r="D1760" s="20"/>
      <c r="E1760" s="20"/>
    </row>
    <row r="1761">
      <c r="A1761" s="196"/>
      <c r="B1761" s="197"/>
      <c r="C1761" s="197"/>
      <c r="D1761" s="20"/>
      <c r="E1761" s="20"/>
    </row>
    <row r="1762">
      <c r="A1762" s="196" t="str">
        <f>IFERROR(__xludf.DUMMYFUNCTION("""COMPUTED_VALUE"""),"Bloodthrone")</f>
        <v>Bloodthrone</v>
      </c>
      <c r="B1762" s="197"/>
      <c r="C1762" s="197"/>
      <c r="D1762" s="20"/>
      <c r="E1762" s="20"/>
    </row>
    <row r="1763">
      <c r="A1763" s="196" t="str">
        <f>IFERROR(__xludf.DUMMYFUNCTION("""COMPUTED_VALUE"""),"Sovereign")</f>
        <v>Sovereign</v>
      </c>
      <c r="B1763" s="197"/>
      <c r="C1763" s="197"/>
      <c r="D1763" s="20"/>
      <c r="E1763" s="20"/>
    </row>
    <row r="1764">
      <c r="A1764" s="196"/>
      <c r="B1764" s="197"/>
      <c r="C1764" s="197"/>
      <c r="D1764" s="20"/>
      <c r="E1764" s="20"/>
    </row>
    <row r="1765">
      <c r="A1765" s="196"/>
      <c r="B1765" s="197"/>
      <c r="C1765" s="197"/>
      <c r="D1765" s="20"/>
      <c r="E1765" s="20"/>
    </row>
    <row r="1766">
      <c r="A1766" s="196"/>
      <c r="B1766" s="197"/>
      <c r="C1766" s="197"/>
      <c r="D1766" s="20"/>
      <c r="E1766" s="20"/>
    </row>
    <row r="1767">
      <c r="A1767" s="196" t="str">
        <f>IFERROR(__xludf.DUMMYFUNCTION("""COMPUTED_VALUE"""),"Emissary")</f>
        <v>Emissary</v>
      </c>
      <c r="B1767" s="197"/>
      <c r="C1767" s="197"/>
      <c r="D1767" s="20"/>
      <c r="E1767" s="20"/>
    </row>
    <row r="1768">
      <c r="A1768" s="196" t="str">
        <f>IFERROR(__xludf.DUMMYFUNCTION("""COMPUTED_VALUE"""),"of")</f>
        <v>of</v>
      </c>
      <c r="B1768" s="197"/>
      <c r="C1768" s="197"/>
      <c r="D1768" s="20"/>
      <c r="E1768" s="20"/>
    </row>
    <row r="1769">
      <c r="A1769" s="196" t="str">
        <f>IFERROR(__xludf.DUMMYFUNCTION("""COMPUTED_VALUE"""),"Darkness")</f>
        <v>Darkness</v>
      </c>
      <c r="B1769" s="197"/>
      <c r="C1769" s="197"/>
      <c r="D1769" s="20"/>
      <c r="E1769" s="20"/>
    </row>
    <row r="1770">
      <c r="A1770" s="196"/>
      <c r="B1770" s="197"/>
      <c r="C1770" s="197"/>
      <c r="D1770" s="20"/>
      <c r="E1770" s="20"/>
    </row>
    <row r="1771">
      <c r="A1771" s="196"/>
      <c r="B1771" s="197"/>
      <c r="C1771" s="197"/>
      <c r="D1771" s="20"/>
      <c r="E1771" s="20"/>
    </row>
    <row r="1772">
      <c r="A1772" s="196" t="str">
        <f>IFERROR(__xludf.DUMMYFUNCTION("""COMPUTED_VALUE"""),"Forsaken")</f>
        <v>Forsaken</v>
      </c>
      <c r="B1772" s="197"/>
      <c r="C1772" s="197"/>
      <c r="D1772" s="20"/>
      <c r="E1772" s="20"/>
    </row>
    <row r="1773">
      <c r="A1773" s="196" t="str">
        <f>IFERROR(__xludf.DUMMYFUNCTION("""COMPUTED_VALUE"""),"Chronicler")</f>
        <v>Chronicler</v>
      </c>
      <c r="B1773" s="197"/>
      <c r="C1773" s="197"/>
      <c r="D1773" s="20"/>
      <c r="E1773" s="20"/>
    </row>
    <row r="1774">
      <c r="A1774" s="196"/>
      <c r="B1774" s="197"/>
      <c r="C1774" s="197"/>
      <c r="D1774" s="20"/>
      <c r="E1774" s="20"/>
    </row>
    <row r="1775">
      <c r="A1775" s="196"/>
      <c r="B1775" s="197"/>
      <c r="C1775" s="197"/>
      <c r="D1775" s="20"/>
      <c r="E1775" s="20"/>
    </row>
    <row r="1776">
      <c r="A1776" s="196"/>
      <c r="B1776" s="197"/>
      <c r="C1776" s="197"/>
      <c r="D1776" s="20"/>
      <c r="E1776" s="20"/>
    </row>
    <row r="1777">
      <c r="A1777" s="196" t="str">
        <f>IFERROR(__xludf.DUMMYFUNCTION("""COMPUTED_VALUE"""),"Forsaken")</f>
        <v>Forsaken</v>
      </c>
      <c r="B1777" s="197"/>
      <c r="C1777" s="197"/>
      <c r="D1777" s="20"/>
      <c r="E1777" s="20"/>
    </row>
    <row r="1778">
      <c r="A1778" s="196" t="str">
        <f>IFERROR(__xludf.DUMMYFUNCTION("""COMPUTED_VALUE"""),"Serenader")</f>
        <v>Serenader</v>
      </c>
      <c r="B1778" s="197"/>
      <c r="C1778" s="197"/>
      <c r="D1778" s="20"/>
      <c r="E1778" s="20"/>
    </row>
    <row r="1779">
      <c r="A1779" s="196"/>
      <c r="B1779" s="197"/>
      <c r="C1779" s="197"/>
      <c r="D1779" s="20"/>
      <c r="E1779" s="20"/>
    </row>
    <row r="1780">
      <c r="A1780" s="196"/>
      <c r="B1780" s="197"/>
      <c r="C1780" s="197"/>
      <c r="D1780" s="20"/>
      <c r="E1780" s="20"/>
    </row>
    <row r="1781">
      <c r="A1781" s="196"/>
      <c r="B1781" s="197"/>
      <c r="C1781" s="197"/>
      <c r="D1781" s="20"/>
      <c r="E1781" s="20"/>
    </row>
    <row r="1782">
      <c r="A1782" s="196" t="str">
        <f>IFERROR(__xludf.DUMMYFUNCTION("""COMPUTED_VALUE"""),"Foul")</f>
        <v>Foul</v>
      </c>
      <c r="B1782" s="197"/>
      <c r="C1782" s="197"/>
      <c r="D1782" s="20"/>
      <c r="E1782" s="20"/>
    </row>
    <row r="1783">
      <c r="A1783" s="196" t="str">
        <f>IFERROR(__xludf.DUMMYFUNCTION("""COMPUTED_VALUE"""),"Corruptor")</f>
        <v>Corruptor</v>
      </c>
      <c r="B1783" s="197"/>
      <c r="C1783" s="197"/>
      <c r="D1783" s="20"/>
      <c r="E1783" s="20"/>
    </row>
    <row r="1784">
      <c r="A1784" s="196"/>
      <c r="B1784" s="197"/>
      <c r="C1784" s="197"/>
      <c r="D1784" s="20"/>
      <c r="E1784" s="20"/>
    </row>
    <row r="1785">
      <c r="A1785" s="196"/>
      <c r="B1785" s="197"/>
      <c r="C1785" s="197"/>
      <c r="D1785" s="20"/>
      <c r="E1785" s="20"/>
    </row>
    <row r="1786">
      <c r="A1786" s="196"/>
      <c r="B1786" s="197"/>
      <c r="C1786" s="197"/>
      <c r="D1786" s="20"/>
      <c r="E1786" s="20"/>
    </row>
    <row r="1787">
      <c r="A1787" s="196" t="str">
        <f>IFERROR(__xludf.DUMMYFUNCTION("""COMPUTED_VALUE"""),"Ghoulflesh")</f>
        <v>Ghoulflesh</v>
      </c>
      <c r="B1787" s="197"/>
      <c r="C1787" s="197"/>
      <c r="D1787" s="20"/>
      <c r="E1787" s="20"/>
    </row>
    <row r="1788">
      <c r="A1788" s="196" t="str">
        <f>IFERROR(__xludf.DUMMYFUNCTION("""COMPUTED_VALUE"""),"Devourer")</f>
        <v>Devourer</v>
      </c>
      <c r="B1788" s="197"/>
      <c r="C1788" s="197"/>
      <c r="D1788" s="20"/>
      <c r="E1788" s="20"/>
    </row>
    <row r="1789">
      <c r="A1789" s="196"/>
      <c r="B1789" s="197"/>
      <c r="C1789" s="197"/>
      <c r="D1789" s="20"/>
      <c r="E1789" s="20"/>
    </row>
    <row r="1790">
      <c r="A1790" s="196"/>
      <c r="B1790" s="197"/>
      <c r="C1790" s="197"/>
      <c r="D1790" s="20"/>
      <c r="E1790" s="20"/>
    </row>
    <row r="1791">
      <c r="A1791" s="196"/>
      <c r="B1791" s="197"/>
      <c r="C1791" s="197"/>
      <c r="D1791" s="20"/>
      <c r="E1791" s="20"/>
    </row>
    <row r="1792">
      <c r="A1792" s="196" t="str">
        <f>IFERROR(__xludf.DUMMYFUNCTION("""COMPUTED_VALUE"""),"Grinning")</f>
        <v>Grinning</v>
      </c>
      <c r="B1792" s="197"/>
      <c r="C1792" s="197"/>
      <c r="D1792" s="20"/>
      <c r="E1792" s="20"/>
    </row>
    <row r="1793">
      <c r="A1793" s="196" t="str">
        <f>IFERROR(__xludf.DUMMYFUNCTION("""COMPUTED_VALUE"""),"Amphora")</f>
        <v>Amphora</v>
      </c>
      <c r="B1793" s="197"/>
      <c r="C1793" s="197"/>
      <c r="D1793" s="20"/>
      <c r="E1793" s="20"/>
    </row>
    <row r="1794">
      <c r="A1794" s="196"/>
      <c r="B1794" s="197"/>
      <c r="C1794" s="197"/>
      <c r="D1794" s="20"/>
      <c r="E1794" s="20"/>
    </row>
    <row r="1795">
      <c r="A1795" s="196"/>
      <c r="B1795" s="197"/>
      <c r="C1795" s="197"/>
      <c r="D1795" s="20"/>
      <c r="E1795" s="20"/>
    </row>
    <row r="1796">
      <c r="A1796" s="196"/>
      <c r="B1796" s="197"/>
      <c r="C1796" s="197"/>
      <c r="D1796" s="20"/>
      <c r="E1796" s="20"/>
    </row>
    <row r="1797">
      <c r="A1797" s="196" t="str">
        <f>IFERROR(__xludf.DUMMYFUNCTION("""COMPUTED_VALUE"""),"Intrusive")</f>
        <v>Intrusive</v>
      </c>
      <c r="B1797" s="197"/>
      <c r="C1797" s="197"/>
      <c r="D1797" s="20"/>
      <c r="E1797" s="20"/>
    </row>
    <row r="1798">
      <c r="A1798" s="196" t="str">
        <f>IFERROR(__xludf.DUMMYFUNCTION("""COMPUTED_VALUE"""),"Advisor")</f>
        <v>Advisor</v>
      </c>
      <c r="B1798" s="197"/>
      <c r="C1798" s="197"/>
      <c r="D1798" s="20"/>
      <c r="E1798" s="20"/>
    </row>
    <row r="1799">
      <c r="A1799" s="196"/>
      <c r="B1799" s="197"/>
      <c r="C1799" s="197"/>
      <c r="D1799" s="20"/>
      <c r="E1799" s="20"/>
    </row>
    <row r="1800">
      <c r="A1800" s="196"/>
      <c r="B1800" s="197"/>
      <c r="C1800" s="197"/>
      <c r="D1800" s="20"/>
      <c r="E1800" s="20"/>
    </row>
    <row r="1801">
      <c r="A1801" s="196"/>
      <c r="B1801" s="197"/>
      <c r="C1801" s="197"/>
      <c r="D1801" s="20"/>
      <c r="E1801" s="20"/>
    </row>
    <row r="1802">
      <c r="A1802" s="196" t="str">
        <f>IFERROR(__xludf.DUMMYFUNCTION("""COMPUTED_VALUE"""),"Guardian")</f>
        <v>Guardian</v>
      </c>
      <c r="B1802" s="197"/>
      <c r="C1802" s="197"/>
      <c r="D1802" s="20"/>
      <c r="E1802" s="20"/>
    </row>
    <row r="1803">
      <c r="A1803" s="196" t="str">
        <f>IFERROR(__xludf.DUMMYFUNCTION("""COMPUTED_VALUE"""),"of")</f>
        <v>of</v>
      </c>
      <c r="B1803" s="197"/>
      <c r="C1803" s="197"/>
      <c r="D1803" s="20"/>
      <c r="E1803" s="20"/>
    </row>
    <row r="1804">
      <c r="A1804" s="196" t="str">
        <f>IFERROR(__xludf.DUMMYFUNCTION("""COMPUTED_VALUE"""),"Heaven")</f>
        <v>Heaven</v>
      </c>
      <c r="B1804" s="197"/>
      <c r="C1804" s="197"/>
      <c r="D1804" s="20"/>
      <c r="E1804" s="20"/>
    </row>
    <row r="1805">
      <c r="A1805" s="196"/>
      <c r="B1805" s="197"/>
      <c r="C1805" s="197"/>
      <c r="D1805" s="20"/>
      <c r="E1805" s="20"/>
    </row>
    <row r="1806">
      <c r="A1806" s="196"/>
      <c r="B1806" s="197"/>
      <c r="C1806" s="197"/>
      <c r="D1806" s="20"/>
      <c r="E1806" s="20"/>
    </row>
    <row r="1807">
      <c r="A1807" s="196" t="str">
        <f>IFERROR(__xludf.DUMMYFUNCTION("""COMPUTED_VALUE"""),"Bringer")</f>
        <v>Bringer</v>
      </c>
      <c r="B1807" s="197"/>
      <c r="C1807" s="197"/>
      <c r="D1807" s="20"/>
      <c r="E1807" s="20"/>
    </row>
    <row r="1808">
      <c r="A1808" s="196" t="str">
        <f>IFERROR(__xludf.DUMMYFUNCTION("""COMPUTED_VALUE"""),"of")</f>
        <v>of</v>
      </c>
      <c r="B1808" s="197"/>
      <c r="C1808" s="197"/>
      <c r="D1808" s="20"/>
      <c r="E1808" s="20"/>
    </row>
    <row r="1809">
      <c r="A1809" s="196" t="str">
        <f>IFERROR(__xludf.DUMMYFUNCTION("""COMPUTED_VALUE"""),"Pestilence")</f>
        <v>Pestilence</v>
      </c>
      <c r="B1809" s="197"/>
      <c r="C1809" s="197"/>
      <c r="D1809" s="20"/>
      <c r="E1809" s="20"/>
    </row>
    <row r="1810">
      <c r="A1810" s="196"/>
      <c r="B1810" s="197"/>
      <c r="C1810" s="197"/>
      <c r="D1810" s="20"/>
      <c r="E1810" s="20"/>
    </row>
    <row r="1811">
      <c r="A1811" s="196"/>
      <c r="B1811" s="197"/>
      <c r="C1811" s="197"/>
      <c r="D1811" s="20"/>
      <c r="E1811" s="20"/>
    </row>
    <row r="1812">
      <c r="A1812" s="196" t="str">
        <f>IFERROR(__xludf.DUMMYFUNCTION("""COMPUTED_VALUE"""),"Crazed")</f>
        <v>Crazed</v>
      </c>
      <c r="B1812" s="197"/>
      <c r="C1812" s="197"/>
      <c r="D1812" s="20"/>
      <c r="E1812" s="20"/>
    </row>
    <row r="1813">
      <c r="A1813" s="196" t="str">
        <f>IFERROR(__xludf.DUMMYFUNCTION("""COMPUTED_VALUE"""),"Acolyte")</f>
        <v>Acolyte</v>
      </c>
      <c r="B1813" s="197"/>
      <c r="C1813" s="197"/>
      <c r="D1813" s="20"/>
      <c r="E1813" s="20"/>
    </row>
    <row r="1814">
      <c r="A1814" s="196"/>
      <c r="B1814" s="197"/>
      <c r="C1814" s="197"/>
      <c r="D1814" s="20"/>
      <c r="E1814" s="20"/>
    </row>
    <row r="1815">
      <c r="A1815" s="196"/>
      <c r="B1815" s="197"/>
      <c r="C1815" s="197"/>
      <c r="D1815" s="20"/>
      <c r="E1815" s="20"/>
    </row>
    <row r="1816">
      <c r="A1816" s="196"/>
      <c r="B1816" s="197"/>
      <c r="C1816" s="197"/>
      <c r="D1816" s="20"/>
      <c r="E1816" s="20"/>
    </row>
    <row r="1817">
      <c r="A1817" s="196" t="str">
        <f>IFERROR(__xludf.DUMMYFUNCTION("""COMPUTED_VALUE"""),"Haze")</f>
        <v>Haze</v>
      </c>
      <c r="B1817" s="197"/>
      <c r="C1817" s="197"/>
      <c r="D1817" s="20"/>
      <c r="E1817" s="20"/>
    </row>
    <row r="1818">
      <c r="A1818" s="196" t="str">
        <f>IFERROR(__xludf.DUMMYFUNCTION("""COMPUTED_VALUE"""),"Hermit")</f>
        <v>Hermit</v>
      </c>
      <c r="B1818" s="197"/>
      <c r="C1818" s="197"/>
      <c r="D1818" s="20"/>
      <c r="E1818" s="20"/>
    </row>
    <row r="1819">
      <c r="A1819" s="196"/>
      <c r="B1819" s="197"/>
      <c r="C1819" s="197"/>
      <c r="D1819" s="20"/>
      <c r="E1819" s="20"/>
    </row>
    <row r="1820">
      <c r="A1820" s="196"/>
      <c r="B1820" s="197"/>
      <c r="C1820" s="197"/>
      <c r="D1820" s="20"/>
      <c r="E1820" s="20"/>
    </row>
    <row r="1821">
      <c r="A1821" s="196"/>
      <c r="B1821" s="197"/>
      <c r="C1821" s="197"/>
      <c r="D1821" s="20"/>
      <c r="E1821" s="20"/>
    </row>
    <row r="1822">
      <c r="A1822" s="196" t="str">
        <f>IFERROR(__xludf.DUMMYFUNCTION("""COMPUTED_VALUE"""),"Ancient")</f>
        <v>Ancient</v>
      </c>
      <c r="B1822" s="197"/>
      <c r="C1822" s="197"/>
      <c r="D1822" s="20"/>
      <c r="E1822" s="20"/>
    </row>
    <row r="1823">
      <c r="A1823" s="196" t="str">
        <f>IFERROR(__xludf.DUMMYFUNCTION("""COMPUTED_VALUE"""),"Lamp")</f>
        <v>Lamp</v>
      </c>
      <c r="B1823" s="197"/>
      <c r="C1823" s="197"/>
      <c r="D1823" s="20"/>
      <c r="E1823" s="20"/>
    </row>
    <row r="1824">
      <c r="A1824" s="196"/>
      <c r="B1824" s="197"/>
      <c r="C1824" s="197"/>
      <c r="D1824" s="20"/>
      <c r="E1824" s="20"/>
    </row>
    <row r="1825">
      <c r="A1825" s="196"/>
      <c r="B1825" s="197"/>
      <c r="C1825" s="197"/>
      <c r="D1825" s="20"/>
      <c r="E1825" s="20"/>
    </row>
    <row r="1826">
      <c r="A1826" s="196"/>
      <c r="B1826" s="197"/>
      <c r="C1826" s="197"/>
      <c r="D1826" s="20"/>
      <c r="E1826" s="20"/>
    </row>
    <row r="1827">
      <c r="A1827" s="196" t="str">
        <f>IFERROR(__xludf.DUMMYFUNCTION("""COMPUTED_VALUE"""),"Oblivion")</f>
        <v>Oblivion</v>
      </c>
      <c r="B1827" s="197"/>
      <c r="C1827" s="197"/>
      <c r="D1827" s="20"/>
      <c r="E1827" s="20"/>
    </row>
    <row r="1828">
      <c r="A1828" s="196"/>
      <c r="B1828" s="197"/>
      <c r="C1828" s="197"/>
      <c r="D1828" s="20"/>
      <c r="E1828" s="20"/>
    </row>
    <row r="1829">
      <c r="A1829" s="196"/>
      <c r="B1829" s="197"/>
      <c r="C1829" s="197"/>
      <c r="D1829" s="20"/>
      <c r="E1829" s="20"/>
    </row>
    <row r="1830">
      <c r="A1830" s="196"/>
      <c r="B1830" s="197"/>
      <c r="C1830" s="197"/>
      <c r="D1830" s="20"/>
      <c r="E1830" s="20"/>
    </row>
    <row r="1831">
      <c r="A1831" s="196"/>
      <c r="B1831" s="197"/>
      <c r="C1831" s="197"/>
      <c r="D1831" s="20"/>
      <c r="E1831" s="20"/>
    </row>
    <row r="1832">
      <c r="A1832" s="196" t="str">
        <f>IFERROR(__xludf.DUMMYFUNCTION("""COMPUTED_VALUE"""),"Sovereign")</f>
        <v>Sovereign</v>
      </c>
      <c r="B1832" s="197"/>
      <c r="C1832" s="197"/>
      <c r="D1832" s="20"/>
      <c r="E1832" s="20"/>
    </row>
    <row r="1833">
      <c r="A1833" s="196" t="str">
        <f>IFERROR(__xludf.DUMMYFUNCTION("""COMPUTED_VALUE"""),"of")</f>
        <v>of</v>
      </c>
      <c r="B1833" s="197"/>
      <c r="C1833" s="197"/>
      <c r="D1833" s="20"/>
      <c r="E1833" s="20"/>
    </row>
    <row r="1834">
      <c r="A1834" s="196" t="str">
        <f>IFERROR(__xludf.DUMMYFUNCTION("""COMPUTED_VALUE"""),"the")</f>
        <v>the</v>
      </c>
      <c r="B1834" s="197"/>
      <c r="C1834" s="197"/>
      <c r="D1834" s="20"/>
      <c r="E1834" s="20"/>
    </row>
    <row r="1835">
      <c r="A1835" s="196" t="str">
        <f>IFERROR(__xludf.DUMMYFUNCTION("""COMPUTED_VALUE"""),"Rejuvenating")</f>
        <v>Rejuvenating</v>
      </c>
      <c r="B1835" s="197"/>
      <c r="C1835" s="197"/>
      <c r="D1835" s="20"/>
      <c r="E1835" s="20"/>
    </row>
    <row r="1836">
      <c r="A1836" s="196" t="str">
        <f>IFERROR(__xludf.DUMMYFUNCTION("""COMPUTED_VALUE"""),"Springs")</f>
        <v>Springs</v>
      </c>
      <c r="B1836" s="197"/>
      <c r="C1836" s="197"/>
      <c r="D1836" s="20"/>
      <c r="E1836" s="20"/>
    </row>
    <row r="1837">
      <c r="A1837" s="196" t="str">
        <f>IFERROR(__xludf.DUMMYFUNCTION("""COMPUTED_VALUE"""),"Pegasus")</f>
        <v>Pegasus</v>
      </c>
      <c r="B1837" s="197"/>
      <c r="C1837" s="197"/>
      <c r="D1837" s="20"/>
      <c r="E1837" s="20"/>
    </row>
    <row r="1838">
      <c r="A1838" s="196"/>
      <c r="B1838" s="197"/>
      <c r="C1838" s="197"/>
      <c r="D1838" s="20"/>
      <c r="E1838" s="20"/>
    </row>
    <row r="1839">
      <c r="A1839" s="196"/>
      <c r="B1839" s="197"/>
      <c r="C1839" s="197"/>
      <c r="D1839" s="20"/>
      <c r="E1839" s="20"/>
    </row>
    <row r="1840">
      <c r="A1840" s="196"/>
      <c r="B1840" s="197"/>
      <c r="C1840" s="197"/>
      <c r="D1840" s="20"/>
      <c r="E1840" s="20"/>
    </row>
    <row r="1841">
      <c r="A1841" s="196"/>
      <c r="B1841" s="197"/>
      <c r="C1841" s="197"/>
      <c r="D1841" s="20"/>
      <c r="E1841" s="20"/>
    </row>
    <row r="1842">
      <c r="A1842" s="196" t="str">
        <f>IFERROR(__xludf.DUMMYFUNCTION("""COMPUTED_VALUE"""),"Blinking")</f>
        <v>Blinking</v>
      </c>
      <c r="B1842" s="197"/>
      <c r="C1842" s="197"/>
      <c r="D1842" s="20"/>
      <c r="E1842" s="20"/>
    </row>
    <row r="1843">
      <c r="A1843" s="196" t="str">
        <f>IFERROR(__xludf.DUMMYFUNCTION("""COMPUTED_VALUE"""),"Onyxion")</f>
        <v>Onyxion</v>
      </c>
      <c r="B1843" s="197"/>
      <c r="C1843" s="197"/>
      <c r="D1843" s="20"/>
      <c r="E1843" s="20"/>
    </row>
    <row r="1844">
      <c r="A1844" s="196"/>
      <c r="B1844" s="197"/>
      <c r="C1844" s="197"/>
      <c r="D1844" s="20"/>
      <c r="E1844" s="20"/>
    </row>
    <row r="1845">
      <c r="A1845" s="196"/>
      <c r="B1845" s="197"/>
      <c r="C1845" s="197"/>
      <c r="D1845" s="20"/>
      <c r="E1845" s="20"/>
    </row>
    <row r="1846">
      <c r="A1846" s="196"/>
      <c r="B1846" s="197"/>
      <c r="C1846" s="197"/>
      <c r="D1846" s="20"/>
      <c r="E1846" s="20"/>
    </row>
    <row r="1847">
      <c r="A1847" s="196" t="str">
        <f>IFERROR(__xludf.DUMMYFUNCTION("""COMPUTED_VALUE"""),"Dragon")</f>
        <v>Dragon</v>
      </c>
      <c r="B1847" s="197"/>
      <c r="C1847" s="197"/>
      <c r="D1847" s="20"/>
      <c r="E1847" s="20"/>
    </row>
    <row r="1848">
      <c r="A1848" s="196" t="str">
        <f>IFERROR(__xludf.DUMMYFUNCTION("""COMPUTED_VALUE"""),"Queen")</f>
        <v>Queen</v>
      </c>
      <c r="B1848" s="197"/>
      <c r="C1848" s="197"/>
      <c r="D1848" s="20"/>
      <c r="E1848" s="20"/>
    </row>
    <row r="1849">
      <c r="A1849" s="196" t="str">
        <f>IFERROR(__xludf.DUMMYFUNCTION("""COMPUTED_VALUE"""),"Thalis")</f>
        <v>Thalis</v>
      </c>
      <c r="B1849" s="197"/>
      <c r="C1849" s="197"/>
      <c r="D1849" s="20"/>
      <c r="E1849" s="20"/>
    </row>
    <row r="1850">
      <c r="A1850" s="196"/>
      <c r="B1850" s="197"/>
      <c r="C1850" s="197"/>
      <c r="D1850" s="20"/>
      <c r="E1850" s="20"/>
    </row>
    <row r="1851">
      <c r="A1851" s="196"/>
      <c r="B1851" s="197"/>
      <c r="C1851" s="197"/>
      <c r="D1851" s="20"/>
      <c r="E1851" s="20"/>
    </row>
    <row r="1852">
      <c r="A1852" s="196" t="str">
        <f>IFERROR(__xludf.DUMMYFUNCTION("""COMPUTED_VALUE"""),"Fuming")</f>
        <v>Fuming</v>
      </c>
      <c r="B1852" s="197"/>
      <c r="C1852" s="197"/>
      <c r="D1852" s="20"/>
      <c r="E1852" s="20"/>
    </row>
    <row r="1853">
      <c r="A1853" s="196" t="str">
        <f>IFERROR(__xludf.DUMMYFUNCTION("""COMPUTED_VALUE"""),"Fukuisaur")</f>
        <v>Fukuisaur</v>
      </c>
      <c r="B1853" s="197"/>
      <c r="C1853" s="197"/>
      <c r="D1853" s="20"/>
      <c r="E1853" s="20"/>
    </row>
    <row r="1854">
      <c r="A1854" s="196"/>
      <c r="B1854" s="197"/>
      <c r="C1854" s="197"/>
      <c r="D1854" s="20"/>
      <c r="E1854" s="20"/>
    </row>
    <row r="1855">
      <c r="A1855" s="196"/>
      <c r="B1855" s="197"/>
      <c r="C1855" s="197"/>
      <c r="D1855" s="20"/>
      <c r="E1855" s="20"/>
    </row>
    <row r="1856">
      <c r="A1856" s="196"/>
      <c r="B1856" s="197"/>
      <c r="C1856" s="197"/>
      <c r="D1856" s="20"/>
      <c r="E1856" s="20"/>
    </row>
    <row r="1857">
      <c r="A1857" s="196" t="str">
        <f>IFERROR(__xludf.DUMMYFUNCTION("""COMPUTED_VALUE"""),"Spreading")</f>
        <v>Spreading</v>
      </c>
      <c r="B1857" s="197"/>
      <c r="C1857" s="197"/>
      <c r="D1857" s="20"/>
      <c r="E1857" s="20"/>
    </row>
    <row r="1858">
      <c r="A1858" s="196" t="str">
        <f>IFERROR(__xludf.DUMMYFUNCTION("""COMPUTED_VALUE"""),"Spore")</f>
        <v>Spore</v>
      </c>
      <c r="B1858" s="197"/>
      <c r="C1858" s="197"/>
      <c r="D1858" s="20"/>
      <c r="E1858" s="20"/>
    </row>
    <row r="1859">
      <c r="A1859" s="196"/>
      <c r="B1859" s="197"/>
      <c r="C1859" s="197"/>
      <c r="D1859" s="20"/>
      <c r="E1859" s="20"/>
    </row>
    <row r="1860">
      <c r="A1860" s="196"/>
      <c r="B1860" s="197"/>
      <c r="C1860" s="197"/>
      <c r="D1860" s="20"/>
      <c r="E1860" s="20"/>
    </row>
    <row r="1861">
      <c r="A1861" s="196"/>
      <c r="B1861" s="197"/>
      <c r="C1861" s="197"/>
      <c r="D1861" s="20"/>
      <c r="E1861" s="20"/>
    </row>
    <row r="1862">
      <c r="A1862" s="196" t="str">
        <f>IFERROR(__xludf.DUMMYFUNCTION("""COMPUTED_VALUE"""),"Nightmare")</f>
        <v>Nightmare</v>
      </c>
      <c r="B1862" s="197"/>
      <c r="C1862" s="197"/>
      <c r="D1862" s="20"/>
      <c r="E1862" s="20"/>
    </row>
    <row r="1863">
      <c r="A1863" s="196" t="str">
        <f>IFERROR(__xludf.DUMMYFUNCTION("""COMPUTED_VALUE"""),"Creeper")</f>
        <v>Creeper</v>
      </c>
      <c r="B1863" s="197"/>
      <c r="C1863" s="197"/>
      <c r="D1863" s="20"/>
      <c r="E1863" s="20"/>
    </row>
    <row r="1864">
      <c r="A1864" s="196"/>
      <c r="B1864" s="197"/>
      <c r="C1864" s="197"/>
      <c r="D1864" s="20"/>
      <c r="E1864" s="20"/>
    </row>
    <row r="1865">
      <c r="A1865" s="196"/>
      <c r="B1865" s="197"/>
      <c r="C1865" s="197"/>
      <c r="D1865" s="20"/>
      <c r="E1865" s="20"/>
    </row>
    <row r="1866">
      <c r="A1866" s="196"/>
      <c r="B1866" s="197"/>
      <c r="C1866" s="197"/>
      <c r="D1866" s="20"/>
      <c r="E1866" s="20"/>
    </row>
    <row r="1867">
      <c r="A1867" s="196" t="str">
        <f>IFERROR(__xludf.DUMMYFUNCTION("""COMPUTED_VALUE"""),"Chapel")</f>
        <v>Chapel</v>
      </c>
      <c r="B1867" s="197"/>
      <c r="C1867" s="197"/>
      <c r="D1867" s="20"/>
      <c r="E1867" s="20"/>
    </row>
    <row r="1868">
      <c r="A1868" s="196" t="str">
        <f>IFERROR(__xludf.DUMMYFUNCTION("""COMPUTED_VALUE"""),"Watcher")</f>
        <v>Watcher</v>
      </c>
      <c r="B1868" s="197"/>
      <c r="C1868" s="197"/>
      <c r="D1868" s="20"/>
      <c r="E1868" s="20"/>
    </row>
    <row r="1869">
      <c r="A1869" s="196"/>
      <c r="B1869" s="197"/>
      <c r="C1869" s="197"/>
      <c r="D1869" s="20"/>
      <c r="E1869" s="20"/>
    </row>
    <row r="1870">
      <c r="A1870" s="196"/>
      <c r="B1870" s="197"/>
      <c r="C1870" s="197"/>
      <c r="D1870" s="20"/>
      <c r="E1870" s="20"/>
    </row>
    <row r="1871">
      <c r="A1871" s="196"/>
      <c r="B1871" s="197"/>
      <c r="C1871" s="197"/>
      <c r="D1871" s="20"/>
      <c r="E1871" s="20"/>
    </row>
    <row r="1872">
      <c r="A1872" s="196" t="str">
        <f>IFERROR(__xludf.DUMMYFUNCTION("""COMPUTED_VALUE"""),"Luring")</f>
        <v>Luring</v>
      </c>
      <c r="B1872" s="197"/>
      <c r="C1872" s="197"/>
      <c r="D1872" s="20"/>
      <c r="E1872" s="20"/>
    </row>
    <row r="1873">
      <c r="A1873" s="196" t="str">
        <f>IFERROR(__xludf.DUMMYFUNCTION("""COMPUTED_VALUE"""),"Flametooth")</f>
        <v>Flametooth</v>
      </c>
      <c r="B1873" s="197"/>
      <c r="C1873" s="197"/>
      <c r="D1873" s="20"/>
      <c r="E1873" s="20"/>
    </row>
    <row r="1874">
      <c r="A1874" s="196"/>
      <c r="B1874" s="197"/>
      <c r="C1874" s="197"/>
      <c r="D1874" s="20"/>
      <c r="E1874" s="20"/>
    </row>
    <row r="1875">
      <c r="A1875" s="196"/>
      <c r="B1875" s="197"/>
      <c r="C1875" s="197"/>
      <c r="D1875" s="20"/>
      <c r="E1875" s="20"/>
    </row>
    <row r="1876">
      <c r="A1876" s="196"/>
      <c r="B1876" s="197"/>
      <c r="C1876" s="197"/>
      <c r="D1876" s="20"/>
      <c r="E1876" s="20"/>
    </row>
    <row r="1877">
      <c r="A1877" s="196" t="str">
        <f>IFERROR(__xludf.DUMMYFUNCTION("""COMPUTED_VALUE"""),"Shardsplosion")</f>
        <v>Shardsplosion</v>
      </c>
      <c r="B1877" s="197"/>
      <c r="C1877" s="197"/>
      <c r="D1877" s="20"/>
      <c r="E1877" s="20"/>
    </row>
    <row r="1878">
      <c r="A1878" s="196"/>
      <c r="B1878" s="197"/>
      <c r="C1878" s="197"/>
      <c r="D1878" s="20"/>
      <c r="E1878" s="20"/>
    </row>
    <row r="1879">
      <c r="A1879" s="196"/>
      <c r="B1879" s="197"/>
      <c r="C1879" s="197"/>
      <c r="D1879" s="20"/>
      <c r="E1879" s="20"/>
    </row>
    <row r="1880">
      <c r="A1880" s="196"/>
      <c r="B1880" s="197"/>
      <c r="C1880" s="197"/>
      <c r="D1880" s="20"/>
      <c r="E1880" s="20"/>
    </row>
    <row r="1881">
      <c r="A1881" s="196"/>
      <c r="B1881" s="197"/>
      <c r="C1881" s="197"/>
      <c r="D1881" s="20"/>
      <c r="E1881" s="20"/>
    </row>
    <row r="1882">
      <c r="A1882" s="196" t="str">
        <f>IFERROR(__xludf.DUMMYFUNCTION("""COMPUTED_VALUE"""),"Dragoncaller")</f>
        <v>Dragoncaller</v>
      </c>
      <c r="B1882" s="197"/>
      <c r="C1882" s="197"/>
      <c r="D1882" s="20"/>
      <c r="E1882" s="20"/>
    </row>
    <row r="1883">
      <c r="A1883" s="196"/>
      <c r="B1883" s="197"/>
      <c r="C1883" s="197"/>
      <c r="D1883" s="20"/>
      <c r="E1883" s="20"/>
    </row>
    <row r="1884">
      <c r="A1884" s="196"/>
      <c r="B1884" s="197"/>
      <c r="C1884" s="197"/>
      <c r="D1884" s="20"/>
      <c r="E1884" s="20"/>
    </row>
    <row r="1885">
      <c r="A1885" s="196"/>
      <c r="B1885" s="197"/>
      <c r="C1885" s="197"/>
      <c r="D1885" s="20"/>
      <c r="E1885" s="20"/>
    </row>
    <row r="1886">
      <c r="A1886" s="196"/>
      <c r="B1886" s="197"/>
      <c r="C1886" s="197"/>
      <c r="D1886" s="20"/>
      <c r="E1886" s="20"/>
    </row>
    <row r="1887">
      <c r="A1887" s="196" t="str">
        <f>IFERROR(__xludf.DUMMYFUNCTION("""COMPUTED_VALUE"""),"Stalagmite")</f>
        <v>Stalagmite</v>
      </c>
      <c r="B1887" s="197"/>
      <c r="C1887" s="197"/>
      <c r="D1887" s="20"/>
      <c r="E1887" s="20"/>
    </row>
    <row r="1888">
      <c r="A1888" s="196" t="str">
        <f>IFERROR(__xludf.DUMMYFUNCTION("""COMPUTED_VALUE"""),"Twin")</f>
        <v>Twin</v>
      </c>
      <c r="B1888" s="197"/>
      <c r="C1888" s="197"/>
      <c r="D1888" s="20"/>
      <c r="E1888" s="20"/>
    </row>
    <row r="1889">
      <c r="A1889" s="196"/>
      <c r="B1889" s="197"/>
      <c r="C1889" s="197"/>
      <c r="D1889" s="20"/>
      <c r="E1889" s="20"/>
    </row>
    <row r="1890">
      <c r="A1890" s="196"/>
      <c r="B1890" s="197"/>
      <c r="C1890" s="197"/>
      <c r="D1890" s="20"/>
      <c r="E1890" s="20"/>
    </row>
    <row r="1891">
      <c r="A1891" s="196"/>
      <c r="B1891" s="197"/>
      <c r="C1891" s="197"/>
      <c r="D1891" s="20"/>
      <c r="E1891" s="20"/>
    </row>
    <row r="1892">
      <c r="A1892" s="196" t="str">
        <f>IFERROR(__xludf.DUMMYFUNCTION("""COMPUTED_VALUE"""),"Desert")</f>
        <v>Desert</v>
      </c>
      <c r="B1892" s="197"/>
      <c r="C1892" s="197"/>
      <c r="D1892" s="20"/>
      <c r="E1892" s="20"/>
    </row>
    <row r="1893">
      <c r="A1893" s="196" t="str">
        <f>IFERROR(__xludf.DUMMYFUNCTION("""COMPUTED_VALUE"""),"Mirage")</f>
        <v>Mirage</v>
      </c>
      <c r="B1893" s="197"/>
      <c r="C1893" s="197"/>
      <c r="D1893" s="20"/>
      <c r="E1893" s="20"/>
    </row>
    <row r="1894">
      <c r="A1894" s="196"/>
      <c r="B1894" s="197"/>
      <c r="C1894" s="197"/>
      <c r="D1894" s="20"/>
      <c r="E1894" s="20"/>
    </row>
    <row r="1895">
      <c r="A1895" s="196"/>
      <c r="B1895" s="197"/>
      <c r="C1895" s="197"/>
      <c r="D1895" s="20"/>
      <c r="E1895" s="20"/>
    </row>
    <row r="1896">
      <c r="A1896" s="196"/>
      <c r="B1896" s="197"/>
      <c r="C1896" s="197"/>
      <c r="D1896" s="20"/>
      <c r="E1896" s="20"/>
    </row>
    <row r="1897">
      <c r="A1897" s="196" t="str">
        <f>IFERROR(__xludf.DUMMYFUNCTION("""COMPUTED_VALUE"""),"Heavenbound")</f>
        <v>Heavenbound</v>
      </c>
      <c r="B1897" s="197"/>
      <c r="C1897" s="197"/>
      <c r="D1897" s="20"/>
      <c r="E1897" s="20"/>
    </row>
    <row r="1898">
      <c r="A1898" s="196" t="str">
        <f>IFERROR(__xludf.DUMMYFUNCTION("""COMPUTED_VALUE"""),"Heka-Mage")</f>
        <v>Heka-Mage</v>
      </c>
      <c r="B1898" s="197"/>
      <c r="C1898" s="197"/>
      <c r="D1898" s="20"/>
      <c r="E1898" s="20"/>
    </row>
    <row r="1899">
      <c r="A1899" s="196"/>
      <c r="B1899" s="197"/>
      <c r="C1899" s="197"/>
      <c r="D1899" s="20"/>
      <c r="E1899" s="20"/>
    </row>
    <row r="1900">
      <c r="A1900" s="196"/>
      <c r="B1900" s="197"/>
      <c r="C1900" s="197"/>
      <c r="D1900" s="20"/>
      <c r="E1900" s="20"/>
    </row>
    <row r="1901">
      <c r="A1901" s="196"/>
      <c r="B1901" s="197"/>
      <c r="C1901" s="197"/>
      <c r="D1901" s="20"/>
      <c r="E1901" s="20"/>
    </row>
    <row r="1902">
      <c r="A1902" s="196" t="str">
        <f>IFERROR(__xludf.DUMMYFUNCTION("""COMPUTED_VALUE"""),"Twilight")</f>
        <v>Twilight</v>
      </c>
      <c r="B1902" s="197"/>
      <c r="C1902" s="197"/>
      <c r="D1902" s="20"/>
      <c r="E1902" s="20"/>
    </row>
    <row r="1903">
      <c r="A1903" s="196" t="str">
        <f>IFERROR(__xludf.DUMMYFUNCTION("""COMPUTED_VALUE"""),"Sorceress")</f>
        <v>Sorceress</v>
      </c>
      <c r="B1903" s="197"/>
      <c r="C1903" s="197"/>
      <c r="D1903" s="20"/>
      <c r="E1903" s="20"/>
    </row>
    <row r="1904">
      <c r="A1904" s="196"/>
      <c r="B1904" s="197"/>
      <c r="C1904" s="197"/>
      <c r="D1904" s="20"/>
      <c r="E1904" s="20"/>
    </row>
    <row r="1905">
      <c r="A1905" s="196"/>
      <c r="B1905" s="197"/>
      <c r="C1905" s="197"/>
      <c r="D1905" s="20"/>
      <c r="E1905" s="20"/>
    </row>
    <row r="1906">
      <c r="A1906" s="196"/>
      <c r="B1906" s="197"/>
      <c r="C1906" s="197"/>
      <c r="D1906" s="20"/>
      <c r="E1906" s="20"/>
    </row>
    <row r="1907">
      <c r="A1907" s="196" t="str">
        <f>IFERROR(__xludf.DUMMYFUNCTION("""COMPUTED_VALUE"""),"Twinfang")</f>
        <v>Twinfang</v>
      </c>
      <c r="B1907" s="197"/>
      <c r="C1907" s="197"/>
      <c r="D1907" s="20"/>
      <c r="E1907" s="20"/>
    </row>
    <row r="1908">
      <c r="A1908" s="196" t="str">
        <f>IFERROR(__xludf.DUMMYFUNCTION("""COMPUTED_VALUE"""),"Huntcaller")</f>
        <v>Huntcaller</v>
      </c>
      <c r="B1908" s="197"/>
      <c r="C1908" s="197"/>
      <c r="D1908" s="20"/>
      <c r="E1908" s="20"/>
    </row>
    <row r="1909">
      <c r="A1909" s="196"/>
      <c r="B1909" s="197"/>
      <c r="C1909" s="197"/>
      <c r="D1909" s="20"/>
      <c r="E1909" s="20"/>
    </row>
    <row r="1910">
      <c r="A1910" s="196"/>
      <c r="B1910" s="197"/>
      <c r="C1910" s="197"/>
      <c r="D1910" s="20"/>
      <c r="E1910" s="20"/>
    </row>
    <row r="1911">
      <c r="A1911" s="196"/>
      <c r="B1911" s="197"/>
      <c r="C1911" s="197"/>
      <c r="D1911" s="20"/>
      <c r="E1911" s="20"/>
    </row>
    <row r="1912">
      <c r="A1912" s="196" t="str">
        <f>IFERROR(__xludf.DUMMYFUNCTION("""COMPUTED_VALUE"""),"Vanguard")</f>
        <v>Vanguard</v>
      </c>
      <c r="B1912" s="197"/>
      <c r="C1912" s="197"/>
      <c r="D1912" s="20"/>
      <c r="E1912" s="20"/>
    </row>
    <row r="1913">
      <c r="A1913" s="196" t="str">
        <f>IFERROR(__xludf.DUMMYFUNCTION("""COMPUTED_VALUE"""),"Diviner")</f>
        <v>Diviner</v>
      </c>
      <c r="B1913" s="197"/>
      <c r="C1913" s="197"/>
      <c r="D1913" s="20"/>
      <c r="E1913" s="20"/>
    </row>
    <row r="1914">
      <c r="A1914" s="196"/>
      <c r="B1914" s="197"/>
      <c r="C1914" s="197"/>
      <c r="D1914" s="20"/>
      <c r="E1914" s="20"/>
    </row>
    <row r="1915">
      <c r="A1915" s="196"/>
      <c r="B1915" s="197"/>
      <c r="C1915" s="197"/>
      <c r="D1915" s="20"/>
      <c r="E1915" s="20"/>
    </row>
    <row r="1916">
      <c r="A1916" s="196"/>
      <c r="B1916" s="197"/>
      <c r="C1916" s="197"/>
      <c r="D1916" s="20"/>
      <c r="E1916" s="20"/>
    </row>
    <row r="1917">
      <c r="A1917" s="196" t="str">
        <f>IFERROR(__xludf.DUMMYFUNCTION("""COMPUTED_VALUE"""),"#VALUE!")</f>
        <v>#VALUE!</v>
      </c>
      <c r="B1917" s="197"/>
      <c r="C1917" s="197"/>
      <c r="D1917" s="20"/>
      <c r="E1917" s="20"/>
    </row>
    <row r="1918">
      <c r="A1918" s="196"/>
      <c r="B1918" s="197"/>
      <c r="C1918" s="197"/>
      <c r="D1918" s="20"/>
      <c r="E1918" s="20"/>
    </row>
    <row r="1919">
      <c r="A1919" s="196"/>
      <c r="B1919" s="197"/>
      <c r="C1919" s="197"/>
      <c r="D1919" s="20"/>
      <c r="E1919" s="20"/>
    </row>
    <row r="1920">
      <c r="A1920" s="196"/>
      <c r="B1920" s="197"/>
      <c r="C1920" s="197"/>
      <c r="D1920" s="20"/>
      <c r="E1920" s="20"/>
    </row>
    <row r="1921">
      <c r="A1921" s="196"/>
      <c r="B1921" s="197"/>
      <c r="C1921" s="197"/>
      <c r="D1921" s="20"/>
      <c r="E1921" s="20"/>
    </row>
    <row r="1922">
      <c r="A1922" s="196" t="str">
        <f>IFERROR(__xludf.DUMMYFUNCTION("""COMPUTED_VALUE"""),"Behemoth")</f>
        <v>Behemoth</v>
      </c>
      <c r="B1922" s="197"/>
      <c r="C1922" s="197"/>
      <c r="D1922" s="20"/>
      <c r="E1922" s="20"/>
    </row>
    <row r="1923">
      <c r="A1923" s="196" t="str">
        <f>IFERROR(__xludf.DUMMYFUNCTION("""COMPUTED_VALUE"""),"Guider")</f>
        <v>Guider</v>
      </c>
      <c r="B1923" s="197"/>
      <c r="C1923" s="197"/>
      <c r="D1923" s="20"/>
      <c r="E1923" s="20"/>
    </row>
    <row r="1924">
      <c r="A1924" s="196"/>
      <c r="B1924" s="197"/>
      <c r="C1924" s="197"/>
      <c r="D1924" s="20"/>
      <c r="E1924" s="20"/>
    </row>
    <row r="1925">
      <c r="A1925" s="196"/>
      <c r="B1925" s="197"/>
      <c r="C1925" s="197"/>
      <c r="D1925" s="20"/>
      <c r="E1925" s="20"/>
    </row>
    <row r="1926">
      <c r="A1926" s="196"/>
      <c r="B1926" s="197"/>
      <c r="C1926" s="197"/>
      <c r="D1926" s="20"/>
      <c r="E1926" s="20"/>
    </row>
    <row r="1927">
      <c r="A1927" s="196" t="str">
        <f>IFERROR(__xludf.DUMMYFUNCTION("""COMPUTED_VALUE"""),"The")</f>
        <v>The</v>
      </c>
      <c r="B1927" s="197"/>
      <c r="C1927" s="197"/>
      <c r="D1927" s="20"/>
      <c r="E1927" s="20"/>
    </row>
    <row r="1928">
      <c r="A1928" s="196" t="str">
        <f>IFERROR(__xludf.DUMMYFUNCTION("""COMPUTED_VALUE"""),"Yesterknight")</f>
        <v>Yesterknight</v>
      </c>
      <c r="B1928" s="197"/>
      <c r="C1928" s="197"/>
      <c r="D1928" s="20"/>
      <c r="E1928" s="20"/>
    </row>
    <row r="1929">
      <c r="A1929" s="196"/>
      <c r="B1929" s="197"/>
      <c r="C1929" s="197"/>
      <c r="D1929" s="20"/>
      <c r="E1929" s="20"/>
    </row>
    <row r="1930">
      <c r="A1930" s="196"/>
      <c r="B1930" s="197"/>
      <c r="C1930" s="197"/>
      <c r="D1930" s="20"/>
      <c r="E1930" s="20"/>
    </row>
    <row r="1931">
      <c r="A1931" s="196"/>
      <c r="B1931" s="197"/>
      <c r="C1931" s="197"/>
      <c r="D1931" s="20"/>
      <c r="E1931" s="20"/>
    </row>
    <row r="1932">
      <c r="A1932" s="196" t="str">
        <f>IFERROR(__xludf.DUMMYFUNCTION("""COMPUTED_VALUE"""),"Young")</f>
        <v>Young</v>
      </c>
      <c r="B1932" s="197"/>
      <c r="C1932" s="197"/>
      <c r="D1932" s="20"/>
      <c r="E1932" s="20"/>
    </row>
    <row r="1933">
      <c r="A1933" s="196" t="str">
        <f>IFERROR(__xludf.DUMMYFUNCTION("""COMPUTED_VALUE"""),"Alchemist")</f>
        <v>Alchemist</v>
      </c>
      <c r="B1933" s="197"/>
      <c r="C1933" s="197"/>
      <c r="D1933" s="20"/>
      <c r="E1933" s="20"/>
    </row>
    <row r="1934">
      <c r="A1934" s="196"/>
      <c r="B1934" s="197"/>
      <c r="C1934" s="197"/>
      <c r="D1934" s="20"/>
      <c r="E1934" s="20"/>
    </row>
    <row r="1935">
      <c r="A1935" s="196"/>
      <c r="B1935" s="197"/>
      <c r="C1935" s="197"/>
      <c r="D1935" s="20"/>
      <c r="E1935" s="20"/>
    </row>
    <row r="1936">
      <c r="A1936" s="196"/>
      <c r="B1936" s="197"/>
      <c r="C1936" s="197"/>
      <c r="D1936" s="20"/>
      <c r="E1936" s="20"/>
    </row>
    <row r="1937">
      <c r="A1937" s="196" t="str">
        <f>IFERROR(__xludf.DUMMYFUNCTION("""COMPUTED_VALUE"""),"Mirrorkin")</f>
        <v>Mirrorkin</v>
      </c>
      <c r="B1937" s="197"/>
      <c r="C1937" s="197"/>
      <c r="D1937" s="20"/>
      <c r="E1937" s="20"/>
    </row>
    <row r="1938">
      <c r="A1938" s="196"/>
      <c r="B1938" s="197"/>
      <c r="C1938" s="197"/>
      <c r="D1938" s="20"/>
      <c r="E1938" s="20"/>
    </row>
    <row r="1939">
      <c r="A1939" s="196"/>
      <c r="B1939" s="197"/>
      <c r="C1939" s="197"/>
      <c r="D1939" s="20"/>
      <c r="E1939" s="20"/>
    </row>
    <row r="1940">
      <c r="A1940" s="196"/>
      <c r="B1940" s="197"/>
      <c r="C1940" s="197"/>
      <c r="D1940" s="20"/>
      <c r="E1940" s="20"/>
    </row>
    <row r="1941">
      <c r="A1941" s="196"/>
      <c r="B1941" s="197"/>
      <c r="C1941" s="197"/>
      <c r="D1941" s="20"/>
      <c r="E1941" s="20"/>
    </row>
    <row r="1942">
      <c r="A1942" s="196" t="str">
        <f>IFERROR(__xludf.DUMMYFUNCTION("""COMPUTED_VALUE"""),"Ticking")</f>
        <v>Ticking</v>
      </c>
      <c r="B1942" s="197"/>
      <c r="C1942" s="197"/>
      <c r="D1942" s="20"/>
      <c r="E1942" s="20"/>
    </row>
    <row r="1943">
      <c r="A1943" s="196" t="str">
        <f>IFERROR(__xludf.DUMMYFUNCTION("""COMPUTED_VALUE"""),"Tick")</f>
        <v>Tick</v>
      </c>
      <c r="B1943" s="197"/>
      <c r="C1943" s="197"/>
      <c r="D1943" s="20"/>
      <c r="E1943" s="20"/>
    </row>
    <row r="1944">
      <c r="A1944" s="196"/>
      <c r="B1944" s="197"/>
      <c r="C1944" s="197"/>
      <c r="D1944" s="20"/>
      <c r="E1944" s="20"/>
    </row>
    <row r="1945">
      <c r="A1945" s="196"/>
      <c r="B1945" s="197"/>
      <c r="C1945" s="197"/>
      <c r="D1945" s="20"/>
      <c r="E1945" s="20"/>
    </row>
    <row r="1946">
      <c r="A1946" s="196"/>
      <c r="B1946" s="197"/>
      <c r="C1946" s="197"/>
      <c r="D1946" s="20"/>
      <c r="E1946" s="20"/>
    </row>
    <row r="1947">
      <c r="A1947" s="196" t="str">
        <f>IFERROR(__xludf.DUMMYFUNCTION("""COMPUTED_VALUE"""),"Blue")</f>
        <v>Blue</v>
      </c>
      <c r="B1947" s="197"/>
      <c r="C1947" s="197"/>
      <c r="D1947" s="20"/>
      <c r="E1947" s="20"/>
    </row>
    <row r="1948">
      <c r="A1948" s="196" t="str">
        <f>IFERROR(__xludf.DUMMYFUNCTION("""COMPUTED_VALUE"""),"Sucker")</f>
        <v>Sucker</v>
      </c>
      <c r="B1948" s="197"/>
      <c r="C1948" s="197"/>
      <c r="D1948" s="20"/>
      <c r="E1948" s="20"/>
    </row>
    <row r="1949">
      <c r="A1949" s="196"/>
      <c r="B1949" s="197"/>
      <c r="C1949" s="197"/>
      <c r="D1949" s="20"/>
      <c r="E1949" s="20"/>
    </row>
    <row r="1950">
      <c r="A1950" s="196"/>
      <c r="B1950" s="197"/>
      <c r="C1950" s="197"/>
      <c r="D1950" s="20"/>
      <c r="E1950" s="20"/>
    </row>
    <row r="1951">
      <c r="A1951" s="196"/>
      <c r="B1951" s="197"/>
      <c r="C1951" s="197"/>
      <c r="D1951" s="20"/>
      <c r="E1951" s="20"/>
    </row>
    <row r="1952">
      <c r="A1952" s="196" t="str">
        <f>IFERROR(__xludf.DUMMYFUNCTION("""COMPUTED_VALUE"""),"Green")</f>
        <v>Green</v>
      </c>
      <c r="B1952" s="197"/>
      <c r="C1952" s="197"/>
      <c r="D1952" s="20"/>
      <c r="E1952" s="20"/>
    </row>
    <row r="1953">
      <c r="A1953" s="196" t="str">
        <f>IFERROR(__xludf.DUMMYFUNCTION("""COMPUTED_VALUE"""),"Sucker")</f>
        <v>Sucker</v>
      </c>
      <c r="B1953" s="197"/>
      <c r="C1953" s="197"/>
      <c r="D1953" s="20"/>
      <c r="E1953" s="20"/>
    </row>
    <row r="1954">
      <c r="A1954" s="196"/>
      <c r="B1954" s="197"/>
      <c r="C1954" s="197"/>
      <c r="D1954" s="20"/>
      <c r="E1954" s="20"/>
    </row>
    <row r="1955">
      <c r="A1955" s="196"/>
      <c r="B1955" s="197"/>
      <c r="C1955" s="197"/>
      <c r="D1955" s="20"/>
      <c r="E1955" s="20"/>
    </row>
    <row r="1956">
      <c r="A1956" s="196"/>
      <c r="B1956" s="197"/>
      <c r="C1956" s="197"/>
      <c r="D1956" s="20"/>
      <c r="E1956" s="20"/>
    </row>
    <row r="1957">
      <c r="A1957" s="196" t="str">
        <f>IFERROR(__xludf.DUMMYFUNCTION("""COMPUTED_VALUE"""),"Yellow")</f>
        <v>Yellow</v>
      </c>
      <c r="B1957" s="197"/>
      <c r="C1957" s="197"/>
      <c r="D1957" s="20"/>
      <c r="E1957" s="20"/>
    </row>
    <row r="1958">
      <c r="A1958" s="196" t="str">
        <f>IFERROR(__xludf.DUMMYFUNCTION("""COMPUTED_VALUE"""),"Sucker")</f>
        <v>Sucker</v>
      </c>
      <c r="B1958" s="197"/>
      <c r="C1958" s="197"/>
      <c r="D1958" s="20"/>
      <c r="E1958" s="20"/>
    </row>
    <row r="1959">
      <c r="A1959" s="196"/>
      <c r="B1959" s="197"/>
      <c r="C1959" s="197"/>
      <c r="D1959" s="20"/>
      <c r="E1959" s="20"/>
    </row>
    <row r="1960">
      <c r="A1960" s="196"/>
      <c r="B1960" s="197"/>
      <c r="C1960" s="197"/>
      <c r="D1960" s="20"/>
      <c r="E1960" s="20"/>
    </row>
    <row r="1961">
      <c r="A1961" s="196"/>
      <c r="B1961" s="197"/>
      <c r="C1961" s="197"/>
      <c r="D1961" s="20"/>
      <c r="E1961" s="20"/>
    </row>
    <row r="1962">
      <c r="A1962" s="196" t="str">
        <f>IFERROR(__xludf.DUMMYFUNCTION("""COMPUTED_VALUE"""),"Purple")</f>
        <v>Purple</v>
      </c>
      <c r="B1962" s="197"/>
      <c r="C1962" s="197"/>
      <c r="D1962" s="20"/>
      <c r="E1962" s="20"/>
    </row>
    <row r="1963">
      <c r="A1963" s="196" t="str">
        <f>IFERROR(__xludf.DUMMYFUNCTION("""COMPUTED_VALUE"""),"Sucker")</f>
        <v>Sucker</v>
      </c>
      <c r="B1963" s="197"/>
      <c r="C1963" s="197"/>
      <c r="D1963" s="20"/>
      <c r="E1963" s="20"/>
    </row>
    <row r="1964">
      <c r="A1964" s="196"/>
      <c r="B1964" s="197"/>
      <c r="C1964" s="197"/>
      <c r="D1964" s="20"/>
      <c r="E1964" s="20"/>
    </row>
    <row r="1965">
      <c r="A1965" s="196"/>
      <c r="B1965" s="197"/>
      <c r="C1965" s="197"/>
      <c r="D1965" s="20"/>
      <c r="E1965" s="20"/>
    </row>
    <row r="1966">
      <c r="A1966" s="196"/>
      <c r="B1966" s="197"/>
      <c r="C1966" s="197"/>
      <c r="D1966" s="20"/>
      <c r="E1966" s="20"/>
    </row>
    <row r="1967">
      <c r="A1967" s="196" t="str">
        <f>IFERROR(__xludf.DUMMYFUNCTION("""COMPUTED_VALUE"""),"Red")</f>
        <v>Red</v>
      </c>
      <c r="B1967" s="197"/>
      <c r="C1967" s="197"/>
      <c r="D1967" s="20"/>
      <c r="E1967" s="20"/>
    </row>
    <row r="1968">
      <c r="A1968" s="196" t="str">
        <f>IFERROR(__xludf.DUMMYFUNCTION("""COMPUTED_VALUE"""),"Sucker")</f>
        <v>Sucker</v>
      </c>
      <c r="B1968" s="197"/>
      <c r="C1968" s="197"/>
      <c r="D1968" s="20"/>
      <c r="E1968" s="20"/>
    </row>
    <row r="1969">
      <c r="A1969" s="196"/>
      <c r="B1969" s="197"/>
      <c r="C1969" s="197"/>
      <c r="D1969" s="20"/>
      <c r="E1969" s="20"/>
    </row>
    <row r="1970">
      <c r="A1970" s="196"/>
      <c r="B1970" s="197"/>
      <c r="C1970" s="197"/>
      <c r="D1970" s="20"/>
      <c r="E1970" s="20"/>
    </row>
    <row r="1971">
      <c r="A1971" s="196"/>
      <c r="B1971" s="197"/>
      <c r="C1971" s="197"/>
      <c r="D1971" s="20"/>
      <c r="E1971" s="20"/>
    </row>
    <row r="1972">
      <c r="A1972" s="196" t="str">
        <f>IFERROR(__xludf.DUMMYFUNCTION("""COMPUTED_VALUE"""),"Twilight")</f>
        <v>Twilight</v>
      </c>
      <c r="B1972" s="197"/>
      <c r="C1972" s="197"/>
      <c r="D1972" s="20"/>
      <c r="E1972" s="20"/>
    </row>
    <row r="1973">
      <c r="A1973" s="196" t="str">
        <f>IFERROR(__xludf.DUMMYFUNCTION("""COMPUTED_VALUE"""),"Conduit")</f>
        <v>Conduit</v>
      </c>
      <c r="B1973" s="197"/>
      <c r="C1973" s="197"/>
      <c r="D1973" s="20"/>
      <c r="E1973" s="20"/>
    </row>
    <row r="1974">
      <c r="A1974" s="196"/>
      <c r="B1974" s="197"/>
      <c r="C1974" s="197"/>
      <c r="D1974" s="20"/>
      <c r="E1974" s="20"/>
    </row>
    <row r="1975">
      <c r="A1975" s="196"/>
      <c r="B1975" s="197"/>
      <c r="C1975" s="197"/>
      <c r="D1975" s="20"/>
      <c r="E1975" s="20"/>
    </row>
    <row r="1976">
      <c r="A1976" s="196"/>
      <c r="B1976" s="197"/>
      <c r="C1976" s="197"/>
      <c r="D1976" s="20"/>
      <c r="E1976" s="20"/>
    </row>
    <row r="1977">
      <c r="A1977" s="196" t="str">
        <f>IFERROR(__xludf.DUMMYFUNCTION("""COMPUTED_VALUE"""),"Shaman")</f>
        <v>Shaman</v>
      </c>
      <c r="B1977" s="197"/>
      <c r="C1977" s="197"/>
      <c r="D1977" s="20"/>
      <c r="E1977" s="20"/>
    </row>
    <row r="1978">
      <c r="A1978" s="196" t="str">
        <f>IFERROR(__xludf.DUMMYFUNCTION("""COMPUTED_VALUE"""),"of")</f>
        <v>of</v>
      </c>
      <c r="B1978" s="197"/>
      <c r="C1978" s="197"/>
      <c r="D1978" s="20"/>
      <c r="E1978" s="20"/>
    </row>
    <row r="1979">
      <c r="A1979" s="196" t="str">
        <f>IFERROR(__xludf.DUMMYFUNCTION("""COMPUTED_VALUE"""),"the")</f>
        <v>the</v>
      </c>
      <c r="B1979" s="197"/>
      <c r="C1979" s="197"/>
      <c r="D1979" s="20"/>
      <c r="E1979" s="20"/>
    </row>
    <row r="1980">
      <c r="A1980" s="196" t="str">
        <f>IFERROR(__xludf.DUMMYFUNCTION("""COMPUTED_VALUE"""),"Scale")</f>
        <v>Scale</v>
      </c>
      <c r="B1980" s="197"/>
      <c r="C1980" s="197"/>
      <c r="D1980" s="20"/>
      <c r="E1980" s="20"/>
    </row>
    <row r="1981">
      <c r="A1981" s="196"/>
      <c r="B1981" s="197"/>
      <c r="C1981" s="197"/>
      <c r="D1981" s="20"/>
      <c r="E1981" s="20"/>
    </row>
    <row r="1982">
      <c r="A1982" s="196" t="str">
        <f>IFERROR(__xludf.DUMMYFUNCTION("""COMPUTED_VALUE"""),"Nethersilk")</f>
        <v>Nethersilk</v>
      </c>
      <c r="B1982" s="197"/>
      <c r="C1982" s="197"/>
      <c r="D1982" s="20"/>
      <c r="E1982" s="20"/>
    </row>
    <row r="1983">
      <c r="A1983" s="196" t="str">
        <f>IFERROR(__xludf.DUMMYFUNCTION("""COMPUTED_VALUE"""),"Moth")</f>
        <v>Moth</v>
      </c>
      <c r="B1983" s="197"/>
      <c r="C1983" s="197"/>
      <c r="D1983" s="20"/>
      <c r="E1983" s="20"/>
    </row>
    <row r="1984">
      <c r="A1984" s="196"/>
      <c r="B1984" s="197"/>
      <c r="C1984" s="197"/>
      <c r="D1984" s="20"/>
      <c r="E1984" s="20"/>
    </row>
    <row r="1985">
      <c r="A1985" s="196"/>
      <c r="B1985" s="197"/>
      <c r="C1985" s="197"/>
      <c r="D1985" s="20"/>
      <c r="E1985" s="20"/>
    </row>
    <row r="1986">
      <c r="A1986" s="196"/>
      <c r="B1986" s="197"/>
      <c r="C1986" s="197"/>
      <c r="D1986" s="20"/>
      <c r="E1986" s="20"/>
    </row>
    <row r="1987">
      <c r="A1987" s="196" t="str">
        <f>IFERROR(__xludf.DUMMYFUNCTION("""COMPUTED_VALUE"""),"Nightmare")</f>
        <v>Nightmare</v>
      </c>
      <c r="B1987" s="197"/>
      <c r="C1987" s="197"/>
      <c r="D1987" s="20"/>
      <c r="E1987" s="20"/>
    </row>
    <row r="1988">
      <c r="A1988" s="196" t="str">
        <f>IFERROR(__xludf.DUMMYFUNCTION("""COMPUTED_VALUE"""),"Penguin")</f>
        <v>Penguin</v>
      </c>
      <c r="B1988" s="197"/>
      <c r="C1988" s="197"/>
      <c r="D1988" s="20"/>
      <c r="E1988" s="20"/>
    </row>
    <row r="1989">
      <c r="A1989" s="196"/>
      <c r="B1989" s="197"/>
      <c r="C1989" s="197"/>
      <c r="D1989" s="20"/>
      <c r="E1989" s="20"/>
    </row>
    <row r="1990">
      <c r="A1990" s="196"/>
      <c r="B1990" s="197"/>
      <c r="C1990" s="197"/>
      <c r="D1990" s="20"/>
      <c r="E1990" s="20"/>
    </row>
    <row r="1991">
      <c r="A1991" s="196"/>
      <c r="B1991" s="197"/>
      <c r="C1991" s="197"/>
      <c r="D1991" s="20"/>
      <c r="E1991" s="20"/>
    </row>
    <row r="1992">
      <c r="A1992" s="196" t="str">
        <f>IFERROR(__xludf.DUMMYFUNCTION("""COMPUTED_VALUE"""),"Possessed")</f>
        <v>Possessed</v>
      </c>
      <c r="B1992" s="197"/>
      <c r="C1992" s="197"/>
      <c r="D1992" s="20"/>
      <c r="E1992" s="20"/>
    </row>
    <row r="1993">
      <c r="A1993" s="196" t="str">
        <f>IFERROR(__xludf.DUMMYFUNCTION("""COMPUTED_VALUE"""),"Vermin")</f>
        <v>Vermin</v>
      </c>
      <c r="B1993" s="197"/>
      <c r="C1993" s="197"/>
      <c r="D1993" s="20"/>
      <c r="E1993" s="20"/>
    </row>
    <row r="1994">
      <c r="A1994" s="196" t="str">
        <f>IFERROR(__xludf.DUMMYFUNCTION("""COMPUTED_VALUE"""),"Brood")</f>
        <v>Brood</v>
      </c>
      <c r="B1994" s="197"/>
      <c r="C1994" s="197"/>
      <c r="D1994" s="20"/>
      <c r="E1994" s="20"/>
    </row>
    <row r="1995">
      <c r="A1995" s="196"/>
      <c r="B1995" s="197"/>
      <c r="C1995" s="197"/>
      <c r="D1995" s="20"/>
      <c r="E1995" s="20"/>
    </row>
    <row r="1996">
      <c r="A1996" s="196"/>
      <c r="B1996" s="197"/>
      <c r="C1996" s="197"/>
      <c r="D1996" s="20"/>
      <c r="E1996" s="20"/>
    </row>
    <row r="1997">
      <c r="A1997" s="196" t="str">
        <f>IFERROR(__xludf.DUMMYFUNCTION("""COMPUTED_VALUE"""),"Shadowsting")</f>
        <v>Shadowsting</v>
      </c>
      <c r="B1997" s="197"/>
      <c r="C1997" s="197"/>
      <c r="D1997" s="20"/>
      <c r="E1997" s="20"/>
    </row>
    <row r="1998">
      <c r="A1998" s="196" t="str">
        <f>IFERROR(__xludf.DUMMYFUNCTION("""COMPUTED_VALUE"""),"Scorpion")</f>
        <v>Scorpion</v>
      </c>
      <c r="B1998" s="197"/>
      <c r="C1998" s="197"/>
      <c r="D1998" s="20"/>
      <c r="E1998" s="20"/>
    </row>
    <row r="1999">
      <c r="A1999" s="196"/>
      <c r="B1999" s="197"/>
      <c r="C1999" s="197"/>
      <c r="D1999" s="20"/>
      <c r="E1999" s="20"/>
    </row>
    <row r="2000">
      <c r="A2000" s="196"/>
      <c r="B2000" s="197"/>
      <c r="C2000" s="197"/>
      <c r="D2000" s="20"/>
      <c r="E2000" s="20"/>
    </row>
    <row r="2001">
      <c r="A2001" s="196"/>
      <c r="B2001" s="197"/>
      <c r="C2001" s="197"/>
      <c r="D2001" s="20"/>
      <c r="E2001" s="20"/>
    </row>
    <row r="2002">
      <c r="A2002" s="196" t="str">
        <f>IFERROR(__xludf.DUMMYFUNCTION("""COMPUTED_VALUE"""),"Shiverskull")</f>
        <v>Shiverskull</v>
      </c>
      <c r="B2002" s="197"/>
      <c r="C2002" s="197"/>
      <c r="D2002" s="20"/>
      <c r="E2002" s="20"/>
    </row>
    <row r="2003">
      <c r="A2003" s="196"/>
      <c r="B2003" s="197"/>
      <c r="C2003" s="197"/>
      <c r="D2003" s="20"/>
      <c r="E2003" s="20"/>
    </row>
    <row r="2004">
      <c r="A2004" s="196"/>
      <c r="B2004" s="197"/>
      <c r="C2004" s="197"/>
      <c r="D2004" s="20"/>
      <c r="E2004" s="20"/>
    </row>
    <row r="2005">
      <c r="A2005" s="196"/>
      <c r="B2005" s="197"/>
      <c r="C2005" s="197"/>
      <c r="D2005" s="20"/>
      <c r="E2005" s="20"/>
    </row>
    <row r="2006">
      <c r="A2006" s="196"/>
      <c r="B2006" s="197"/>
      <c r="C2006" s="197"/>
      <c r="D2006" s="20"/>
      <c r="E2006" s="20"/>
    </row>
    <row r="2007">
      <c r="A2007" s="196" t="str">
        <f>IFERROR(__xludf.DUMMYFUNCTION("""COMPUTED_VALUE"""),"Skull")</f>
        <v>Skull</v>
      </c>
      <c r="B2007" s="197"/>
      <c r="C2007" s="197"/>
      <c r="D2007" s="20"/>
      <c r="E2007" s="20"/>
    </row>
    <row r="2008">
      <c r="A2008" s="196" t="str">
        <f>IFERROR(__xludf.DUMMYFUNCTION("""COMPUTED_VALUE"""),"Crow")</f>
        <v>Crow</v>
      </c>
      <c r="B2008" s="197"/>
      <c r="C2008" s="197"/>
      <c r="D2008" s="20"/>
      <c r="E2008" s="20"/>
    </row>
    <row r="2009">
      <c r="A2009" s="196"/>
      <c r="B2009" s="197"/>
      <c r="C2009" s="197"/>
      <c r="D2009" s="20"/>
      <c r="E2009" s="20"/>
    </row>
    <row r="2010">
      <c r="A2010" s="196"/>
      <c r="B2010" s="197"/>
      <c r="C2010" s="197"/>
      <c r="D2010" s="20"/>
      <c r="E2010" s="20"/>
    </row>
    <row r="2011">
      <c r="A2011" s="196"/>
      <c r="B2011" s="197"/>
      <c r="C2011" s="197"/>
      <c r="D2011" s="20"/>
      <c r="E2011" s="20"/>
    </row>
    <row r="2012">
      <c r="A2012" s="196" t="str">
        <f>IFERROR(__xludf.DUMMYFUNCTION("""COMPUTED_VALUE"""),"Symbiotic")</f>
        <v>Symbiotic</v>
      </c>
      <c r="B2012" s="197"/>
      <c r="C2012" s="197"/>
      <c r="D2012" s="20"/>
      <c r="E2012" s="20"/>
    </row>
    <row r="2013">
      <c r="A2013" s="196" t="str">
        <f>IFERROR(__xludf.DUMMYFUNCTION("""COMPUTED_VALUE"""),"Crawler")</f>
        <v>Crawler</v>
      </c>
      <c r="B2013" s="197"/>
      <c r="C2013" s="197"/>
      <c r="D2013" s="20"/>
      <c r="E2013" s="20"/>
    </row>
    <row r="2014">
      <c r="A2014" s="196"/>
      <c r="B2014" s="197"/>
      <c r="C2014" s="197"/>
      <c r="D2014" s="20"/>
      <c r="E2014" s="20"/>
    </row>
    <row r="2015">
      <c r="A2015" s="196"/>
      <c r="B2015" s="197"/>
      <c r="C2015" s="197"/>
      <c r="D2015" s="20"/>
      <c r="E2015" s="20"/>
    </row>
    <row r="2016">
      <c r="A2016" s="196"/>
      <c r="B2016" s="197"/>
      <c r="C2016" s="197"/>
      <c r="D2016" s="20"/>
      <c r="E2016" s="20"/>
    </row>
    <row r="2017">
      <c r="A2017" s="196" t="str">
        <f>IFERROR(__xludf.DUMMYFUNCTION("""COMPUTED_VALUE"""),"Nightreaper")</f>
        <v>Nightreaper</v>
      </c>
      <c r="B2017" s="197"/>
      <c r="C2017" s="197"/>
      <c r="D2017" s="20"/>
      <c r="E2017" s="20"/>
    </row>
    <row r="2018">
      <c r="A2018" s="196"/>
      <c r="B2018" s="197"/>
      <c r="C2018" s="197"/>
      <c r="D2018" s="20"/>
      <c r="E2018" s="20"/>
    </row>
    <row r="2019">
      <c r="A2019" s="196"/>
      <c r="B2019" s="197"/>
      <c r="C2019" s="197"/>
      <c r="D2019" s="20"/>
      <c r="E2019" s="20"/>
    </row>
    <row r="2020">
      <c r="A2020" s="196"/>
      <c r="B2020" s="197"/>
      <c r="C2020" s="197"/>
      <c r="D2020" s="20"/>
      <c r="E2020" s="20"/>
    </row>
    <row r="2021">
      <c r="A2021" s="196"/>
      <c r="B2021" s="197"/>
      <c r="C2021" s="197"/>
      <c r="D2021" s="20"/>
      <c r="E2021" s="20"/>
    </row>
    <row r="2022">
      <c r="A2022" s="196" t="str">
        <f>IFERROR(__xludf.DUMMYFUNCTION("""COMPUTED_VALUE"""),"The")</f>
        <v>The</v>
      </c>
      <c r="B2022" s="197"/>
      <c r="C2022" s="197"/>
      <c r="D2022" s="20"/>
      <c r="E2022" s="20"/>
    </row>
    <row r="2023">
      <c r="A2023" s="196" t="str">
        <f>IFERROR(__xludf.DUMMYFUNCTION("""COMPUTED_VALUE"""),"Forsaken")</f>
        <v>Forsaken</v>
      </c>
      <c r="B2023" s="197"/>
      <c r="C2023" s="197"/>
      <c r="D2023" s="20"/>
      <c r="E2023" s="20"/>
    </row>
    <row r="2024">
      <c r="A2024" s="196" t="str">
        <f>IFERROR(__xludf.DUMMYFUNCTION("""COMPUTED_VALUE"""),"King")</f>
        <v>King</v>
      </c>
      <c r="B2024" s="197"/>
      <c r="C2024" s="197"/>
      <c r="D2024" s="20"/>
      <c r="E2024" s="20"/>
    </row>
    <row r="2025">
      <c r="A2025" s="196"/>
      <c r="B2025" s="197"/>
      <c r="C2025" s="197"/>
      <c r="D2025" s="20"/>
      <c r="E2025" s="20"/>
    </row>
    <row r="2026">
      <c r="A2026" s="196"/>
      <c r="B2026" s="197"/>
      <c r="C2026" s="197"/>
      <c r="D2026" s="20"/>
      <c r="E2026" s="20"/>
    </row>
    <row r="2027">
      <c r="A2027" s="196" t="str">
        <f>IFERROR(__xludf.DUMMYFUNCTION("""COMPUTED_VALUE"""),"Gorgon")</f>
        <v>Gorgon</v>
      </c>
      <c r="B2027" s="197"/>
      <c r="C2027" s="197"/>
      <c r="D2027" s="20"/>
      <c r="E2027" s="20"/>
    </row>
    <row r="2028">
      <c r="A2028" s="196" t="str">
        <f>IFERROR(__xludf.DUMMYFUNCTION("""COMPUTED_VALUE"""),"Serpentress")</f>
        <v>Serpentress</v>
      </c>
      <c r="B2028" s="197"/>
      <c r="C2028" s="197"/>
      <c r="D2028" s="20"/>
      <c r="E2028" s="20"/>
    </row>
    <row r="2029">
      <c r="A2029" s="196"/>
      <c r="B2029" s="197"/>
      <c r="C2029" s="197"/>
      <c r="D2029" s="20"/>
      <c r="E2029" s="20"/>
    </row>
    <row r="2030">
      <c r="A2030" s="196"/>
      <c r="B2030" s="197"/>
      <c r="C2030" s="197"/>
      <c r="D2030" s="20"/>
      <c r="E2030" s="20"/>
    </row>
    <row r="2031">
      <c r="A2031" s="196"/>
      <c r="B2031" s="197"/>
      <c r="C2031" s="197"/>
      <c r="D2031" s="20"/>
      <c r="E2031" s="20"/>
    </row>
    <row r="2032">
      <c r="A2032" s="196" t="str">
        <f>IFERROR(__xludf.DUMMYFUNCTION("""COMPUTED_VALUE"""),"Ill-Tempered")</f>
        <v>Ill-Tempered</v>
      </c>
      <c r="B2032" s="197"/>
      <c r="C2032" s="197"/>
      <c r="D2032" s="20"/>
      <c r="E2032" s="20"/>
    </row>
    <row r="2033">
      <c r="A2033" s="196" t="str">
        <f>IFERROR(__xludf.DUMMYFUNCTION("""COMPUTED_VALUE"""),"Imp")</f>
        <v>Imp</v>
      </c>
      <c r="B2033" s="197"/>
      <c r="C2033" s="197"/>
      <c r="D2033" s="20"/>
      <c r="E2033" s="20"/>
    </row>
    <row r="2034">
      <c r="A2034" s="196"/>
      <c r="B2034" s="197"/>
      <c r="C2034" s="197"/>
      <c r="D2034" s="20"/>
      <c r="E2034" s="20"/>
    </row>
    <row r="2035">
      <c r="A2035" s="196"/>
      <c r="B2035" s="197"/>
      <c r="C2035" s="197"/>
      <c r="D2035" s="20"/>
      <c r="E2035" s="20"/>
    </row>
    <row r="2036">
      <c r="A2036" s="196"/>
      <c r="B2036" s="197"/>
      <c r="C2036" s="197"/>
      <c r="D2036" s="20"/>
      <c r="E2036" s="20"/>
    </row>
    <row r="2037">
      <c r="A2037" s="196" t="str">
        <f>IFERROR(__xludf.DUMMYFUNCTION("""COMPUTED_VALUE"""),"Nightbloom")</f>
        <v>Nightbloom</v>
      </c>
      <c r="B2037" s="197"/>
      <c r="C2037" s="197"/>
      <c r="D2037" s="20"/>
      <c r="E2037" s="20"/>
    </row>
    <row r="2038">
      <c r="A2038" s="196" t="str">
        <f>IFERROR(__xludf.DUMMYFUNCTION("""COMPUTED_VALUE"""),"Owl")</f>
        <v>Owl</v>
      </c>
      <c r="B2038" s="197"/>
      <c r="C2038" s="197"/>
      <c r="D2038" s="20"/>
      <c r="E2038" s="20"/>
    </row>
    <row r="2039">
      <c r="A2039" s="196"/>
      <c r="B2039" s="197"/>
      <c r="C2039" s="197"/>
      <c r="D2039" s="20"/>
      <c r="E2039" s="20"/>
    </row>
    <row r="2040">
      <c r="A2040" s="196"/>
      <c r="B2040" s="197"/>
      <c r="C2040" s="197"/>
      <c r="D2040" s="20"/>
      <c r="E2040" s="20"/>
    </row>
    <row r="2041">
      <c r="A2041" s="196"/>
      <c r="B2041" s="197"/>
      <c r="C2041" s="197"/>
      <c r="D2041" s="20"/>
      <c r="E2041" s="20"/>
    </row>
    <row r="2042">
      <c r="A2042" s="196" t="str">
        <f>IFERROR(__xludf.DUMMYFUNCTION("""COMPUTED_VALUE"""),"Shroom")</f>
        <v>Shroom</v>
      </c>
      <c r="B2042" s="197"/>
      <c r="C2042" s="197"/>
      <c r="D2042" s="20"/>
      <c r="E2042" s="20"/>
    </row>
    <row r="2043">
      <c r="A2043" s="196" t="str">
        <f>IFERROR(__xludf.DUMMYFUNCTION("""COMPUTED_VALUE"""),"Behemoth")</f>
        <v>Behemoth</v>
      </c>
      <c r="B2043" s="197"/>
      <c r="C2043" s="197"/>
      <c r="D2043" s="20"/>
      <c r="E2043" s="20"/>
    </row>
    <row r="2044">
      <c r="A2044" s="196"/>
      <c r="B2044" s="197"/>
      <c r="C2044" s="197"/>
      <c r="D2044" s="20"/>
      <c r="E2044" s="20"/>
    </row>
    <row r="2045">
      <c r="A2045" s="196"/>
      <c r="B2045" s="197"/>
      <c r="C2045" s="197"/>
      <c r="D2045" s="20"/>
      <c r="E2045" s="20"/>
    </row>
    <row r="2046">
      <c r="A2046" s="196"/>
      <c r="B2046" s="197"/>
      <c r="C2046" s="197"/>
      <c r="D2046" s="20"/>
      <c r="E2046" s="20"/>
    </row>
    <row r="2047">
      <c r="A2047" s="196" t="str">
        <f>IFERROR(__xludf.DUMMYFUNCTION("""COMPUTED_VALUE"""),"Hellblade")</f>
        <v>Hellblade</v>
      </c>
      <c r="B2047" s="197"/>
      <c r="C2047" s="197"/>
      <c r="D2047" s="20"/>
      <c r="E2047" s="20"/>
    </row>
    <row r="2048">
      <c r="A2048" s="196"/>
      <c r="B2048" s="197"/>
      <c r="C2048" s="197"/>
      <c r="D2048" s="20"/>
      <c r="E2048" s="20"/>
    </row>
    <row r="2049">
      <c r="A2049" s="196"/>
      <c r="B2049" s="197"/>
      <c r="C2049" s="197"/>
      <c r="D2049" s="20"/>
      <c r="E2049" s="20"/>
    </row>
    <row r="2050">
      <c r="A2050" s="196"/>
      <c r="B2050" s="197"/>
      <c r="C2050" s="197"/>
      <c r="D2050" s="20"/>
      <c r="E2050" s="20"/>
    </row>
    <row r="2051">
      <c r="A2051" s="196"/>
      <c r="B2051" s="197"/>
      <c r="C2051" s="197"/>
      <c r="D2051" s="20"/>
      <c r="E2051" s="20"/>
    </row>
    <row r="2052">
      <c r="A2052" s="196" t="str">
        <f>IFERROR(__xludf.DUMMYFUNCTION("""COMPUTED_VALUE"""),"Eclipse")</f>
        <v>Eclipse</v>
      </c>
      <c r="B2052" s="197"/>
      <c r="C2052" s="197"/>
      <c r="D2052" s="20"/>
      <c r="E2052" s="20"/>
    </row>
    <row r="2053">
      <c r="A2053" s="196" t="str">
        <f>IFERROR(__xludf.DUMMYFUNCTION("""COMPUTED_VALUE"""),"Dragon")</f>
        <v>Dragon</v>
      </c>
      <c r="B2053" s="197"/>
      <c r="C2053" s="197"/>
      <c r="D2053" s="20"/>
      <c r="E2053" s="20"/>
    </row>
    <row r="2054">
      <c r="A2054" s="196"/>
      <c r="B2054" s="197"/>
      <c r="C2054" s="197"/>
      <c r="D2054" s="20"/>
      <c r="E2054" s="20"/>
    </row>
    <row r="2055">
      <c r="A2055" s="196"/>
      <c r="B2055" s="197"/>
      <c r="C2055" s="197"/>
      <c r="D2055" s="20"/>
      <c r="E2055" s="20"/>
    </row>
    <row r="2056">
      <c r="A2056" s="196"/>
      <c r="B2056" s="197"/>
      <c r="C2056" s="197"/>
      <c r="D2056" s="20"/>
      <c r="E2056" s="20"/>
    </row>
    <row r="2057">
      <c r="A2057" s="196" t="str">
        <f>IFERROR(__xludf.DUMMYFUNCTION("""COMPUTED_VALUE"""),"Scythe")</f>
        <v>Scythe</v>
      </c>
      <c r="B2057" s="197"/>
      <c r="C2057" s="197"/>
      <c r="D2057" s="20"/>
      <c r="E2057" s="20"/>
    </row>
    <row r="2058">
      <c r="A2058" s="196" t="str">
        <f>IFERROR(__xludf.DUMMYFUNCTION("""COMPUTED_VALUE"""),"Abomination")</f>
        <v>Abomination</v>
      </c>
      <c r="B2058" s="197"/>
      <c r="C2058" s="197"/>
      <c r="D2058" s="20"/>
      <c r="E2058" s="20"/>
    </row>
    <row r="2059">
      <c r="A2059" s="196"/>
      <c r="B2059" s="197"/>
      <c r="C2059" s="197"/>
      <c r="D2059" s="20"/>
      <c r="E2059" s="20"/>
    </row>
    <row r="2060">
      <c r="A2060" s="196"/>
      <c r="B2060" s="197"/>
      <c r="C2060" s="197"/>
      <c r="D2060" s="20"/>
      <c r="E2060" s="20"/>
    </row>
    <row r="2061">
      <c r="A2061" s="196"/>
      <c r="B2061" s="197"/>
      <c r="C2061" s="197"/>
      <c r="D2061" s="20"/>
      <c r="E2061" s="20"/>
    </row>
    <row r="2062">
      <c r="A2062" s="196" t="str">
        <f>IFERROR(__xludf.DUMMYFUNCTION("""COMPUTED_VALUE"""),"Rotten")</f>
        <v>Rotten</v>
      </c>
      <c r="B2062" s="197"/>
      <c r="C2062" s="197"/>
      <c r="D2062" s="20"/>
      <c r="E2062" s="20"/>
    </row>
    <row r="2063">
      <c r="A2063" s="196" t="str">
        <f>IFERROR(__xludf.DUMMYFUNCTION("""COMPUTED_VALUE"""),"Stalker")</f>
        <v>Stalker</v>
      </c>
      <c r="B2063" s="197"/>
      <c r="C2063" s="197"/>
      <c r="D2063" s="20"/>
      <c r="E2063" s="20"/>
    </row>
    <row r="2064">
      <c r="A2064" s="196"/>
      <c r="B2064" s="197"/>
      <c r="C2064" s="197"/>
      <c r="D2064" s="20"/>
      <c r="E2064" s="20"/>
    </row>
    <row r="2065">
      <c r="A2065" s="196"/>
      <c r="B2065" s="197"/>
      <c r="C2065" s="197"/>
      <c r="D2065" s="20"/>
      <c r="E2065" s="20"/>
    </row>
    <row r="2066">
      <c r="A2066" s="196"/>
      <c r="B2066" s="197"/>
      <c r="C2066" s="197"/>
      <c r="D2066" s="20"/>
      <c r="E2066" s="20"/>
    </row>
    <row r="2067">
      <c r="A2067" s="196" t="str">
        <f>IFERROR(__xludf.DUMMYFUNCTION("""COMPUTED_VALUE"""),"Wringing")</f>
        <v>Wringing</v>
      </c>
      <c r="B2067" s="197"/>
      <c r="C2067" s="197"/>
      <c r="D2067" s="20"/>
      <c r="E2067" s="20"/>
    </row>
    <row r="2068">
      <c r="A2068" s="196" t="str">
        <f>IFERROR(__xludf.DUMMYFUNCTION("""COMPUTED_VALUE"""),"Wyvern")</f>
        <v>Wyvern</v>
      </c>
      <c r="B2068" s="197"/>
      <c r="C2068" s="197"/>
      <c r="D2068" s="20"/>
      <c r="E2068" s="20"/>
    </row>
    <row r="2069">
      <c r="A2069" s="196"/>
      <c r="B2069" s="197"/>
      <c r="C2069" s="197"/>
      <c r="D2069" s="20"/>
      <c r="E2069" s="20"/>
    </row>
    <row r="2070">
      <c r="A2070" s="196"/>
      <c r="B2070" s="197"/>
      <c r="C2070" s="197"/>
      <c r="D2070" s="20"/>
      <c r="E2070" s="20"/>
    </row>
    <row r="2071">
      <c r="A2071" s="196"/>
      <c r="B2071" s="197"/>
      <c r="C2071" s="197"/>
      <c r="D2071" s="20"/>
      <c r="E2071" s="20"/>
    </row>
    <row r="2072">
      <c r="A2072" s="196" t="str">
        <f>IFERROR(__xludf.DUMMYFUNCTION("""COMPUTED_VALUE"""),"Clawing")</f>
        <v>Clawing</v>
      </c>
      <c r="B2072" s="197"/>
      <c r="C2072" s="197"/>
      <c r="D2072" s="20"/>
      <c r="E2072" s="20"/>
    </row>
    <row r="2073">
      <c r="A2073" s="196" t="str">
        <f>IFERROR(__xludf.DUMMYFUNCTION("""COMPUTED_VALUE"""),"Centipede")</f>
        <v>Centipede</v>
      </c>
      <c r="B2073" s="197"/>
      <c r="C2073" s="197"/>
      <c r="D2073" s="20"/>
      <c r="E2073" s="20"/>
    </row>
    <row r="2074">
      <c r="A2074" s="196"/>
      <c r="B2074" s="197"/>
      <c r="C2074" s="197"/>
      <c r="D2074" s="20"/>
      <c r="E2074" s="20"/>
    </row>
    <row r="2075">
      <c r="A2075" s="196"/>
      <c r="B2075" s="197"/>
      <c r="C2075" s="197"/>
      <c r="D2075" s="20"/>
      <c r="E2075" s="20"/>
    </row>
    <row r="2076">
      <c r="A2076" s="196"/>
      <c r="B2076" s="197"/>
      <c r="C2076" s="197"/>
      <c r="D2076" s="20"/>
      <c r="E2076" s="20"/>
    </row>
    <row r="2077">
      <c r="A2077" s="196" t="str">
        <f>IFERROR(__xludf.DUMMYFUNCTION("""COMPUTED_VALUE"""),"Voidsinger")</f>
        <v>Voidsinger</v>
      </c>
      <c r="B2077" s="197"/>
      <c r="C2077" s="197"/>
      <c r="D2077" s="20"/>
      <c r="E2077" s="20"/>
    </row>
    <row r="2078">
      <c r="A2078" s="196"/>
      <c r="B2078" s="197"/>
      <c r="C2078" s="197"/>
      <c r="D2078" s="20"/>
      <c r="E2078" s="20"/>
    </row>
    <row r="2079">
      <c r="A2079" s="196"/>
      <c r="B2079" s="197"/>
      <c r="C2079" s="197"/>
      <c r="D2079" s="20"/>
      <c r="E2079" s="20"/>
    </row>
    <row r="2080">
      <c r="A2080" s="196"/>
      <c r="B2080" s="197"/>
      <c r="C2080" s="197"/>
      <c r="D2080" s="20"/>
      <c r="E2080" s="20"/>
    </row>
    <row r="2081">
      <c r="A2081" s="196"/>
      <c r="B2081" s="197"/>
      <c r="C2081" s="197"/>
      <c r="D2081" s="20"/>
      <c r="E2081" s="20"/>
    </row>
    <row r="2082">
      <c r="A2082" s="196" t="str">
        <f>IFERROR(__xludf.DUMMYFUNCTION("""COMPUTED_VALUE"""),"Graverobbing")</f>
        <v>Graverobbing</v>
      </c>
      <c r="B2082" s="197"/>
      <c r="C2082" s="197"/>
      <c r="D2082" s="20"/>
      <c r="E2082" s="20"/>
    </row>
    <row r="2083">
      <c r="A2083" s="196" t="str">
        <f>IFERROR(__xludf.DUMMYFUNCTION("""COMPUTED_VALUE"""),"Robot")</f>
        <v>Robot</v>
      </c>
      <c r="B2083" s="197"/>
      <c r="C2083" s="197"/>
      <c r="D2083" s="20"/>
      <c r="E2083" s="20"/>
    </row>
    <row r="2084">
      <c r="A2084" s="196"/>
      <c r="B2084" s="197"/>
      <c r="C2084" s="197"/>
      <c r="D2084" s="20"/>
      <c r="E2084" s="20"/>
    </row>
    <row r="2085">
      <c r="A2085" s="196"/>
      <c r="B2085" s="197"/>
      <c r="C2085" s="197"/>
      <c r="D2085" s="20"/>
      <c r="E2085" s="20"/>
    </row>
    <row r="2086">
      <c r="A2086" s="196"/>
      <c r="B2086" s="197"/>
      <c r="C2086" s="197"/>
      <c r="D2086" s="20"/>
      <c r="E2086" s="20"/>
    </row>
    <row r="2087">
      <c r="A2087" s="196" t="str">
        <f>IFERROR(__xludf.DUMMYFUNCTION("""COMPUTED_VALUE"""),"Bandage")</f>
        <v>Bandage</v>
      </c>
      <c r="B2087" s="197"/>
      <c r="C2087" s="197"/>
      <c r="D2087" s="20"/>
      <c r="E2087" s="20"/>
    </row>
    <row r="2088">
      <c r="A2088" s="196" t="str">
        <f>IFERROR(__xludf.DUMMYFUNCTION("""COMPUTED_VALUE"""),"Beetle")</f>
        <v>Beetle</v>
      </c>
      <c r="B2088" s="197"/>
      <c r="C2088" s="197"/>
      <c r="D2088" s="20"/>
      <c r="E2088" s="20"/>
    </row>
    <row r="2089">
      <c r="A2089" s="196"/>
      <c r="B2089" s="197"/>
      <c r="C2089" s="197"/>
      <c r="D2089" s="20"/>
      <c r="E2089" s="20"/>
    </row>
    <row r="2090">
      <c r="A2090" s="196"/>
      <c r="B2090" s="197"/>
      <c r="C2090" s="197"/>
      <c r="D2090" s="20"/>
      <c r="E2090" s="20"/>
    </row>
    <row r="2091">
      <c r="A2091" s="196"/>
      <c r="B2091" s="197"/>
      <c r="C2091" s="197"/>
      <c r="D2091" s="20"/>
      <c r="E2091" s="20"/>
    </row>
    <row r="2092">
      <c r="A2092" s="196" t="str">
        <f>IFERROR(__xludf.DUMMYFUNCTION("""COMPUTED_VALUE"""),"Deadfield")</f>
        <v>Deadfield</v>
      </c>
      <c r="B2092" s="197"/>
      <c r="C2092" s="197"/>
      <c r="D2092" s="20"/>
      <c r="E2092" s="20"/>
    </row>
    <row r="2093">
      <c r="A2093" s="196" t="str">
        <f>IFERROR(__xludf.DUMMYFUNCTION("""COMPUTED_VALUE"""),"Tiller")</f>
        <v>Tiller</v>
      </c>
      <c r="B2093" s="197"/>
      <c r="C2093" s="197"/>
      <c r="D2093" s="20"/>
      <c r="E2093" s="20"/>
    </row>
    <row r="2094">
      <c r="A2094" s="196"/>
      <c r="B2094" s="197"/>
      <c r="C2094" s="197"/>
      <c r="D2094" s="20"/>
      <c r="E2094" s="20"/>
    </row>
    <row r="2095">
      <c r="A2095" s="196"/>
      <c r="B2095" s="197"/>
      <c r="C2095" s="197"/>
      <c r="D2095" s="20"/>
      <c r="E2095" s="20"/>
    </row>
    <row r="2096">
      <c r="A2096" s="196"/>
      <c r="B2096" s="197"/>
      <c r="C2096" s="197"/>
      <c r="D2096" s="20"/>
      <c r="E2096" s="20"/>
    </row>
    <row r="2097">
      <c r="A2097" s="196" t="str">
        <f>IFERROR(__xludf.DUMMYFUNCTION("""COMPUTED_VALUE"""),"Frightweaver")</f>
        <v>Frightweaver</v>
      </c>
      <c r="B2097" s="197"/>
      <c r="C2097" s="197"/>
      <c r="D2097" s="20"/>
      <c r="E2097" s="20"/>
    </row>
    <row r="2098">
      <c r="A2098" s="196"/>
      <c r="B2098" s="197"/>
      <c r="C2098" s="197"/>
      <c r="D2098" s="20"/>
      <c r="E2098" s="20"/>
    </row>
    <row r="2099">
      <c r="A2099" s="196"/>
      <c r="B2099" s="197"/>
      <c r="C2099" s="197"/>
      <c r="D2099" s="20"/>
      <c r="E2099" s="20"/>
    </row>
    <row r="2100">
      <c r="A2100" s="196"/>
      <c r="B2100" s="197"/>
      <c r="C2100" s="197"/>
      <c r="D2100" s="20"/>
      <c r="E2100" s="20"/>
    </row>
    <row r="2101">
      <c r="A2101" s="196"/>
      <c r="B2101" s="197"/>
      <c r="C2101" s="197"/>
      <c r="D2101" s="20"/>
      <c r="E2101" s="20"/>
    </row>
    <row r="2102">
      <c r="A2102" s="196" t="str">
        <f>IFERROR(__xludf.DUMMYFUNCTION("""COMPUTED_VALUE"""),"Mini")</f>
        <v>Mini</v>
      </c>
      <c r="B2102" s="197"/>
      <c r="C2102" s="197"/>
      <c r="D2102" s="20"/>
      <c r="E2102" s="20"/>
    </row>
    <row r="2103">
      <c r="A2103" s="196" t="str">
        <f>IFERROR(__xludf.DUMMYFUNCTION("""COMPUTED_VALUE"""),"Golem")</f>
        <v>Golem</v>
      </c>
      <c r="B2103" s="197"/>
      <c r="C2103" s="197"/>
      <c r="D2103" s="20"/>
      <c r="E2103" s="20"/>
    </row>
    <row r="2104">
      <c r="A2104" s="196"/>
      <c r="B2104" s="197"/>
      <c r="C2104" s="197"/>
      <c r="D2104" s="20"/>
      <c r="E2104" s="20"/>
    </row>
    <row r="2105">
      <c r="A2105" s="196"/>
      <c r="B2105" s="197"/>
      <c r="C2105" s="197"/>
      <c r="D2105" s="20"/>
      <c r="E2105" s="20"/>
    </row>
    <row r="2106">
      <c r="A2106" s="196"/>
      <c r="B2106" s="197"/>
      <c r="C2106" s="197"/>
      <c r="D2106" s="20"/>
      <c r="E2106" s="20"/>
    </row>
    <row r="2107">
      <c r="A2107" s="196" t="str">
        <f>IFERROR(__xludf.DUMMYFUNCTION("""COMPUTED_VALUE"""),"Clocktower")</f>
        <v>Clocktower</v>
      </c>
      <c r="B2107" s="197"/>
      <c r="C2107" s="197"/>
      <c r="D2107" s="20"/>
      <c r="E2107" s="20"/>
    </row>
    <row r="2108">
      <c r="A2108" s="196" t="str">
        <f>IFERROR(__xludf.DUMMYFUNCTION("""COMPUTED_VALUE"""),"Drake")</f>
        <v>Drake</v>
      </c>
      <c r="B2108" s="197"/>
      <c r="C2108" s="197"/>
      <c r="D2108" s="20"/>
      <c r="E2108" s="20"/>
    </row>
    <row r="2109">
      <c r="A2109" s="196"/>
      <c r="B2109" s="197"/>
      <c r="C2109" s="197"/>
      <c r="D2109" s="20"/>
      <c r="E2109" s="20"/>
    </row>
    <row r="2110">
      <c r="A2110" s="196"/>
      <c r="B2110" s="197"/>
      <c r="C2110" s="197"/>
      <c r="D2110" s="20"/>
      <c r="E2110" s="20"/>
    </row>
    <row r="2111">
      <c r="A2111" s="196"/>
      <c r="B2111" s="197"/>
      <c r="C2111" s="197"/>
      <c r="D2111" s="20"/>
      <c r="E2111" s="20"/>
    </row>
    <row r="2112">
      <c r="A2112" s="196" t="str">
        <f>IFERROR(__xludf.DUMMYFUNCTION("""COMPUTED_VALUE"""),"Roaming")</f>
        <v>Roaming</v>
      </c>
      <c r="B2112" s="197"/>
      <c r="C2112" s="197"/>
      <c r="D2112" s="20"/>
      <c r="E2112" s="20"/>
    </row>
    <row r="2113">
      <c r="A2113" s="196" t="str">
        <f>IFERROR(__xludf.DUMMYFUNCTION("""COMPUTED_VALUE"""),"Cherub")</f>
        <v>Cherub</v>
      </c>
      <c r="B2113" s="197"/>
      <c r="C2113" s="197"/>
      <c r="D2113" s="20"/>
      <c r="E2113" s="20"/>
    </row>
    <row r="2114">
      <c r="A2114" s="196"/>
      <c r="B2114" s="197"/>
      <c r="C2114" s="197"/>
      <c r="D2114" s="20"/>
      <c r="E2114" s="20"/>
    </row>
    <row r="2115">
      <c r="A2115" s="196"/>
      <c r="B2115" s="197"/>
      <c r="C2115" s="197"/>
      <c r="D2115" s="20"/>
      <c r="E2115" s="20"/>
    </row>
    <row r="2116">
      <c r="A2116" s="196"/>
      <c r="B2116" s="197"/>
      <c r="C2116" s="197"/>
      <c r="D2116" s="20"/>
      <c r="E2116" s="20"/>
    </row>
    <row r="2117">
      <c r="A2117" s="196" t="str">
        <f>IFERROR(__xludf.DUMMYFUNCTION("""COMPUTED_VALUE"""),"Old")</f>
        <v>Old</v>
      </c>
      <c r="B2117" s="197"/>
      <c r="C2117" s="197"/>
      <c r="D2117" s="20"/>
      <c r="E2117" s="20"/>
    </row>
    <row r="2118">
      <c r="A2118" s="196" t="str">
        <f>IFERROR(__xludf.DUMMYFUNCTION("""COMPUTED_VALUE"""),"Bessy")</f>
        <v>Bessy</v>
      </c>
      <c r="B2118" s="197"/>
      <c r="C2118" s="197"/>
      <c r="D2118" s="20"/>
      <c r="E2118" s="20"/>
    </row>
    <row r="2119">
      <c r="A2119" s="196"/>
      <c r="B2119" s="197"/>
      <c r="C2119" s="197"/>
      <c r="D2119" s="20"/>
      <c r="E2119" s="20"/>
    </row>
    <row r="2120">
      <c r="A2120" s="196"/>
      <c r="B2120" s="197"/>
      <c r="C2120" s="197"/>
      <c r="D2120" s="20"/>
      <c r="E2120" s="20"/>
    </row>
    <row r="2121">
      <c r="A2121" s="196"/>
      <c r="B2121" s="197"/>
      <c r="C2121" s="197"/>
      <c r="D2121" s="20"/>
      <c r="E2121" s="20"/>
    </row>
    <row r="2122">
      <c r="A2122" s="196" t="str">
        <f>IFERROR(__xludf.DUMMYFUNCTION("""COMPUTED_VALUE"""),"Realmshifter")</f>
        <v>Realmshifter</v>
      </c>
      <c r="B2122" s="197"/>
      <c r="C2122" s="197"/>
      <c r="D2122" s="20"/>
      <c r="E2122" s="20"/>
    </row>
    <row r="2123">
      <c r="A2123" s="196"/>
      <c r="B2123" s="197"/>
      <c r="C2123" s="197"/>
      <c r="D2123" s="20"/>
      <c r="E2123" s="20"/>
    </row>
    <row r="2124">
      <c r="A2124" s="196"/>
      <c r="B2124" s="197"/>
      <c r="C2124" s="197"/>
      <c r="D2124" s="20"/>
      <c r="E2124" s="20"/>
    </row>
    <row r="2125">
      <c r="A2125" s="196"/>
      <c r="B2125" s="197"/>
      <c r="C2125" s="197"/>
      <c r="D2125" s="20"/>
      <c r="E2125" s="20"/>
    </row>
    <row r="2126">
      <c r="A2126" s="196"/>
      <c r="B2126" s="197"/>
      <c r="C2126" s="197"/>
      <c r="D2126" s="20"/>
      <c r="E2126" s="20"/>
    </row>
    <row r="2127">
      <c r="A2127" s="196" t="str">
        <f>IFERROR(__xludf.DUMMYFUNCTION("""COMPUTED_VALUE"""),"Shapeshifter")</f>
        <v>Shapeshifter</v>
      </c>
      <c r="B2127" s="197"/>
      <c r="C2127" s="197"/>
      <c r="D2127" s="20"/>
      <c r="E2127" s="20"/>
    </row>
    <row r="2128">
      <c r="A2128" s="196"/>
      <c r="B2128" s="197"/>
      <c r="C2128" s="197"/>
      <c r="D2128" s="20"/>
      <c r="E2128" s="20"/>
    </row>
    <row r="2129">
      <c r="A2129" s="196"/>
      <c r="B2129" s="197"/>
      <c r="C2129" s="197"/>
      <c r="D2129" s="20"/>
      <c r="E2129" s="20"/>
    </row>
    <row r="2130">
      <c r="A2130" s="196"/>
      <c r="B2130" s="197"/>
      <c r="C2130" s="197"/>
      <c r="D2130" s="20"/>
      <c r="E2130" s="20"/>
    </row>
    <row r="2131">
      <c r="A2131" s="196"/>
      <c r="B2131" s="197"/>
      <c r="C2131" s="197"/>
      <c r="D2131" s="20"/>
      <c r="E2131" s="20"/>
    </row>
    <row r="2132">
      <c r="A2132" s="196" t="str">
        <f>IFERROR(__xludf.DUMMYFUNCTION("""COMPUTED_VALUE"""),"Big")</f>
        <v>Big</v>
      </c>
      <c r="B2132" s="197"/>
      <c r="C2132" s="197"/>
      <c r="D2132" s="20"/>
      <c r="E2132" s="20"/>
    </row>
    <row r="2133">
      <c r="A2133" s="196" t="str">
        <f>IFERROR(__xludf.DUMMYFUNCTION("""COMPUTED_VALUE"""),"Dino")</f>
        <v>Dino</v>
      </c>
      <c r="B2133" s="197"/>
      <c r="C2133" s="197"/>
      <c r="D2133" s="20"/>
      <c r="E2133" s="20"/>
    </row>
    <row r="2134">
      <c r="A2134" s="196" t="str">
        <f>IFERROR(__xludf.DUMMYFUNCTION("""COMPUTED_VALUE"""),"Boy")</f>
        <v>Boy</v>
      </c>
      <c r="B2134" s="197"/>
      <c r="C2134" s="197"/>
      <c r="D2134" s="20"/>
      <c r="E2134" s="20"/>
    </row>
    <row r="2135">
      <c r="A2135" s="196"/>
      <c r="B2135" s="197"/>
      <c r="C2135" s="197"/>
      <c r="D2135" s="20"/>
      <c r="E2135" s="20"/>
    </row>
    <row r="2136">
      <c r="A2136" s="196"/>
      <c r="B2136" s="197"/>
      <c r="C2136" s="197"/>
      <c r="D2136" s="20"/>
      <c r="E2136" s="20"/>
    </row>
    <row r="2137">
      <c r="A2137" s="196" t="str">
        <f>IFERROR(__xludf.DUMMYFUNCTION("""COMPUTED_VALUE"""),"Middle")</f>
        <v>Middle</v>
      </c>
      <c r="B2137" s="197"/>
      <c r="C2137" s="197"/>
      <c r="D2137" s="20"/>
      <c r="E2137" s="20"/>
    </row>
    <row r="2138">
      <c r="A2138" s="196" t="str">
        <f>IFERROR(__xludf.DUMMYFUNCTION("""COMPUTED_VALUE"""),"Dino")</f>
        <v>Dino</v>
      </c>
      <c r="B2138" s="197"/>
      <c r="C2138" s="197"/>
      <c r="D2138" s="20"/>
      <c r="E2138" s="20"/>
    </row>
    <row r="2139">
      <c r="A2139" s="196" t="str">
        <f>IFERROR(__xludf.DUMMYFUNCTION("""COMPUTED_VALUE"""),"Boy")</f>
        <v>Boy</v>
      </c>
      <c r="B2139" s="197"/>
      <c r="C2139" s="197"/>
      <c r="D2139" s="20"/>
      <c r="E2139" s="20"/>
    </row>
    <row r="2140">
      <c r="A2140" s="196"/>
      <c r="B2140" s="197"/>
      <c r="C2140" s="197"/>
      <c r="D2140" s="20"/>
      <c r="E2140" s="20"/>
    </row>
    <row r="2141">
      <c r="A2141" s="196"/>
      <c r="B2141" s="197"/>
      <c r="C2141" s="197"/>
      <c r="D2141" s="20"/>
      <c r="E2141" s="20"/>
    </row>
    <row r="2142">
      <c r="A2142" s="196"/>
      <c r="B2142" s="197"/>
      <c r="C2142" s="197"/>
      <c r="D2142" s="20"/>
      <c r="E2142" s="20"/>
    </row>
    <row r="2143">
      <c r="A2143" s="196"/>
      <c r="B2143" s="197"/>
      <c r="C2143" s="197"/>
      <c r="D2143" s="20"/>
      <c r="E2143" s="20"/>
    </row>
    <row r="2144">
      <c r="A2144" s="196"/>
      <c r="B2144" s="197"/>
      <c r="C2144" s="197"/>
      <c r="D2144" s="20"/>
      <c r="E2144" s="20"/>
    </row>
    <row r="2145">
      <c r="A2145" s="196"/>
      <c r="B2145" s="197"/>
      <c r="C2145" s="197"/>
      <c r="D2145" s="20"/>
      <c r="E2145" s="20"/>
    </row>
    <row r="2146">
      <c r="A2146" s="196"/>
      <c r="B2146" s="197"/>
      <c r="C2146" s="197"/>
      <c r="D2146" s="20"/>
      <c r="E2146" s="20"/>
    </row>
    <row r="2147">
      <c r="A2147" s="196"/>
      <c r="B2147" s="197"/>
      <c r="C2147" s="197"/>
      <c r="D2147" s="20"/>
      <c r="E2147" s="20"/>
    </row>
    <row r="2148">
      <c r="A2148" s="196"/>
      <c r="B2148" s="197"/>
      <c r="C2148" s="197"/>
      <c r="D2148" s="20"/>
      <c r="E2148" s="20"/>
    </row>
    <row r="2149">
      <c r="A2149" s="196"/>
      <c r="B2149" s="197"/>
      <c r="C2149" s="197"/>
      <c r="D2149" s="20"/>
      <c r="E2149" s="20"/>
    </row>
    <row r="2150">
      <c r="A2150" s="196"/>
      <c r="B2150" s="197"/>
      <c r="C2150" s="197"/>
      <c r="D2150" s="20"/>
      <c r="E2150" s="20"/>
    </row>
    <row r="2151">
      <c r="A2151" s="196"/>
      <c r="B2151" s="197"/>
      <c r="C2151" s="197"/>
      <c r="D2151" s="20"/>
      <c r="E2151" s="20"/>
    </row>
    <row r="2152">
      <c r="A2152" s="196"/>
      <c r="B2152" s="197"/>
      <c r="C2152" s="197"/>
      <c r="D2152" s="20"/>
      <c r="E2152" s="20"/>
    </row>
    <row r="2153">
      <c r="A2153" s="196"/>
      <c r="B2153" s="197"/>
      <c r="C2153" s="197"/>
      <c r="D2153" s="20"/>
      <c r="E2153" s="20"/>
    </row>
    <row r="2154">
      <c r="A2154" s="196"/>
      <c r="B2154" s="197"/>
      <c r="C2154" s="197"/>
      <c r="D2154" s="20"/>
      <c r="E2154" s="20"/>
    </row>
    <row r="2155">
      <c r="A2155" s="196"/>
      <c r="B2155" s="197"/>
      <c r="C2155" s="197"/>
      <c r="D2155" s="20"/>
      <c r="E2155" s="20"/>
    </row>
    <row r="2156">
      <c r="A2156" s="196"/>
      <c r="B2156" s="197"/>
      <c r="C2156" s="197"/>
      <c r="D2156" s="20"/>
      <c r="E2156" s="20"/>
    </row>
    <row r="2157">
      <c r="A2157" s="196"/>
      <c r="B2157" s="197"/>
      <c r="C2157" s="197"/>
      <c r="D2157" s="20"/>
      <c r="E2157" s="20"/>
    </row>
    <row r="2158">
      <c r="A2158" s="196"/>
      <c r="B2158" s="197"/>
      <c r="C2158" s="197"/>
      <c r="D2158" s="20"/>
      <c r="E2158" s="20"/>
    </row>
    <row r="2159">
      <c r="A2159" s="196"/>
      <c r="B2159" s="197"/>
      <c r="C2159" s="197"/>
      <c r="D2159" s="20"/>
      <c r="E2159" s="20"/>
    </row>
    <row r="2160">
      <c r="A2160" s="196"/>
      <c r="B2160" s="197"/>
      <c r="C2160" s="197"/>
      <c r="D2160" s="20"/>
      <c r="E2160" s="20"/>
    </row>
    <row r="2161">
      <c r="A2161" s="196"/>
      <c r="B2161" s="197"/>
      <c r="C2161" s="197"/>
      <c r="D2161" s="20"/>
      <c r="E2161" s="20"/>
    </row>
    <row r="2162">
      <c r="A2162" s="196"/>
      <c r="B2162" s="197"/>
      <c r="C2162" s="197"/>
      <c r="D2162" s="20"/>
      <c r="E2162" s="20"/>
    </row>
    <row r="2163">
      <c r="A2163" s="196"/>
      <c r="B2163" s="197"/>
      <c r="C2163" s="197"/>
      <c r="D2163" s="20"/>
      <c r="E2163" s="20"/>
    </row>
    <row r="2164">
      <c r="A2164" s="196"/>
      <c r="B2164" s="197"/>
      <c r="C2164" s="197"/>
      <c r="D2164" s="20"/>
      <c r="E2164" s="20"/>
    </row>
    <row r="2165">
      <c r="A2165" s="196"/>
      <c r="B2165" s="197"/>
      <c r="C2165" s="197"/>
      <c r="D2165" s="20"/>
      <c r="E2165" s="20"/>
    </row>
    <row r="2166">
      <c r="A2166" s="196"/>
      <c r="B2166" s="197"/>
      <c r="C2166" s="197"/>
      <c r="D2166" s="20"/>
      <c r="E2166" s="20"/>
    </row>
    <row r="2167">
      <c r="A2167" s="196"/>
      <c r="B2167" s="197"/>
      <c r="C2167" s="197"/>
      <c r="D2167" s="20"/>
      <c r="E2167" s="20"/>
    </row>
    <row r="2168">
      <c r="A2168" s="196"/>
      <c r="B2168" s="197"/>
      <c r="C2168" s="197"/>
      <c r="D2168" s="20"/>
      <c r="E2168" s="20"/>
    </row>
    <row r="2169">
      <c r="A2169" s="196"/>
      <c r="B2169" s="197"/>
      <c r="C2169" s="197"/>
      <c r="D2169" s="20"/>
      <c r="E2169" s="20"/>
    </row>
    <row r="2170">
      <c r="A2170" s="196"/>
      <c r="B2170" s="197"/>
      <c r="C2170" s="197"/>
      <c r="D2170" s="20"/>
      <c r="E2170" s="20"/>
    </row>
    <row r="2171">
      <c r="A2171" s="196"/>
      <c r="B2171" s="197"/>
      <c r="C2171" s="197"/>
      <c r="D2171" s="20"/>
      <c r="E2171" s="20"/>
    </row>
    <row r="2172">
      <c r="A2172" s="196"/>
      <c r="B2172" s="197"/>
      <c r="C2172" s="197"/>
      <c r="D2172" s="20"/>
      <c r="E2172" s="20"/>
    </row>
    <row r="2173">
      <c r="A2173" s="196"/>
      <c r="B2173" s="197"/>
      <c r="C2173" s="197"/>
      <c r="D2173" s="20"/>
      <c r="E2173" s="20"/>
    </row>
    <row r="2174">
      <c r="A2174" s="196"/>
      <c r="B2174" s="197"/>
      <c r="C2174" s="197"/>
      <c r="D2174" s="20"/>
      <c r="E2174" s="20"/>
    </row>
    <row r="2175">
      <c r="A2175" s="196"/>
      <c r="B2175" s="197"/>
      <c r="C2175" s="197"/>
      <c r="D2175" s="20"/>
      <c r="E2175" s="20"/>
    </row>
    <row r="2176">
      <c r="A2176" s="196"/>
      <c r="B2176" s="197"/>
      <c r="C2176" s="197"/>
      <c r="D2176" s="20"/>
      <c r="E2176" s="20"/>
    </row>
    <row r="2177">
      <c r="A2177" s="196"/>
      <c r="B2177" s="197"/>
      <c r="C2177" s="197"/>
      <c r="D2177" s="20"/>
      <c r="E2177" s="20"/>
    </row>
    <row r="2178">
      <c r="A2178" s="196"/>
      <c r="B2178" s="197"/>
      <c r="C2178" s="197"/>
      <c r="D2178" s="20"/>
      <c r="E2178" s="20"/>
    </row>
    <row r="2179">
      <c r="A2179" s="196"/>
      <c r="B2179" s="197"/>
      <c r="C2179" s="197"/>
      <c r="D2179" s="20"/>
      <c r="E2179" s="20"/>
    </row>
    <row r="2180">
      <c r="A2180" s="196"/>
      <c r="B2180" s="197"/>
      <c r="C2180" s="197"/>
      <c r="D2180" s="20"/>
      <c r="E2180" s="20"/>
    </row>
    <row r="2181">
      <c r="A2181" s="196"/>
      <c r="B2181" s="197"/>
      <c r="C2181" s="197"/>
      <c r="D2181" s="20"/>
      <c r="E2181" s="20"/>
    </row>
    <row r="2182">
      <c r="A2182" s="196"/>
      <c r="B2182" s="197"/>
      <c r="C2182" s="197"/>
      <c r="D2182" s="20"/>
      <c r="E2182" s="20"/>
    </row>
    <row r="2183">
      <c r="A2183" s="196"/>
      <c r="B2183" s="197"/>
      <c r="C2183" s="197"/>
      <c r="D2183" s="20"/>
      <c r="E2183" s="20"/>
    </row>
    <row r="2184">
      <c r="A2184" s="196"/>
      <c r="B2184" s="197"/>
      <c r="C2184" s="197"/>
      <c r="D2184" s="20"/>
      <c r="E2184" s="20"/>
    </row>
    <row r="2185">
      <c r="A2185" s="196"/>
      <c r="B2185" s="197"/>
      <c r="C2185" s="197"/>
      <c r="D2185" s="20"/>
      <c r="E2185" s="20"/>
    </row>
    <row r="2186">
      <c r="A2186" s="196"/>
      <c r="B2186" s="197"/>
      <c r="C2186" s="197"/>
      <c r="D2186" s="20"/>
      <c r="E2186" s="20"/>
    </row>
    <row r="2187">
      <c r="A2187" s="196"/>
      <c r="B2187" s="197"/>
      <c r="C2187" s="197"/>
      <c r="D2187" s="20"/>
      <c r="E2187" s="20"/>
    </row>
    <row r="2188">
      <c r="A2188" s="196"/>
      <c r="B2188" s="197"/>
      <c r="C2188" s="197"/>
      <c r="D2188" s="20"/>
      <c r="E2188" s="20"/>
    </row>
    <row r="2189">
      <c r="A2189" s="196"/>
      <c r="B2189" s="197"/>
      <c r="C2189" s="197"/>
      <c r="D2189" s="20"/>
      <c r="E2189" s="20"/>
    </row>
    <row r="2190">
      <c r="A2190" s="196"/>
      <c r="B2190" s="197"/>
      <c r="C2190" s="197"/>
      <c r="D2190" s="20"/>
      <c r="E2190" s="20"/>
    </row>
    <row r="2191">
      <c r="A2191" s="196"/>
      <c r="B2191" s="197"/>
      <c r="C2191" s="197"/>
      <c r="D2191" s="20"/>
      <c r="E2191" s="20"/>
    </row>
    <row r="2192">
      <c r="A2192" s="196"/>
      <c r="B2192" s="197"/>
      <c r="C2192" s="197"/>
      <c r="D2192" s="20"/>
      <c r="E2192" s="20"/>
    </row>
    <row r="2193">
      <c r="A2193" s="196"/>
      <c r="B2193" s="197"/>
      <c r="C2193" s="197"/>
      <c r="D2193" s="20"/>
      <c r="E2193" s="20"/>
    </row>
    <row r="2194">
      <c r="A2194" s="196"/>
      <c r="B2194" s="197"/>
      <c r="C2194" s="197"/>
      <c r="D2194" s="20"/>
      <c r="E2194" s="20"/>
    </row>
    <row r="2195">
      <c r="A2195" s="196"/>
      <c r="B2195" s="197"/>
      <c r="C2195" s="197"/>
      <c r="D2195" s="20"/>
      <c r="E2195" s="20"/>
    </row>
    <row r="2196">
      <c r="A2196" s="196"/>
      <c r="B2196" s="197"/>
      <c r="C2196" s="197"/>
      <c r="D2196" s="20"/>
      <c r="E2196" s="20"/>
    </row>
    <row r="2197">
      <c r="A2197" s="196"/>
      <c r="B2197" s="197"/>
      <c r="C2197" s="197"/>
      <c r="D2197" s="20"/>
      <c r="E2197" s="20"/>
    </row>
    <row r="2198">
      <c r="A2198" s="196"/>
      <c r="B2198" s="197"/>
      <c r="C2198" s="197"/>
      <c r="D2198" s="20"/>
      <c r="E2198" s="20"/>
    </row>
    <row r="2199">
      <c r="A2199" s="196"/>
      <c r="B2199" s="197"/>
      <c r="C2199" s="197"/>
      <c r="D2199" s="20"/>
      <c r="E2199" s="20"/>
    </row>
    <row r="2200">
      <c r="A2200" s="196"/>
      <c r="B2200" s="197"/>
      <c r="C2200" s="197"/>
      <c r="D2200" s="20"/>
      <c r="E2200" s="20"/>
    </row>
    <row r="2201">
      <c r="A2201" s="196"/>
      <c r="B2201" s="197"/>
      <c r="C2201" s="197"/>
      <c r="D2201" s="20"/>
      <c r="E2201" s="20"/>
    </row>
    <row r="2202">
      <c r="A2202" s="196"/>
      <c r="B2202" s="197"/>
      <c r="C2202" s="197"/>
      <c r="D2202" s="20"/>
      <c r="E2202" s="20"/>
    </row>
    <row r="2203">
      <c r="A2203" s="196"/>
      <c r="B2203" s="197"/>
      <c r="C2203" s="197"/>
      <c r="D2203" s="20"/>
      <c r="E2203" s="20"/>
    </row>
    <row r="2204">
      <c r="A2204" s="196"/>
      <c r="B2204" s="197"/>
      <c r="C2204" s="197"/>
      <c r="D2204" s="20"/>
      <c r="E2204" s="20"/>
    </row>
    <row r="2205">
      <c r="A2205" s="196"/>
      <c r="B2205" s="197"/>
      <c r="C2205" s="197"/>
      <c r="D2205" s="20"/>
      <c r="E2205" s="20"/>
    </row>
    <row r="2206">
      <c r="A2206" s="196"/>
      <c r="B2206" s="197"/>
      <c r="C2206" s="197"/>
      <c r="D2206" s="20"/>
      <c r="E2206" s="20"/>
    </row>
    <row r="2207">
      <c r="A2207" s="196"/>
      <c r="B2207" s="197"/>
      <c r="C2207" s="197"/>
      <c r="D2207" s="20"/>
      <c r="E2207" s="20"/>
    </row>
    <row r="2208">
      <c r="A2208" s="196"/>
      <c r="B2208" s="197"/>
      <c r="C2208" s="197"/>
      <c r="D2208" s="20"/>
      <c r="E2208" s="20"/>
    </row>
    <row r="2209">
      <c r="A2209" s="196"/>
      <c r="B2209" s="197"/>
      <c r="C2209" s="197"/>
      <c r="D2209" s="20"/>
      <c r="E2209" s="20"/>
    </row>
    <row r="2210">
      <c r="A2210" s="196"/>
      <c r="B2210" s="197"/>
      <c r="C2210" s="197"/>
      <c r="D2210" s="20"/>
      <c r="E2210" s="20"/>
    </row>
    <row r="2211">
      <c r="A2211" s="196"/>
      <c r="B2211" s="197"/>
      <c r="C2211" s="197"/>
      <c r="D2211" s="20"/>
      <c r="E2211" s="20"/>
    </row>
    <row r="2212">
      <c r="A2212" s="196"/>
      <c r="B2212" s="197"/>
      <c r="C2212" s="197"/>
      <c r="D2212" s="20"/>
      <c r="E2212" s="20"/>
    </row>
    <row r="2213">
      <c r="A2213" s="196"/>
      <c r="B2213" s="197"/>
      <c r="C2213" s="197"/>
      <c r="D2213" s="20"/>
      <c r="E2213" s="20"/>
    </row>
    <row r="2214">
      <c r="A2214" s="196"/>
      <c r="B2214" s="197"/>
      <c r="C2214" s="197"/>
      <c r="D2214" s="20"/>
      <c r="E2214" s="20"/>
    </row>
    <row r="2215">
      <c r="A2215" s="196"/>
      <c r="B2215" s="197"/>
      <c r="C2215" s="197"/>
      <c r="D2215" s="20"/>
      <c r="E2215" s="20"/>
    </row>
    <row r="2216">
      <c r="A2216" s="196"/>
      <c r="B2216" s="197"/>
      <c r="C2216" s="197"/>
      <c r="D2216" s="20"/>
      <c r="E2216" s="20"/>
    </row>
    <row r="2217">
      <c r="A2217" s="196"/>
      <c r="B2217" s="197"/>
      <c r="C2217" s="197"/>
      <c r="D2217" s="20"/>
      <c r="E2217" s="20"/>
    </row>
    <row r="2218">
      <c r="A2218" s="196"/>
      <c r="B2218" s="197"/>
      <c r="C2218" s="197"/>
      <c r="D2218" s="20"/>
      <c r="E2218" s="20"/>
    </row>
    <row r="2219">
      <c r="A2219" s="196"/>
      <c r="B2219" s="197"/>
      <c r="C2219" s="197"/>
      <c r="D2219" s="20"/>
      <c r="E2219" s="20"/>
    </row>
    <row r="2220">
      <c r="A2220" s="196"/>
      <c r="B2220" s="197"/>
      <c r="C2220" s="197"/>
      <c r="D2220" s="20"/>
      <c r="E2220" s="20"/>
    </row>
    <row r="2221">
      <c r="A2221" s="196"/>
      <c r="B2221" s="197"/>
      <c r="C2221" s="197"/>
      <c r="D2221" s="20"/>
      <c r="E2221" s="20"/>
    </row>
    <row r="2222">
      <c r="A2222" s="196"/>
      <c r="B2222" s="197"/>
      <c r="C2222" s="197"/>
      <c r="D2222" s="20"/>
      <c r="E2222" s="20"/>
    </row>
    <row r="2223">
      <c r="A2223" s="196"/>
      <c r="B2223" s="197"/>
      <c r="C2223" s="197"/>
      <c r="D2223" s="20"/>
      <c r="E2223" s="20"/>
    </row>
    <row r="2224">
      <c r="A2224" s="196"/>
      <c r="B2224" s="197"/>
      <c r="C2224" s="197"/>
      <c r="D2224" s="20"/>
      <c r="E2224" s="20"/>
    </row>
    <row r="2225">
      <c r="A2225" s="196"/>
      <c r="B2225" s="197"/>
      <c r="C2225" s="197"/>
      <c r="D2225" s="20"/>
      <c r="E2225" s="20"/>
    </row>
    <row r="2226">
      <c r="A2226" s="196"/>
      <c r="B2226" s="197"/>
      <c r="C2226" s="197"/>
      <c r="D2226" s="20"/>
      <c r="E2226" s="20"/>
    </row>
    <row r="2227">
      <c r="A2227" s="196"/>
      <c r="B2227" s="197"/>
      <c r="C2227" s="197"/>
      <c r="D2227" s="20"/>
      <c r="E2227" s="20"/>
    </row>
    <row r="2228">
      <c r="A2228" s="196"/>
      <c r="B2228" s="197"/>
      <c r="C2228" s="197"/>
      <c r="D2228" s="20"/>
      <c r="E2228" s="20"/>
    </row>
    <row r="2229">
      <c r="A2229" s="196"/>
      <c r="B2229" s="197"/>
      <c r="C2229" s="197"/>
      <c r="D2229" s="20"/>
      <c r="E2229" s="20"/>
    </row>
    <row r="2230">
      <c r="A2230" s="196"/>
      <c r="B2230" s="197"/>
      <c r="C2230" s="197"/>
      <c r="D2230" s="20"/>
      <c r="E2230" s="20"/>
    </row>
    <row r="2231">
      <c r="A2231" s="196"/>
      <c r="B2231" s="197"/>
      <c r="C2231" s="197"/>
      <c r="D2231" s="20"/>
      <c r="E2231" s="20"/>
    </row>
    <row r="2232">
      <c r="A2232" s="196"/>
      <c r="B2232" s="197"/>
      <c r="C2232" s="197"/>
      <c r="D2232" s="20"/>
      <c r="E2232" s="20"/>
    </row>
    <row r="2233">
      <c r="A2233" s="196"/>
      <c r="B2233" s="197"/>
      <c r="C2233" s="197"/>
      <c r="D2233" s="20"/>
      <c r="E2233" s="20"/>
    </row>
    <row r="2234">
      <c r="A2234" s="196"/>
      <c r="B2234" s="197"/>
      <c r="C2234" s="197"/>
      <c r="D2234" s="20"/>
      <c r="E2234" s="20"/>
    </row>
    <row r="2235">
      <c r="A2235" s="196"/>
      <c r="B2235" s="197"/>
      <c r="C2235" s="197"/>
      <c r="D2235" s="20"/>
      <c r="E2235" s="20"/>
    </row>
    <row r="2236">
      <c r="A2236" s="196"/>
      <c r="B2236" s="197"/>
      <c r="C2236" s="197"/>
      <c r="D2236" s="20"/>
      <c r="E2236" s="20"/>
    </row>
    <row r="2237">
      <c r="A2237" s="196"/>
      <c r="B2237" s="197"/>
      <c r="C2237" s="197"/>
      <c r="D2237" s="20"/>
      <c r="E2237" s="20"/>
    </row>
    <row r="2238">
      <c r="A2238" s="196"/>
      <c r="B2238" s="197"/>
      <c r="C2238" s="197"/>
      <c r="D2238" s="20"/>
      <c r="E2238" s="20"/>
    </row>
    <row r="2239">
      <c r="A2239" s="196"/>
      <c r="B2239" s="197"/>
      <c r="C2239" s="197"/>
      <c r="D2239" s="20"/>
      <c r="E2239" s="20"/>
    </row>
    <row r="2240">
      <c r="A2240" s="196"/>
      <c r="B2240" s="197"/>
      <c r="C2240" s="197"/>
      <c r="D2240" s="20"/>
      <c r="E2240" s="20"/>
    </row>
    <row r="2241">
      <c r="A2241" s="196"/>
      <c r="B2241" s="197"/>
      <c r="C2241" s="197"/>
      <c r="D2241" s="20"/>
      <c r="E2241" s="20"/>
    </row>
    <row r="2242">
      <c r="A2242" s="196"/>
      <c r="B2242" s="197"/>
      <c r="C2242" s="197"/>
      <c r="D2242" s="20"/>
      <c r="E2242" s="20"/>
    </row>
    <row r="2243">
      <c r="A2243" s="196"/>
      <c r="B2243" s="197"/>
      <c r="C2243" s="197"/>
      <c r="D2243" s="20"/>
      <c r="E2243" s="20"/>
    </row>
    <row r="2244">
      <c r="A2244" s="196"/>
      <c r="B2244" s="197"/>
      <c r="C2244" s="197"/>
      <c r="D2244" s="20"/>
      <c r="E2244" s="20"/>
    </row>
    <row r="2245">
      <c r="A2245" s="196"/>
      <c r="B2245" s="197"/>
      <c r="C2245" s="197"/>
      <c r="D2245" s="20"/>
      <c r="E2245" s="20"/>
    </row>
    <row r="2246">
      <c r="A2246" s="196"/>
      <c r="B2246" s="197"/>
      <c r="C2246" s="197"/>
      <c r="D2246" s="20"/>
      <c r="E2246" s="20"/>
    </row>
    <row r="2247">
      <c r="A2247" s="196"/>
      <c r="B2247" s="197"/>
      <c r="C2247" s="197"/>
      <c r="D2247" s="20"/>
      <c r="E2247" s="20"/>
    </row>
    <row r="2248">
      <c r="A2248" s="196"/>
      <c r="B2248" s="197"/>
      <c r="C2248" s="197"/>
      <c r="D2248" s="20"/>
      <c r="E2248" s="20"/>
    </row>
    <row r="2249">
      <c r="A2249" s="196"/>
      <c r="B2249" s="197"/>
      <c r="C2249" s="197"/>
      <c r="D2249" s="20"/>
      <c r="E2249" s="20"/>
    </row>
    <row r="2250">
      <c r="A2250" s="196"/>
      <c r="B2250" s="197"/>
      <c r="C2250" s="197"/>
      <c r="D2250" s="20"/>
      <c r="E2250" s="20"/>
    </row>
    <row r="2251">
      <c r="A2251" s="196"/>
      <c r="B2251" s="197"/>
      <c r="C2251" s="197"/>
      <c r="D2251" s="20"/>
      <c r="E2251" s="20"/>
    </row>
    <row r="2252">
      <c r="A2252" s="196"/>
      <c r="B2252" s="197"/>
      <c r="C2252" s="197"/>
      <c r="D2252" s="20"/>
      <c r="E2252" s="20"/>
    </row>
    <row r="2253">
      <c r="A2253" s="196"/>
      <c r="B2253" s="197"/>
      <c r="C2253" s="197"/>
      <c r="D2253" s="20"/>
      <c r="E2253" s="20"/>
    </row>
    <row r="2254">
      <c r="A2254" s="196"/>
      <c r="B2254" s="197"/>
      <c r="C2254" s="197"/>
      <c r="D2254" s="20"/>
      <c r="E2254" s="20"/>
    </row>
    <row r="2255">
      <c r="A2255" s="196"/>
      <c r="B2255" s="197"/>
      <c r="C2255" s="197"/>
      <c r="D2255" s="20"/>
      <c r="E2255" s="20"/>
    </row>
    <row r="2256">
      <c r="A2256" s="196"/>
      <c r="B2256" s="197"/>
      <c r="C2256" s="197"/>
      <c r="D2256" s="20"/>
      <c r="E2256" s="20"/>
    </row>
    <row r="2257">
      <c r="A2257" s="196"/>
      <c r="B2257" s="197"/>
      <c r="C2257" s="197"/>
      <c r="D2257" s="20"/>
      <c r="E2257" s="20"/>
    </row>
    <row r="2258">
      <c r="A2258" s="196"/>
      <c r="B2258" s="197"/>
      <c r="C2258" s="197"/>
      <c r="D2258" s="20"/>
      <c r="E2258" s="20"/>
    </row>
    <row r="2259">
      <c r="A2259" s="196"/>
      <c r="B2259" s="197"/>
      <c r="C2259" s="197"/>
      <c r="D2259" s="20"/>
      <c r="E2259" s="20"/>
    </row>
    <row r="2260">
      <c r="A2260" s="196"/>
      <c r="B2260" s="197"/>
      <c r="C2260" s="197"/>
      <c r="D2260" s="20"/>
      <c r="E2260" s="20"/>
    </row>
    <row r="2261">
      <c r="A2261" s="196"/>
      <c r="B2261" s="197"/>
      <c r="C2261" s="197"/>
      <c r="D2261" s="20"/>
      <c r="E2261" s="20"/>
    </row>
    <row r="2262">
      <c r="A2262" s="196"/>
      <c r="B2262" s="197"/>
      <c r="C2262" s="197"/>
      <c r="D2262" s="20"/>
      <c r="E2262" s="20"/>
    </row>
    <row r="2263">
      <c r="A2263" s="196"/>
      <c r="B2263" s="197"/>
      <c r="C2263" s="197"/>
      <c r="D2263" s="20"/>
      <c r="E2263" s="20"/>
    </row>
    <row r="2264">
      <c r="A2264" s="196"/>
      <c r="B2264" s="197"/>
      <c r="C2264" s="197"/>
      <c r="D2264" s="20"/>
      <c r="E2264" s="20"/>
    </row>
    <row r="2265">
      <c r="A2265" s="196"/>
      <c r="B2265" s="197"/>
      <c r="C2265" s="197"/>
      <c r="D2265" s="20"/>
      <c r="E2265" s="20"/>
    </row>
    <row r="2266">
      <c r="A2266" s="196"/>
      <c r="B2266" s="197"/>
      <c r="C2266" s="197"/>
      <c r="D2266" s="20"/>
      <c r="E2266" s="20"/>
    </row>
    <row r="2267">
      <c r="A2267" s="196"/>
      <c r="B2267" s="197"/>
      <c r="C2267" s="197"/>
      <c r="D2267" s="20"/>
      <c r="E2267" s="20"/>
    </row>
    <row r="2268">
      <c r="A2268" s="196"/>
      <c r="B2268" s="197"/>
      <c r="C2268" s="197"/>
      <c r="D2268" s="20"/>
      <c r="E2268" s="20"/>
    </row>
    <row r="2269">
      <c r="A2269" s="196"/>
      <c r="B2269" s="197"/>
      <c r="C2269" s="197"/>
      <c r="D2269" s="20"/>
      <c r="E2269" s="20"/>
    </row>
    <row r="2270">
      <c r="A2270" s="196"/>
      <c r="B2270" s="197"/>
      <c r="C2270" s="197"/>
      <c r="D2270" s="20"/>
      <c r="E2270" s="20"/>
    </row>
    <row r="2271">
      <c r="A2271" s="196"/>
      <c r="B2271" s="197"/>
      <c r="C2271" s="197"/>
      <c r="D2271" s="20"/>
      <c r="E2271" s="20"/>
    </row>
    <row r="2272">
      <c r="A2272" s="196"/>
      <c r="B2272" s="197"/>
      <c r="C2272" s="197"/>
      <c r="D2272" s="20"/>
      <c r="E2272" s="20"/>
    </row>
    <row r="2273">
      <c r="A2273" s="196"/>
      <c r="B2273" s="197"/>
      <c r="C2273" s="197"/>
      <c r="D2273" s="20"/>
      <c r="E2273" s="20"/>
    </row>
    <row r="2274">
      <c r="A2274" s="196"/>
      <c r="B2274" s="197"/>
      <c r="C2274" s="197"/>
      <c r="D2274" s="20"/>
      <c r="E2274" s="20"/>
    </row>
    <row r="2275">
      <c r="A2275" s="196"/>
      <c r="B2275" s="197"/>
      <c r="C2275" s="197"/>
      <c r="D2275" s="20"/>
      <c r="E2275" s="20"/>
    </row>
    <row r="2276">
      <c r="A2276" s="196"/>
      <c r="B2276" s="197"/>
      <c r="C2276" s="197"/>
      <c r="D2276" s="20"/>
      <c r="E2276" s="20"/>
    </row>
    <row r="2277">
      <c r="A2277" s="196"/>
      <c r="B2277" s="197"/>
      <c r="C2277" s="197"/>
      <c r="D2277" s="20"/>
      <c r="E2277" s="20"/>
    </row>
    <row r="2278">
      <c r="A2278" s="196"/>
      <c r="B2278" s="197"/>
      <c r="C2278" s="197"/>
      <c r="D2278" s="20"/>
      <c r="E2278" s="20"/>
    </row>
    <row r="2279">
      <c r="A2279" s="196"/>
      <c r="B2279" s="197"/>
      <c r="C2279" s="197"/>
      <c r="D2279" s="20"/>
      <c r="E2279" s="20"/>
    </row>
    <row r="2280">
      <c r="A2280" s="196"/>
      <c r="B2280" s="197"/>
      <c r="C2280" s="197"/>
      <c r="D2280" s="20"/>
      <c r="E2280" s="20"/>
    </row>
    <row r="2281">
      <c r="A2281" s="196"/>
      <c r="B2281" s="197"/>
      <c r="C2281" s="197"/>
      <c r="D2281" s="20"/>
      <c r="E2281" s="20"/>
    </row>
    <row r="2282">
      <c r="A2282" s="196"/>
      <c r="B2282" s="197"/>
      <c r="C2282" s="197"/>
      <c r="D2282" s="20"/>
      <c r="E2282" s="20"/>
    </row>
    <row r="2283">
      <c r="A2283" s="196"/>
      <c r="B2283" s="197"/>
      <c r="C2283" s="197"/>
      <c r="D2283" s="20"/>
      <c r="E2283" s="20"/>
    </row>
    <row r="2284">
      <c r="A2284" s="196"/>
      <c r="B2284" s="197"/>
      <c r="C2284" s="197"/>
      <c r="D2284" s="20"/>
      <c r="E2284" s="20"/>
    </row>
    <row r="2285">
      <c r="A2285" s="196"/>
      <c r="B2285" s="197"/>
      <c r="C2285" s="197"/>
      <c r="D2285" s="20"/>
      <c r="E2285" s="20"/>
    </row>
    <row r="2286">
      <c r="A2286" s="196"/>
      <c r="B2286" s="197"/>
      <c r="C2286" s="197"/>
      <c r="D2286" s="20"/>
      <c r="E2286" s="20"/>
    </row>
    <row r="2287">
      <c r="A2287" s="196"/>
      <c r="B2287" s="197"/>
      <c r="C2287" s="197"/>
      <c r="D2287" s="20"/>
      <c r="E2287" s="20"/>
    </row>
    <row r="2288">
      <c r="A2288" s="196"/>
      <c r="B2288" s="197"/>
      <c r="C2288" s="197"/>
      <c r="D2288" s="20"/>
      <c r="E2288" s="20"/>
    </row>
    <row r="2289">
      <c r="A2289" s="196"/>
      <c r="B2289" s="197"/>
      <c r="C2289" s="197"/>
      <c r="D2289" s="20"/>
      <c r="E2289" s="20"/>
    </row>
    <row r="2290">
      <c r="A2290" s="196"/>
      <c r="B2290" s="197"/>
      <c r="C2290" s="197"/>
      <c r="D2290" s="20"/>
      <c r="E2290" s="20"/>
    </row>
    <row r="2291">
      <c r="A2291" s="196"/>
      <c r="B2291" s="197"/>
      <c r="C2291" s="197"/>
      <c r="D2291" s="20"/>
      <c r="E2291" s="20"/>
    </row>
    <row r="2292">
      <c r="A2292" s="196"/>
      <c r="B2292" s="197"/>
      <c r="C2292" s="197"/>
      <c r="D2292" s="20"/>
      <c r="E2292" s="20"/>
    </row>
    <row r="2293">
      <c r="A2293" s="196"/>
      <c r="B2293" s="197"/>
      <c r="C2293" s="197"/>
      <c r="D2293" s="20"/>
      <c r="E2293" s="20"/>
    </row>
    <row r="2294">
      <c r="A2294" s="196"/>
      <c r="B2294" s="197"/>
      <c r="C2294" s="197"/>
      <c r="D2294" s="20"/>
      <c r="E2294" s="20"/>
    </row>
    <row r="2295">
      <c r="A2295" s="196"/>
      <c r="B2295" s="197"/>
      <c r="C2295" s="197"/>
      <c r="D2295" s="20"/>
      <c r="E2295" s="20"/>
    </row>
    <row r="2296">
      <c r="A2296" s="196"/>
      <c r="B2296" s="197"/>
      <c r="C2296" s="197"/>
      <c r="D2296" s="20"/>
      <c r="E2296" s="20"/>
    </row>
    <row r="2297">
      <c r="A2297" s="196"/>
      <c r="B2297" s="197"/>
      <c r="C2297" s="197"/>
      <c r="D2297" s="20"/>
      <c r="E2297" s="20"/>
    </row>
    <row r="2298">
      <c r="A2298" s="196"/>
      <c r="B2298" s="197"/>
      <c r="C2298" s="197"/>
      <c r="D2298" s="20"/>
      <c r="E2298" s="20"/>
    </row>
    <row r="2299">
      <c r="A2299" s="196"/>
      <c r="B2299" s="197"/>
      <c r="C2299" s="197"/>
      <c r="D2299" s="20"/>
      <c r="E2299" s="20"/>
    </row>
    <row r="2300">
      <c r="A2300" s="196"/>
      <c r="B2300" s="197"/>
      <c r="C2300" s="197"/>
      <c r="D2300" s="20"/>
      <c r="E2300" s="20"/>
    </row>
    <row r="2301">
      <c r="A2301" s="196"/>
      <c r="B2301" s="197"/>
      <c r="C2301" s="197"/>
      <c r="D2301" s="20"/>
      <c r="E2301" s="20"/>
    </row>
    <row r="2302">
      <c r="A2302" s="196"/>
      <c r="B2302" s="197"/>
      <c r="C2302" s="197"/>
      <c r="D2302" s="20"/>
      <c r="E2302" s="20"/>
    </row>
    <row r="2303">
      <c r="A2303" s="196"/>
      <c r="B2303" s="197"/>
      <c r="C2303" s="197"/>
      <c r="D2303" s="20"/>
      <c r="E2303" s="20"/>
    </row>
    <row r="2304">
      <c r="A2304" s="196"/>
      <c r="B2304" s="197"/>
      <c r="C2304" s="197"/>
      <c r="D2304" s="20"/>
      <c r="E2304" s="20"/>
    </row>
    <row r="2305">
      <c r="A2305" s="196"/>
      <c r="B2305" s="197"/>
      <c r="C2305" s="197"/>
      <c r="D2305" s="20"/>
      <c r="E2305" s="20"/>
    </row>
    <row r="2306">
      <c r="A2306" s="196"/>
      <c r="B2306" s="197"/>
      <c r="C2306" s="197"/>
      <c r="D2306" s="20"/>
      <c r="E2306" s="20"/>
    </row>
    <row r="2307">
      <c r="A2307" s="196"/>
      <c r="B2307" s="197"/>
      <c r="C2307" s="197"/>
      <c r="D2307" s="20"/>
      <c r="E2307" s="20"/>
    </row>
    <row r="2308">
      <c r="A2308" s="196"/>
      <c r="B2308" s="197"/>
      <c r="C2308" s="197"/>
      <c r="D2308" s="20"/>
      <c r="E2308" s="20"/>
    </row>
    <row r="2309">
      <c r="A2309" s="196"/>
      <c r="B2309" s="197"/>
      <c r="C2309" s="197"/>
      <c r="D2309" s="20"/>
      <c r="E2309" s="20"/>
    </row>
    <row r="2310">
      <c r="A2310" s="196"/>
      <c r="B2310" s="197"/>
      <c r="C2310" s="197"/>
      <c r="D2310" s="20"/>
      <c r="E2310" s="20"/>
    </row>
    <row r="2311">
      <c r="A2311" s="196"/>
      <c r="B2311" s="197"/>
      <c r="C2311" s="197"/>
      <c r="D2311" s="20"/>
      <c r="E2311" s="20"/>
    </row>
    <row r="2312">
      <c r="A2312" s="196"/>
      <c r="B2312" s="197"/>
      <c r="C2312" s="197"/>
      <c r="D2312" s="20"/>
      <c r="E2312" s="20"/>
    </row>
    <row r="2313">
      <c r="A2313" s="196"/>
      <c r="B2313" s="197"/>
      <c r="C2313" s="197"/>
      <c r="D2313" s="20"/>
      <c r="E2313" s="20"/>
    </row>
    <row r="2314">
      <c r="A2314" s="196"/>
      <c r="B2314" s="197"/>
      <c r="C2314" s="197"/>
      <c r="D2314" s="20"/>
      <c r="E2314" s="20"/>
    </row>
    <row r="2315">
      <c r="A2315" s="196"/>
      <c r="B2315" s="197"/>
      <c r="C2315" s="197"/>
      <c r="D2315" s="20"/>
      <c r="E2315" s="20"/>
    </row>
    <row r="2316">
      <c r="A2316" s="196"/>
      <c r="B2316" s="197"/>
      <c r="C2316" s="197"/>
      <c r="D2316" s="20"/>
      <c r="E2316" s="20"/>
    </row>
    <row r="2317">
      <c r="A2317" s="196"/>
      <c r="B2317" s="197"/>
      <c r="C2317" s="197"/>
      <c r="D2317" s="20"/>
      <c r="E2317" s="20"/>
    </row>
    <row r="2318">
      <c r="A2318" s="196"/>
      <c r="B2318" s="197"/>
      <c r="C2318" s="197"/>
      <c r="D2318" s="20"/>
      <c r="E2318" s="20"/>
    </row>
    <row r="2319">
      <c r="A2319" s="196"/>
      <c r="B2319" s="197"/>
      <c r="C2319" s="197"/>
      <c r="D2319" s="20"/>
      <c r="E2319" s="20"/>
    </row>
    <row r="2320">
      <c r="A2320" s="196"/>
      <c r="B2320" s="197"/>
      <c r="C2320" s="197"/>
      <c r="D2320" s="20"/>
      <c r="E2320" s="20"/>
    </row>
    <row r="2321">
      <c r="A2321" s="196"/>
      <c r="B2321" s="197"/>
      <c r="C2321" s="197"/>
      <c r="D2321" s="20"/>
      <c r="E2321" s="20"/>
    </row>
    <row r="2322">
      <c r="A2322" s="196"/>
      <c r="B2322" s="197"/>
      <c r="C2322" s="197"/>
      <c r="D2322" s="20"/>
      <c r="E2322" s="20"/>
    </row>
    <row r="2323">
      <c r="A2323" s="196"/>
      <c r="B2323" s="197"/>
      <c r="C2323" s="197"/>
      <c r="D2323" s="20"/>
      <c r="E2323" s="20"/>
    </row>
    <row r="2324">
      <c r="A2324" s="196"/>
      <c r="B2324" s="197"/>
      <c r="C2324" s="197"/>
      <c r="D2324" s="20"/>
      <c r="E2324" s="20"/>
    </row>
    <row r="2325">
      <c r="A2325" s="196"/>
      <c r="B2325" s="197"/>
      <c r="C2325" s="197"/>
      <c r="D2325" s="20"/>
      <c r="E2325" s="20"/>
    </row>
    <row r="2326">
      <c r="A2326" s="196"/>
      <c r="B2326" s="197"/>
      <c r="C2326" s="197"/>
      <c r="D2326" s="20"/>
      <c r="E2326" s="20"/>
    </row>
    <row r="2327">
      <c r="A2327" s="196"/>
      <c r="B2327" s="197"/>
      <c r="C2327" s="197"/>
      <c r="D2327" s="20"/>
      <c r="E2327" s="20"/>
    </row>
    <row r="2328">
      <c r="A2328" s="196"/>
      <c r="B2328" s="197"/>
      <c r="C2328" s="197"/>
      <c r="D2328" s="20"/>
      <c r="E2328" s="20"/>
    </row>
    <row r="2329">
      <c r="A2329" s="196"/>
      <c r="B2329" s="197"/>
      <c r="C2329" s="197"/>
      <c r="D2329" s="20"/>
      <c r="E2329" s="20"/>
    </row>
    <row r="2330">
      <c r="A2330" s="196"/>
      <c r="B2330" s="197"/>
      <c r="C2330" s="197"/>
      <c r="D2330" s="20"/>
      <c r="E2330" s="20"/>
    </row>
    <row r="2331">
      <c r="A2331" s="196"/>
      <c r="B2331" s="197"/>
      <c r="C2331" s="197"/>
      <c r="D2331" s="20"/>
      <c r="E2331" s="20"/>
    </row>
    <row r="2332">
      <c r="A2332" s="196"/>
      <c r="B2332" s="197"/>
      <c r="C2332" s="197"/>
      <c r="D2332" s="20"/>
      <c r="E2332" s="20"/>
    </row>
    <row r="2333">
      <c r="A2333" s="196"/>
      <c r="B2333" s="197"/>
      <c r="C2333" s="197"/>
      <c r="D2333" s="20"/>
      <c r="E2333" s="20"/>
    </row>
    <row r="2334">
      <c r="A2334" s="196"/>
      <c r="B2334" s="197"/>
      <c r="C2334" s="197"/>
      <c r="D2334" s="20"/>
      <c r="E2334" s="20"/>
    </row>
    <row r="2335">
      <c r="A2335" s="196"/>
      <c r="B2335" s="197"/>
      <c r="C2335" s="197"/>
      <c r="D2335" s="20"/>
      <c r="E2335" s="20"/>
    </row>
    <row r="2336">
      <c r="A2336" s="196"/>
      <c r="B2336" s="197"/>
      <c r="C2336" s="197"/>
      <c r="D2336" s="20"/>
      <c r="E2336" s="20"/>
    </row>
    <row r="2337">
      <c r="A2337" s="196"/>
      <c r="B2337" s="197"/>
      <c r="C2337" s="197"/>
      <c r="D2337" s="20"/>
      <c r="E2337" s="20"/>
    </row>
    <row r="2338">
      <c r="A2338" s="196"/>
      <c r="B2338" s="197"/>
      <c r="C2338" s="197"/>
      <c r="D2338" s="20"/>
      <c r="E2338" s="20"/>
    </row>
    <row r="2339">
      <c r="A2339" s="196"/>
      <c r="B2339" s="197"/>
      <c r="C2339" s="197"/>
      <c r="D2339" s="20"/>
      <c r="E2339" s="20"/>
    </row>
    <row r="2340">
      <c r="A2340" s="196"/>
      <c r="B2340" s="197"/>
      <c r="C2340" s="197"/>
      <c r="D2340" s="20"/>
      <c r="E2340" s="20"/>
    </row>
    <row r="2341">
      <c r="A2341" s="196"/>
      <c r="B2341" s="197"/>
      <c r="C2341" s="197"/>
      <c r="D2341" s="20"/>
      <c r="E2341" s="20"/>
    </row>
    <row r="2342">
      <c r="A2342" s="196"/>
      <c r="B2342" s="197"/>
      <c r="C2342" s="197"/>
      <c r="D2342" s="20"/>
      <c r="E2342" s="20"/>
    </row>
    <row r="2343">
      <c r="A2343" s="196"/>
      <c r="B2343" s="197"/>
      <c r="C2343" s="197"/>
      <c r="D2343" s="20"/>
      <c r="E2343" s="20"/>
    </row>
    <row r="2344">
      <c r="A2344" s="196"/>
      <c r="B2344" s="197"/>
      <c r="C2344" s="197"/>
      <c r="D2344" s="20"/>
      <c r="E2344" s="20"/>
    </row>
    <row r="2345">
      <c r="A2345" s="196"/>
      <c r="B2345" s="197"/>
      <c r="C2345" s="197"/>
      <c r="D2345" s="20"/>
      <c r="E2345" s="20"/>
    </row>
    <row r="2346">
      <c r="A2346" s="196"/>
      <c r="B2346" s="197"/>
      <c r="C2346" s="197"/>
      <c r="D2346" s="20"/>
      <c r="E2346" s="20"/>
    </row>
    <row r="2347">
      <c r="A2347" s="196"/>
      <c r="B2347" s="197"/>
      <c r="C2347" s="197"/>
      <c r="D2347" s="20"/>
      <c r="E2347" s="20"/>
    </row>
    <row r="2348">
      <c r="A2348" s="196"/>
      <c r="B2348" s="197"/>
      <c r="C2348" s="197"/>
      <c r="D2348" s="20"/>
      <c r="E2348" s="20"/>
    </row>
    <row r="2349">
      <c r="A2349" s="196"/>
      <c r="B2349" s="197"/>
      <c r="C2349" s="197"/>
      <c r="D2349" s="20"/>
      <c r="E2349" s="20"/>
    </row>
    <row r="2350">
      <c r="A2350" s="196"/>
      <c r="B2350" s="197"/>
      <c r="C2350" s="197"/>
      <c r="D2350" s="20"/>
      <c r="E2350" s="20"/>
    </row>
    <row r="2351">
      <c r="A2351" s="196"/>
      <c r="B2351" s="197"/>
      <c r="C2351" s="197"/>
      <c r="D2351" s="20"/>
      <c r="E2351" s="20"/>
    </row>
    <row r="2352">
      <c r="A2352" s="196"/>
      <c r="B2352" s="197"/>
      <c r="C2352" s="197"/>
      <c r="D2352" s="20"/>
      <c r="E2352" s="20"/>
    </row>
    <row r="2353">
      <c r="A2353" s="196"/>
      <c r="B2353" s="197"/>
      <c r="C2353" s="197"/>
      <c r="D2353" s="20"/>
      <c r="E2353" s="20"/>
    </row>
    <row r="2354">
      <c r="A2354" s="196"/>
      <c r="B2354" s="197"/>
      <c r="C2354" s="197"/>
      <c r="D2354" s="20"/>
      <c r="E2354" s="20"/>
    </row>
    <row r="2355">
      <c r="A2355" s="196"/>
      <c r="B2355" s="197"/>
      <c r="C2355" s="197"/>
      <c r="D2355" s="20"/>
      <c r="E2355" s="20"/>
    </row>
    <row r="2356">
      <c r="A2356" s="196"/>
      <c r="B2356" s="197"/>
      <c r="C2356" s="197"/>
      <c r="D2356" s="20"/>
      <c r="E2356" s="20"/>
    </row>
    <row r="2357">
      <c r="A2357" s="196"/>
      <c r="B2357" s="197"/>
      <c r="C2357" s="197"/>
      <c r="D2357" s="20"/>
      <c r="E2357" s="20"/>
    </row>
    <row r="2358">
      <c r="A2358" s="196"/>
      <c r="B2358" s="197"/>
      <c r="C2358" s="197"/>
      <c r="D2358" s="20"/>
      <c r="E2358" s="20"/>
    </row>
    <row r="2359">
      <c r="A2359" s="196"/>
      <c r="B2359" s="197"/>
      <c r="C2359" s="197"/>
      <c r="D2359" s="20"/>
      <c r="E2359" s="20"/>
    </row>
    <row r="2360">
      <c r="A2360" s="196"/>
      <c r="B2360" s="197"/>
      <c r="C2360" s="197"/>
      <c r="D2360" s="20"/>
      <c r="E2360" s="20"/>
    </row>
    <row r="2361">
      <c r="A2361" s="196"/>
      <c r="B2361" s="197"/>
      <c r="C2361" s="197"/>
      <c r="D2361" s="20"/>
      <c r="E2361" s="20"/>
    </row>
    <row r="2362">
      <c r="A2362" s="196"/>
      <c r="B2362" s="197"/>
      <c r="C2362" s="197"/>
      <c r="D2362" s="20"/>
      <c r="E2362" s="20"/>
    </row>
    <row r="2363">
      <c r="A2363" s="196"/>
      <c r="B2363" s="197"/>
      <c r="C2363" s="197"/>
      <c r="D2363" s="20"/>
      <c r="E2363" s="20"/>
    </row>
    <row r="2364">
      <c r="A2364" s="196"/>
      <c r="B2364" s="197"/>
      <c r="C2364" s="197"/>
      <c r="D2364" s="20"/>
      <c r="E2364" s="20"/>
    </row>
    <row r="2365">
      <c r="A2365" s="196"/>
      <c r="B2365" s="197"/>
      <c r="C2365" s="197"/>
      <c r="D2365" s="20"/>
      <c r="E2365" s="20"/>
    </row>
    <row r="2366">
      <c r="A2366" s="196"/>
      <c r="B2366" s="197"/>
      <c r="C2366" s="197"/>
      <c r="D2366" s="20"/>
      <c r="E2366" s="20"/>
    </row>
    <row r="2367">
      <c r="A2367" s="196"/>
      <c r="B2367" s="197"/>
      <c r="C2367" s="197"/>
      <c r="D2367" s="20"/>
      <c r="E2367" s="20"/>
    </row>
    <row r="2368">
      <c r="A2368" s="196"/>
      <c r="B2368" s="197"/>
      <c r="C2368" s="197"/>
      <c r="D2368" s="20"/>
      <c r="E2368" s="20"/>
    </row>
    <row r="2369">
      <c r="A2369" s="196"/>
      <c r="B2369" s="197"/>
      <c r="C2369" s="197"/>
      <c r="D2369" s="20"/>
      <c r="E2369" s="20"/>
    </row>
    <row r="2370">
      <c r="A2370" s="196"/>
      <c r="B2370" s="197"/>
      <c r="C2370" s="197"/>
      <c r="D2370" s="20"/>
      <c r="E2370" s="20"/>
    </row>
    <row r="2371">
      <c r="A2371" s="196"/>
      <c r="B2371" s="197"/>
      <c r="C2371" s="197"/>
      <c r="D2371" s="20"/>
      <c r="E2371" s="20"/>
    </row>
    <row r="2372">
      <c r="A2372" s="196"/>
      <c r="B2372" s="197"/>
      <c r="C2372" s="197"/>
      <c r="D2372" s="20"/>
      <c r="E2372" s="20"/>
    </row>
    <row r="2373">
      <c r="A2373" s="196"/>
      <c r="B2373" s="197"/>
      <c r="C2373" s="197"/>
      <c r="D2373" s="20"/>
      <c r="E2373" s="20"/>
    </row>
    <row r="2374">
      <c r="A2374" s="196"/>
      <c r="B2374" s="197"/>
      <c r="C2374" s="197"/>
      <c r="D2374" s="20"/>
      <c r="E2374" s="20"/>
    </row>
    <row r="2375">
      <c r="A2375" s="196"/>
      <c r="B2375" s="197"/>
      <c r="C2375" s="197"/>
      <c r="D2375" s="20"/>
      <c r="E2375" s="20"/>
    </row>
    <row r="2376">
      <c r="A2376" s="196"/>
      <c r="B2376" s="197"/>
      <c r="C2376" s="197"/>
      <c r="D2376" s="20"/>
      <c r="E2376" s="20"/>
    </row>
    <row r="2377">
      <c r="A2377" s="196"/>
      <c r="B2377" s="197"/>
      <c r="C2377" s="197"/>
      <c r="D2377" s="20"/>
      <c r="E2377" s="20"/>
    </row>
    <row r="2378">
      <c r="A2378" s="196"/>
      <c r="B2378" s="197"/>
      <c r="C2378" s="197"/>
      <c r="D2378" s="20"/>
      <c r="E2378" s="20"/>
    </row>
    <row r="2379">
      <c r="A2379" s="196"/>
      <c r="B2379" s="197"/>
      <c r="C2379" s="197"/>
      <c r="D2379" s="20"/>
      <c r="E2379" s="20"/>
    </row>
    <row r="2380">
      <c r="A2380" s="196"/>
      <c r="B2380" s="197"/>
      <c r="C2380" s="197"/>
      <c r="D2380" s="20"/>
      <c r="E2380" s="20"/>
    </row>
    <row r="2381">
      <c r="A2381" s="196"/>
      <c r="B2381" s="197"/>
      <c r="C2381" s="197"/>
      <c r="D2381" s="20"/>
      <c r="E2381" s="20"/>
    </row>
    <row r="2382">
      <c r="A2382" s="196"/>
      <c r="B2382" s="197"/>
      <c r="C2382" s="197"/>
      <c r="D2382" s="20"/>
      <c r="E2382" s="20"/>
    </row>
    <row r="2383">
      <c r="A2383" s="196"/>
      <c r="B2383" s="197"/>
      <c r="C2383" s="197"/>
      <c r="D2383" s="20"/>
      <c r="E2383" s="20"/>
    </row>
    <row r="2384">
      <c r="A2384" s="196"/>
      <c r="B2384" s="197"/>
      <c r="C2384" s="197"/>
      <c r="D2384" s="20"/>
      <c r="E2384" s="20"/>
    </row>
    <row r="2385">
      <c r="A2385" s="196"/>
      <c r="B2385" s="197"/>
      <c r="C2385" s="197"/>
      <c r="D2385" s="20"/>
      <c r="E2385" s="20"/>
    </row>
    <row r="2386">
      <c r="A2386" s="196"/>
      <c r="B2386" s="197"/>
      <c r="C2386" s="197"/>
      <c r="D2386" s="20"/>
      <c r="E2386" s="20"/>
    </row>
    <row r="2387">
      <c r="A2387" s="196"/>
      <c r="B2387" s="197"/>
      <c r="C2387" s="197"/>
      <c r="D2387" s="20"/>
      <c r="E2387" s="20"/>
    </row>
    <row r="2388">
      <c r="A2388" s="196"/>
      <c r="B2388" s="197"/>
      <c r="C2388" s="197"/>
      <c r="D2388" s="20"/>
      <c r="E2388" s="20"/>
    </row>
    <row r="2389">
      <c r="A2389" s="196"/>
      <c r="B2389" s="197"/>
      <c r="C2389" s="197"/>
      <c r="D2389" s="20"/>
      <c r="E2389" s="20"/>
    </row>
    <row r="2390">
      <c r="A2390" s="196"/>
      <c r="B2390" s="197"/>
      <c r="C2390" s="197"/>
      <c r="D2390" s="20"/>
      <c r="E2390" s="20"/>
    </row>
    <row r="2391">
      <c r="A2391" s="196"/>
      <c r="B2391" s="197"/>
      <c r="C2391" s="197"/>
      <c r="D2391" s="20"/>
      <c r="E2391" s="20"/>
    </row>
    <row r="2392">
      <c r="A2392" s="196"/>
      <c r="B2392" s="197"/>
      <c r="C2392" s="197"/>
      <c r="D2392" s="20"/>
      <c r="E2392" s="20"/>
    </row>
    <row r="2393">
      <c r="A2393" s="196"/>
      <c r="B2393" s="197"/>
      <c r="C2393" s="197"/>
      <c r="D2393" s="20"/>
      <c r="E2393" s="20"/>
    </row>
    <row r="2394">
      <c r="A2394" s="196"/>
      <c r="B2394" s="197"/>
      <c r="C2394" s="197"/>
      <c r="D2394" s="20"/>
      <c r="E2394" s="20"/>
    </row>
    <row r="2395">
      <c r="A2395" s="196"/>
      <c r="B2395" s="197"/>
      <c r="C2395" s="197"/>
      <c r="D2395" s="20"/>
      <c r="E2395" s="20"/>
    </row>
    <row r="2396">
      <c r="A2396" s="196"/>
      <c r="B2396" s="197"/>
      <c r="C2396" s="197"/>
      <c r="D2396" s="20"/>
      <c r="E2396" s="20"/>
    </row>
    <row r="2397">
      <c r="A2397" s="196"/>
      <c r="B2397" s="197"/>
      <c r="C2397" s="197"/>
      <c r="D2397" s="20"/>
      <c r="E2397" s="20"/>
    </row>
    <row r="2398">
      <c r="A2398" s="196"/>
      <c r="B2398" s="197"/>
      <c r="C2398" s="197"/>
      <c r="D2398" s="20"/>
      <c r="E2398" s="20"/>
    </row>
    <row r="2399">
      <c r="A2399" s="196"/>
      <c r="B2399" s="197"/>
      <c r="C2399" s="197"/>
      <c r="D2399" s="20"/>
      <c r="E2399" s="20"/>
    </row>
    <row r="2400">
      <c r="A2400" s="196"/>
      <c r="B2400" s="197"/>
      <c r="C2400" s="197"/>
      <c r="D2400" s="20"/>
      <c r="E2400" s="20"/>
    </row>
    <row r="2401">
      <c r="A2401" s="196"/>
      <c r="B2401" s="197"/>
      <c r="C2401" s="197"/>
      <c r="D2401" s="20"/>
      <c r="E2401" s="20"/>
    </row>
    <row r="2402">
      <c r="A2402" s="196"/>
      <c r="B2402" s="197"/>
      <c r="C2402" s="197"/>
      <c r="D2402" s="20"/>
      <c r="E2402" s="20"/>
    </row>
    <row r="2403">
      <c r="A2403" s="196"/>
      <c r="B2403" s="197"/>
      <c r="C2403" s="197"/>
      <c r="D2403" s="20"/>
      <c r="E2403" s="20"/>
    </row>
    <row r="2404">
      <c r="A2404" s="196"/>
      <c r="B2404" s="197"/>
      <c r="C2404" s="197"/>
      <c r="D2404" s="20"/>
      <c r="E2404" s="20"/>
    </row>
    <row r="2405">
      <c r="A2405" s="196"/>
      <c r="B2405" s="197"/>
      <c r="C2405" s="197"/>
      <c r="D2405" s="20"/>
      <c r="E2405" s="20"/>
    </row>
    <row r="2406">
      <c r="A2406" s="196"/>
      <c r="B2406" s="197"/>
      <c r="C2406" s="197"/>
      <c r="D2406" s="20"/>
      <c r="E2406" s="20"/>
    </row>
    <row r="2407">
      <c r="A2407" s="196"/>
      <c r="B2407" s="197"/>
      <c r="C2407" s="197"/>
      <c r="D2407" s="20"/>
      <c r="E2407" s="20"/>
    </row>
    <row r="2408">
      <c r="A2408" s="196"/>
      <c r="B2408" s="197"/>
      <c r="C2408" s="197"/>
      <c r="D2408" s="20"/>
      <c r="E2408" s="20"/>
    </row>
    <row r="2409">
      <c r="A2409" s="196"/>
      <c r="B2409" s="197"/>
      <c r="C2409" s="197"/>
      <c r="D2409" s="20"/>
      <c r="E2409" s="20"/>
    </row>
    <row r="2410">
      <c r="A2410" s="196"/>
      <c r="B2410" s="197"/>
      <c r="C2410" s="197"/>
      <c r="D2410" s="20"/>
      <c r="E2410" s="20"/>
    </row>
    <row r="2411">
      <c r="A2411" s="196"/>
      <c r="B2411" s="197"/>
      <c r="C2411" s="197"/>
      <c r="D2411" s="20"/>
      <c r="E2411" s="20"/>
    </row>
    <row r="2412">
      <c r="A2412" s="196"/>
      <c r="B2412" s="197"/>
      <c r="C2412" s="197"/>
      <c r="D2412" s="20"/>
      <c r="E2412" s="20"/>
    </row>
    <row r="2413">
      <c r="A2413" s="196"/>
      <c r="B2413" s="197"/>
      <c r="C2413" s="197"/>
      <c r="D2413" s="20"/>
      <c r="E2413" s="20"/>
    </row>
    <row r="2414">
      <c r="A2414" s="196"/>
      <c r="B2414" s="197"/>
      <c r="C2414" s="197"/>
      <c r="D2414" s="20"/>
      <c r="E2414" s="20"/>
    </row>
    <row r="2415">
      <c r="A2415" s="196"/>
      <c r="B2415" s="197"/>
      <c r="C2415" s="197"/>
      <c r="D2415" s="20"/>
      <c r="E2415" s="20"/>
    </row>
    <row r="2416">
      <c r="A2416" s="196"/>
      <c r="B2416" s="197"/>
      <c r="C2416" s="197"/>
      <c r="D2416" s="20"/>
      <c r="E2416" s="20"/>
    </row>
    <row r="2417">
      <c r="A2417" s="196"/>
      <c r="B2417" s="197"/>
      <c r="C2417" s="197"/>
      <c r="D2417" s="20"/>
      <c r="E2417" s="20"/>
    </row>
    <row r="2418">
      <c r="A2418" s="196"/>
      <c r="B2418" s="197"/>
      <c r="C2418" s="197"/>
      <c r="D2418" s="20"/>
      <c r="E2418" s="20"/>
    </row>
    <row r="2419">
      <c r="A2419" s="196"/>
      <c r="B2419" s="197"/>
      <c r="C2419" s="197"/>
      <c r="D2419" s="20"/>
      <c r="E2419" s="20"/>
    </row>
    <row r="2420">
      <c r="A2420" s="196"/>
      <c r="B2420" s="197"/>
      <c r="C2420" s="197"/>
      <c r="D2420" s="20"/>
      <c r="E2420" s="20"/>
    </row>
    <row r="2421">
      <c r="A2421" s="196"/>
      <c r="B2421" s="197"/>
      <c r="C2421" s="197"/>
      <c r="D2421" s="20"/>
      <c r="E2421" s="20"/>
    </row>
    <row r="2422">
      <c r="A2422" s="196"/>
      <c r="B2422" s="197"/>
      <c r="C2422" s="197"/>
      <c r="D2422" s="20"/>
      <c r="E2422" s="20"/>
    </row>
    <row r="2423">
      <c r="A2423" s="196"/>
      <c r="B2423" s="197"/>
      <c r="C2423" s="197"/>
      <c r="D2423" s="20"/>
      <c r="E2423" s="20"/>
    </row>
    <row r="2424">
      <c r="A2424" s="196"/>
      <c r="B2424" s="197"/>
      <c r="C2424" s="197"/>
      <c r="D2424" s="20"/>
      <c r="E2424" s="20"/>
    </row>
    <row r="2425">
      <c r="A2425" s="196"/>
      <c r="B2425" s="197"/>
      <c r="C2425" s="197"/>
      <c r="D2425" s="20"/>
      <c r="E2425" s="20"/>
    </row>
    <row r="2426">
      <c r="A2426" s="196"/>
      <c r="B2426" s="197"/>
      <c r="C2426" s="197"/>
      <c r="D2426" s="20"/>
      <c r="E2426" s="20"/>
    </row>
    <row r="2427">
      <c r="A2427" s="196"/>
      <c r="B2427" s="197"/>
      <c r="C2427" s="197"/>
      <c r="D2427" s="20"/>
      <c r="E2427" s="20"/>
    </row>
    <row r="2428">
      <c r="A2428" s="196"/>
      <c r="B2428" s="197"/>
      <c r="C2428" s="197"/>
      <c r="D2428" s="20"/>
      <c r="E2428" s="20"/>
    </row>
    <row r="2429">
      <c r="A2429" s="196"/>
      <c r="B2429" s="197"/>
      <c r="C2429" s="197"/>
      <c r="D2429" s="20"/>
      <c r="E2429" s="20"/>
    </row>
    <row r="2430">
      <c r="A2430" s="196"/>
      <c r="B2430" s="197"/>
      <c r="C2430" s="197"/>
      <c r="D2430" s="20"/>
      <c r="E2430" s="20"/>
    </row>
    <row r="2431">
      <c r="A2431" s="196"/>
      <c r="B2431" s="197"/>
      <c r="C2431" s="197"/>
      <c r="D2431" s="20"/>
      <c r="E2431" s="20"/>
    </row>
    <row r="2432">
      <c r="A2432" s="196"/>
      <c r="B2432" s="197"/>
      <c r="C2432" s="197"/>
      <c r="D2432" s="20"/>
      <c r="E2432" s="20"/>
    </row>
    <row r="2433">
      <c r="A2433" s="196"/>
      <c r="B2433" s="197"/>
      <c r="C2433" s="197"/>
      <c r="D2433" s="20"/>
      <c r="E2433" s="20"/>
    </row>
    <row r="2434">
      <c r="A2434" s="196"/>
      <c r="B2434" s="197"/>
      <c r="C2434" s="197"/>
      <c r="D2434" s="20"/>
      <c r="E2434" s="20"/>
    </row>
    <row r="2435">
      <c r="A2435" s="196"/>
      <c r="B2435" s="197"/>
      <c r="C2435" s="197"/>
      <c r="D2435" s="20"/>
      <c r="E2435" s="20"/>
    </row>
    <row r="2436">
      <c r="A2436" s="196"/>
      <c r="B2436" s="197"/>
      <c r="C2436" s="197"/>
      <c r="D2436" s="20"/>
      <c r="E2436" s="20"/>
    </row>
    <row r="2437">
      <c r="A2437" s="196"/>
      <c r="B2437" s="197"/>
      <c r="C2437" s="197"/>
      <c r="D2437" s="20"/>
      <c r="E2437" s="20"/>
    </row>
    <row r="2438">
      <c r="A2438" s="196"/>
      <c r="B2438" s="197"/>
      <c r="C2438" s="197"/>
      <c r="D2438" s="20"/>
      <c r="E2438" s="20"/>
    </row>
    <row r="2439">
      <c r="A2439" s="196"/>
      <c r="B2439" s="197"/>
      <c r="C2439" s="197"/>
      <c r="D2439" s="20"/>
      <c r="E2439" s="20"/>
    </row>
    <row r="2440">
      <c r="A2440" s="196"/>
      <c r="B2440" s="197"/>
      <c r="C2440" s="197"/>
      <c r="D2440" s="20"/>
      <c r="E2440" s="20"/>
    </row>
    <row r="2441">
      <c r="A2441" s="196"/>
      <c r="B2441" s="197"/>
      <c r="C2441" s="197"/>
      <c r="D2441" s="20"/>
      <c r="E2441" s="20"/>
    </row>
    <row r="2442">
      <c r="A2442" s="196"/>
      <c r="B2442" s="197"/>
      <c r="C2442" s="197"/>
      <c r="D2442" s="20"/>
      <c r="E2442" s="20"/>
    </row>
    <row r="2443">
      <c r="A2443" s="196"/>
      <c r="B2443" s="197"/>
      <c r="C2443" s="197"/>
      <c r="D2443" s="20"/>
      <c r="E2443" s="20"/>
    </row>
    <row r="2444">
      <c r="A2444" s="196"/>
      <c r="B2444" s="197"/>
      <c r="C2444" s="197"/>
      <c r="D2444" s="20"/>
      <c r="E2444" s="20"/>
    </row>
    <row r="2445">
      <c r="A2445" s="196"/>
      <c r="B2445" s="197"/>
      <c r="C2445" s="197"/>
      <c r="D2445" s="20"/>
      <c r="E2445" s="20"/>
    </row>
    <row r="2446">
      <c r="A2446" s="196"/>
      <c r="B2446" s="197"/>
      <c r="C2446" s="197"/>
      <c r="D2446" s="20"/>
      <c r="E2446" s="20"/>
    </row>
    <row r="2447">
      <c r="A2447" s="196"/>
      <c r="B2447" s="197"/>
      <c r="C2447" s="197"/>
      <c r="D2447" s="20"/>
      <c r="E2447" s="20"/>
    </row>
    <row r="2448">
      <c r="A2448" s="196"/>
      <c r="B2448" s="197"/>
      <c r="C2448" s="197"/>
      <c r="D2448" s="20"/>
      <c r="E2448" s="20"/>
    </row>
    <row r="2449">
      <c r="A2449" s="196"/>
      <c r="B2449" s="197"/>
      <c r="C2449" s="197"/>
      <c r="D2449" s="20"/>
      <c r="E2449" s="20"/>
    </row>
    <row r="2450">
      <c r="A2450" s="196"/>
      <c r="B2450" s="197"/>
      <c r="C2450" s="197"/>
      <c r="D2450" s="20"/>
      <c r="E2450" s="20"/>
    </row>
    <row r="2451">
      <c r="A2451" s="196"/>
      <c r="B2451" s="197"/>
      <c r="C2451" s="197"/>
      <c r="D2451" s="20"/>
      <c r="E2451" s="20"/>
    </row>
    <row r="2452">
      <c r="A2452" s="196"/>
      <c r="B2452" s="197"/>
      <c r="C2452" s="197"/>
      <c r="D2452" s="20"/>
      <c r="E2452" s="20"/>
    </row>
    <row r="2453">
      <c r="A2453" s="196"/>
      <c r="B2453" s="197"/>
      <c r="C2453" s="197"/>
      <c r="D2453" s="20"/>
      <c r="E2453" s="20"/>
    </row>
    <row r="2454">
      <c r="A2454" s="196"/>
      <c r="B2454" s="197"/>
      <c r="C2454" s="197"/>
      <c r="D2454" s="20"/>
      <c r="E2454" s="20"/>
    </row>
    <row r="2455">
      <c r="A2455" s="196"/>
      <c r="B2455" s="197"/>
      <c r="C2455" s="197"/>
      <c r="D2455" s="20"/>
      <c r="E2455" s="20"/>
    </row>
    <row r="2456">
      <c r="A2456" s="196"/>
      <c r="B2456" s="197"/>
      <c r="C2456" s="197"/>
      <c r="D2456" s="20"/>
      <c r="E2456" s="20"/>
    </row>
    <row r="2457">
      <c r="A2457" s="196"/>
      <c r="B2457" s="197"/>
      <c r="C2457" s="197"/>
      <c r="D2457" s="20"/>
      <c r="E2457" s="20"/>
    </row>
    <row r="2458">
      <c r="A2458" s="196"/>
      <c r="B2458" s="197"/>
      <c r="C2458" s="197"/>
      <c r="D2458" s="20"/>
      <c r="E2458" s="20"/>
    </row>
    <row r="2459">
      <c r="A2459" s="196"/>
      <c r="B2459" s="197"/>
      <c r="C2459" s="197"/>
      <c r="D2459" s="20"/>
      <c r="E2459" s="20"/>
    </row>
    <row r="2460">
      <c r="A2460" s="196"/>
      <c r="B2460" s="197"/>
      <c r="C2460" s="197"/>
      <c r="D2460" s="20"/>
      <c r="E2460" s="20"/>
    </row>
    <row r="2461">
      <c r="A2461" s="196"/>
      <c r="B2461" s="197"/>
      <c r="C2461" s="197"/>
      <c r="D2461" s="20"/>
      <c r="E2461" s="20"/>
    </row>
    <row r="2462">
      <c r="A2462" s="196"/>
      <c r="B2462" s="197"/>
      <c r="C2462" s="197"/>
      <c r="D2462" s="20"/>
      <c r="E2462" s="20"/>
    </row>
    <row r="2463">
      <c r="A2463" s="196"/>
      <c r="B2463" s="197"/>
      <c r="C2463" s="197"/>
      <c r="D2463" s="20"/>
      <c r="E2463" s="20"/>
    </row>
    <row r="2464">
      <c r="A2464" s="196"/>
      <c r="B2464" s="197"/>
      <c r="C2464" s="197"/>
      <c r="D2464" s="20"/>
      <c r="E2464" s="20"/>
    </row>
    <row r="2465">
      <c r="A2465" s="196"/>
      <c r="B2465" s="197"/>
      <c r="C2465" s="197"/>
      <c r="D2465" s="20"/>
      <c r="E2465" s="20"/>
    </row>
    <row r="2466">
      <c r="A2466" s="196"/>
      <c r="B2466" s="197"/>
      <c r="C2466" s="197"/>
      <c r="D2466" s="20"/>
      <c r="E2466" s="20"/>
    </row>
    <row r="2467">
      <c r="A2467" s="196"/>
      <c r="B2467" s="197"/>
      <c r="C2467" s="197"/>
      <c r="D2467" s="20"/>
      <c r="E2467" s="20"/>
    </row>
    <row r="2468">
      <c r="A2468" s="196"/>
      <c r="B2468" s="197"/>
      <c r="C2468" s="197"/>
      <c r="D2468" s="20"/>
      <c r="E2468" s="20"/>
    </row>
    <row r="2469">
      <c r="A2469" s="196"/>
      <c r="B2469" s="197"/>
      <c r="C2469" s="197"/>
      <c r="D2469" s="20"/>
      <c r="E2469" s="20"/>
    </row>
    <row r="2470">
      <c r="A2470" s="196"/>
      <c r="B2470" s="197"/>
      <c r="C2470" s="197"/>
      <c r="D2470" s="20"/>
      <c r="E2470" s="20"/>
    </row>
    <row r="2471">
      <c r="A2471" s="196"/>
      <c r="B2471" s="197"/>
      <c r="C2471" s="197"/>
      <c r="D2471" s="20"/>
      <c r="E2471" s="20"/>
    </row>
    <row r="2472">
      <c r="A2472" s="196"/>
      <c r="B2472" s="197"/>
      <c r="C2472" s="197"/>
      <c r="D2472" s="20"/>
      <c r="E2472" s="20"/>
    </row>
    <row r="2473">
      <c r="A2473" s="196"/>
      <c r="B2473" s="197"/>
      <c r="C2473" s="197"/>
      <c r="D2473" s="20"/>
      <c r="E2473" s="20"/>
    </row>
    <row r="2474">
      <c r="A2474" s="196"/>
      <c r="B2474" s="197"/>
      <c r="C2474" s="197"/>
      <c r="D2474" s="20"/>
      <c r="E2474" s="20"/>
    </row>
    <row r="2475">
      <c r="A2475" s="196"/>
      <c r="B2475" s="197"/>
      <c r="C2475" s="197"/>
      <c r="D2475" s="20"/>
      <c r="E2475" s="20"/>
    </row>
    <row r="2476">
      <c r="A2476" s="196"/>
      <c r="B2476" s="197"/>
      <c r="C2476" s="197"/>
      <c r="D2476" s="20"/>
      <c r="E2476" s="20"/>
    </row>
    <row r="2477">
      <c r="A2477" s="196"/>
      <c r="B2477" s="197"/>
      <c r="C2477" s="197"/>
      <c r="D2477" s="20"/>
      <c r="E2477" s="20"/>
    </row>
    <row r="2478">
      <c r="A2478" s="196"/>
      <c r="B2478" s="197"/>
      <c r="C2478" s="197"/>
      <c r="D2478" s="20"/>
      <c r="E2478" s="20"/>
    </row>
    <row r="2479">
      <c r="A2479" s="196"/>
      <c r="B2479" s="197"/>
      <c r="C2479" s="197"/>
      <c r="D2479" s="20"/>
      <c r="E2479" s="20"/>
    </row>
    <row r="2480">
      <c r="A2480" s="196"/>
      <c r="B2480" s="197"/>
      <c r="C2480" s="197"/>
      <c r="D2480" s="20"/>
      <c r="E2480" s="20"/>
    </row>
    <row r="2481">
      <c r="A2481" s="196"/>
      <c r="B2481" s="197"/>
      <c r="C2481" s="197"/>
      <c r="D2481" s="20"/>
      <c r="E2481" s="20"/>
    </row>
    <row r="2482">
      <c r="A2482" s="196"/>
      <c r="B2482" s="197"/>
      <c r="C2482" s="197"/>
      <c r="D2482" s="20"/>
      <c r="E2482" s="20"/>
    </row>
    <row r="2483">
      <c r="A2483" s="196"/>
      <c r="B2483" s="197"/>
      <c r="C2483" s="197"/>
      <c r="D2483" s="20"/>
      <c r="E2483" s="20"/>
    </row>
    <row r="2484">
      <c r="A2484" s="196"/>
      <c r="B2484" s="197"/>
      <c r="C2484" s="197"/>
      <c r="D2484" s="20"/>
      <c r="E2484" s="20"/>
    </row>
    <row r="2485">
      <c r="A2485" s="196"/>
      <c r="B2485" s="197"/>
      <c r="C2485" s="197"/>
      <c r="D2485" s="20"/>
      <c r="E2485" s="20"/>
    </row>
    <row r="2486">
      <c r="A2486" s="196"/>
      <c r="B2486" s="197"/>
      <c r="C2486" s="197"/>
      <c r="D2486" s="20"/>
      <c r="E2486" s="20"/>
    </row>
    <row r="2487">
      <c r="A2487" s="196"/>
      <c r="B2487" s="197"/>
      <c r="C2487" s="197"/>
      <c r="D2487" s="20"/>
      <c r="E2487" s="20"/>
    </row>
    <row r="2488">
      <c r="A2488" s="196"/>
      <c r="B2488" s="197"/>
      <c r="C2488" s="197"/>
      <c r="D2488" s="20"/>
      <c r="E2488" s="20"/>
    </row>
    <row r="2489">
      <c r="A2489" s="196"/>
      <c r="B2489" s="197"/>
      <c r="C2489" s="197"/>
      <c r="D2489" s="20"/>
      <c r="E2489" s="20"/>
    </row>
    <row r="2490">
      <c r="A2490" s="196"/>
      <c r="B2490" s="197"/>
      <c r="C2490" s="197"/>
      <c r="D2490" s="20"/>
      <c r="E2490" s="20"/>
    </row>
    <row r="2491">
      <c r="A2491" s="196"/>
      <c r="B2491" s="197"/>
      <c r="C2491" s="197"/>
      <c r="D2491" s="20"/>
      <c r="E2491" s="20"/>
    </row>
    <row r="2492">
      <c r="A2492" s="196"/>
      <c r="B2492" s="197"/>
      <c r="C2492" s="197"/>
      <c r="D2492" s="20"/>
      <c r="E2492" s="20"/>
    </row>
    <row r="2493">
      <c r="A2493" s="196"/>
      <c r="B2493" s="197"/>
      <c r="C2493" s="197"/>
      <c r="D2493" s="20"/>
      <c r="E2493" s="20"/>
    </row>
    <row r="2494">
      <c r="A2494" s="196"/>
      <c r="B2494" s="197"/>
      <c r="C2494" s="197"/>
      <c r="D2494" s="20"/>
      <c r="E2494" s="20"/>
    </row>
    <row r="2495">
      <c r="A2495" s="196"/>
      <c r="B2495" s="197"/>
      <c r="C2495" s="197"/>
      <c r="D2495" s="20"/>
      <c r="E2495" s="20"/>
    </row>
    <row r="2496">
      <c r="A2496" s="196"/>
      <c r="B2496" s="197"/>
      <c r="C2496" s="197"/>
      <c r="D2496" s="20"/>
      <c r="E2496" s="20"/>
    </row>
    <row r="2497">
      <c r="A2497" s="196"/>
      <c r="B2497" s="197"/>
      <c r="C2497" s="197"/>
      <c r="D2497" s="20"/>
      <c r="E2497" s="20"/>
    </row>
    <row r="2498">
      <c r="A2498" s="196"/>
      <c r="B2498" s="197"/>
      <c r="C2498" s="197"/>
      <c r="D2498" s="20"/>
      <c r="E2498" s="20"/>
    </row>
    <row r="2499">
      <c r="A2499" s="196"/>
      <c r="B2499" s="197"/>
      <c r="C2499" s="197"/>
      <c r="D2499" s="20"/>
      <c r="E2499" s="20"/>
    </row>
    <row r="2500">
      <c r="A2500" s="196"/>
      <c r="B2500" s="197"/>
      <c r="C2500" s="197"/>
      <c r="D2500" s="20"/>
      <c r="E2500" s="20"/>
    </row>
    <row r="2501">
      <c r="A2501" s="196"/>
      <c r="B2501" s="197"/>
      <c r="C2501" s="197"/>
      <c r="D2501" s="20"/>
      <c r="E2501" s="20"/>
    </row>
    <row r="2502">
      <c r="A2502" s="196"/>
      <c r="B2502" s="197"/>
      <c r="C2502" s="197"/>
      <c r="D2502" s="20"/>
      <c r="E2502" s="20"/>
    </row>
    <row r="2503">
      <c r="A2503" s="196"/>
      <c r="B2503" s="197"/>
      <c r="C2503" s="197"/>
      <c r="D2503" s="20"/>
      <c r="E2503" s="20"/>
    </row>
    <row r="2504">
      <c r="A2504" s="196"/>
      <c r="B2504" s="197"/>
      <c r="C2504" s="197"/>
      <c r="D2504" s="20"/>
      <c r="E2504" s="20"/>
    </row>
    <row r="2505">
      <c r="A2505" s="196"/>
      <c r="B2505" s="197"/>
      <c r="C2505" s="197"/>
      <c r="D2505" s="20"/>
      <c r="E2505" s="20"/>
    </row>
    <row r="2506">
      <c r="A2506" s="196"/>
      <c r="B2506" s="197"/>
      <c r="C2506" s="197"/>
      <c r="D2506" s="20"/>
      <c r="E2506" s="20"/>
    </row>
    <row r="2507">
      <c r="A2507" s="196"/>
      <c r="B2507" s="197"/>
      <c r="C2507" s="197"/>
      <c r="D2507" s="20"/>
      <c r="E2507" s="20"/>
    </row>
    <row r="2508">
      <c r="A2508" s="196"/>
      <c r="B2508" s="197"/>
      <c r="C2508" s="197"/>
      <c r="D2508" s="20"/>
      <c r="E2508" s="20"/>
    </row>
    <row r="2509">
      <c r="A2509" s="196"/>
      <c r="B2509" s="197"/>
      <c r="C2509" s="197"/>
      <c r="D2509" s="20"/>
      <c r="E2509" s="20"/>
    </row>
    <row r="2510">
      <c r="A2510" s="196"/>
      <c r="B2510" s="197"/>
      <c r="C2510" s="197"/>
      <c r="D2510" s="20"/>
      <c r="E2510" s="20"/>
    </row>
    <row r="2511">
      <c r="A2511" s="196"/>
      <c r="B2511" s="197"/>
      <c r="C2511" s="197"/>
      <c r="D2511" s="20"/>
      <c r="E2511" s="20"/>
    </row>
    <row r="2512">
      <c r="A2512" s="196"/>
      <c r="B2512" s="197"/>
      <c r="C2512" s="197"/>
      <c r="D2512" s="20"/>
      <c r="E2512" s="20"/>
    </row>
    <row r="2513">
      <c r="A2513" s="196"/>
      <c r="B2513" s="197"/>
      <c r="C2513" s="197"/>
      <c r="D2513" s="20"/>
      <c r="E2513" s="20"/>
    </row>
    <row r="2514">
      <c r="A2514" s="196"/>
      <c r="B2514" s="197"/>
      <c r="C2514" s="197"/>
      <c r="D2514" s="20"/>
      <c r="E2514" s="20"/>
    </row>
    <row r="2515">
      <c r="A2515" s="196"/>
      <c r="B2515" s="197"/>
      <c r="C2515" s="197"/>
      <c r="D2515" s="20"/>
      <c r="E2515" s="20"/>
    </row>
    <row r="2516">
      <c r="A2516" s="196"/>
      <c r="B2516" s="197"/>
      <c r="C2516" s="197"/>
      <c r="D2516" s="20"/>
      <c r="E2516" s="20"/>
    </row>
    <row r="2517">
      <c r="A2517" s="196"/>
      <c r="B2517" s="197"/>
      <c r="C2517" s="197"/>
      <c r="D2517" s="20"/>
      <c r="E2517" s="20"/>
    </row>
    <row r="2518">
      <c r="A2518" s="196"/>
      <c r="B2518" s="197"/>
      <c r="C2518" s="197"/>
      <c r="D2518" s="20"/>
      <c r="E2518" s="20"/>
    </row>
    <row r="2519">
      <c r="A2519" s="196"/>
      <c r="B2519" s="197"/>
      <c r="C2519" s="197"/>
      <c r="D2519" s="20"/>
      <c r="E2519" s="20"/>
    </row>
    <row r="2520">
      <c r="A2520" s="196"/>
      <c r="B2520" s="197"/>
      <c r="C2520" s="197"/>
      <c r="D2520" s="20"/>
      <c r="E2520" s="20"/>
    </row>
    <row r="2521">
      <c r="A2521" s="196"/>
      <c r="B2521" s="197"/>
      <c r="C2521" s="197"/>
      <c r="D2521" s="20"/>
      <c r="E2521" s="20"/>
    </row>
    <row r="2522">
      <c r="A2522" s="196"/>
      <c r="B2522" s="197"/>
      <c r="C2522" s="197"/>
      <c r="D2522" s="20"/>
      <c r="E2522" s="20"/>
    </row>
    <row r="2523">
      <c r="A2523" s="196"/>
      <c r="B2523" s="197"/>
      <c r="C2523" s="197"/>
      <c r="D2523" s="20"/>
      <c r="E2523" s="20"/>
    </row>
    <row r="2524">
      <c r="A2524" s="196"/>
      <c r="B2524" s="197"/>
      <c r="C2524" s="197"/>
      <c r="D2524" s="20"/>
      <c r="E2524" s="20"/>
    </row>
    <row r="2525">
      <c r="A2525" s="196"/>
      <c r="B2525" s="197"/>
      <c r="C2525" s="197"/>
      <c r="D2525" s="20"/>
      <c r="E2525" s="20"/>
    </row>
    <row r="2526">
      <c r="A2526" s="196"/>
      <c r="B2526" s="197"/>
      <c r="C2526" s="197"/>
      <c r="D2526" s="20"/>
      <c r="E2526" s="20"/>
    </row>
    <row r="2527">
      <c r="A2527" s="196"/>
      <c r="B2527" s="197"/>
      <c r="C2527" s="197"/>
      <c r="D2527" s="20"/>
      <c r="E2527" s="20"/>
    </row>
    <row r="2528">
      <c r="A2528" s="196"/>
      <c r="B2528" s="197"/>
      <c r="C2528" s="197"/>
      <c r="D2528" s="20"/>
      <c r="E2528" s="20"/>
    </row>
    <row r="2529">
      <c r="A2529" s="196"/>
      <c r="B2529" s="197"/>
      <c r="C2529" s="197"/>
      <c r="D2529" s="20"/>
      <c r="E2529" s="20"/>
    </row>
    <row r="2530">
      <c r="A2530" s="196"/>
      <c r="B2530" s="197"/>
      <c r="C2530" s="197"/>
      <c r="D2530" s="20"/>
      <c r="E2530" s="20"/>
    </row>
    <row r="2531">
      <c r="A2531" s="196"/>
      <c r="B2531" s="197"/>
      <c r="C2531" s="197"/>
      <c r="D2531" s="20"/>
      <c r="E2531" s="20"/>
    </row>
    <row r="2532">
      <c r="A2532" s="196"/>
      <c r="B2532" s="197"/>
      <c r="C2532" s="197"/>
      <c r="D2532" s="20"/>
      <c r="E2532" s="20"/>
    </row>
    <row r="2533">
      <c r="A2533" s="196"/>
      <c r="B2533" s="197"/>
      <c r="C2533" s="197"/>
      <c r="D2533" s="20"/>
      <c r="E2533" s="20"/>
    </row>
    <row r="2534">
      <c r="A2534" s="196"/>
      <c r="B2534" s="197"/>
      <c r="C2534" s="197"/>
      <c r="D2534" s="20"/>
      <c r="E2534" s="20"/>
    </row>
    <row r="2535">
      <c r="A2535" s="196"/>
      <c r="B2535" s="197"/>
      <c r="C2535" s="197"/>
      <c r="D2535" s="20"/>
      <c r="E2535" s="20"/>
    </row>
    <row r="2536">
      <c r="A2536" s="196"/>
      <c r="B2536" s="197"/>
      <c r="C2536" s="197"/>
      <c r="D2536" s="20"/>
      <c r="E2536" s="20"/>
    </row>
    <row r="2537">
      <c r="A2537" s="196"/>
      <c r="B2537" s="197"/>
      <c r="C2537" s="197"/>
      <c r="D2537" s="20"/>
      <c r="E2537" s="20"/>
    </row>
    <row r="2538">
      <c r="A2538" s="196"/>
      <c r="B2538" s="197"/>
      <c r="C2538" s="197"/>
      <c r="D2538" s="20"/>
      <c r="E2538" s="20"/>
    </row>
    <row r="2539">
      <c r="A2539" s="196"/>
      <c r="B2539" s="197"/>
      <c r="C2539" s="197"/>
      <c r="D2539" s="20"/>
      <c r="E2539" s="20"/>
    </row>
    <row r="2540">
      <c r="A2540" s="196"/>
      <c r="B2540" s="197"/>
      <c r="C2540" s="197"/>
      <c r="D2540" s="20"/>
      <c r="E2540" s="20"/>
    </row>
    <row r="2541">
      <c r="A2541" s="196"/>
      <c r="B2541" s="197"/>
      <c r="C2541" s="197"/>
      <c r="D2541" s="20"/>
      <c r="E2541" s="20"/>
    </row>
    <row r="2542">
      <c r="A2542" s="196"/>
      <c r="B2542" s="197"/>
      <c r="C2542" s="197"/>
      <c r="D2542" s="20"/>
      <c r="E2542" s="20"/>
    </row>
    <row r="2543">
      <c r="A2543" s="196"/>
      <c r="B2543" s="197"/>
      <c r="C2543" s="197"/>
      <c r="D2543" s="20"/>
      <c r="E2543" s="20"/>
    </row>
    <row r="2544">
      <c r="A2544" s="196"/>
      <c r="B2544" s="197"/>
      <c r="C2544" s="197"/>
      <c r="D2544" s="20"/>
      <c r="E2544" s="20"/>
    </row>
    <row r="2545">
      <c r="A2545" s="196"/>
      <c r="B2545" s="197"/>
      <c r="C2545" s="197"/>
      <c r="D2545" s="20"/>
      <c r="E2545" s="20"/>
    </row>
    <row r="2546">
      <c r="A2546" s="196"/>
      <c r="B2546" s="197"/>
      <c r="C2546" s="197"/>
      <c r="D2546" s="20"/>
      <c r="E2546" s="20"/>
    </row>
    <row r="2547">
      <c r="A2547" s="196"/>
      <c r="B2547" s="197"/>
      <c r="C2547" s="197"/>
      <c r="D2547" s="20"/>
      <c r="E2547" s="20"/>
    </row>
    <row r="2548">
      <c r="A2548" s="196"/>
      <c r="B2548" s="197"/>
      <c r="C2548" s="197"/>
      <c r="D2548" s="20"/>
      <c r="E2548" s="20"/>
    </row>
    <row r="2549">
      <c r="A2549" s="196"/>
      <c r="B2549" s="197"/>
      <c r="C2549" s="197"/>
      <c r="D2549" s="20"/>
      <c r="E2549" s="20"/>
    </row>
    <row r="2550">
      <c r="A2550" s="196"/>
      <c r="B2550" s="197"/>
      <c r="C2550" s="197"/>
      <c r="D2550" s="20"/>
      <c r="E2550" s="20"/>
    </row>
    <row r="2551">
      <c r="A2551" s="196"/>
      <c r="B2551" s="197"/>
      <c r="C2551" s="197"/>
      <c r="D2551" s="20"/>
      <c r="E2551" s="20"/>
    </row>
    <row r="2552">
      <c r="A2552" s="196"/>
      <c r="B2552" s="197"/>
      <c r="C2552" s="197"/>
      <c r="D2552" s="20"/>
      <c r="E2552" s="20"/>
    </row>
    <row r="2553">
      <c r="A2553" s="196"/>
      <c r="B2553" s="197"/>
      <c r="C2553" s="197"/>
      <c r="D2553" s="20"/>
      <c r="E2553" s="20"/>
    </row>
    <row r="2554">
      <c r="A2554" s="196"/>
      <c r="B2554" s="197"/>
      <c r="C2554" s="197"/>
      <c r="D2554" s="20"/>
      <c r="E2554" s="20"/>
    </row>
    <row r="2555">
      <c r="A2555" s="196"/>
      <c r="B2555" s="197"/>
      <c r="C2555" s="197"/>
      <c r="D2555" s="20"/>
      <c r="E2555" s="20"/>
    </row>
    <row r="2556">
      <c r="A2556" s="196"/>
      <c r="B2556" s="197"/>
      <c r="C2556" s="197"/>
      <c r="D2556" s="20"/>
      <c r="E2556" s="20"/>
    </row>
    <row r="2557">
      <c r="A2557" s="196"/>
      <c r="B2557" s="197"/>
      <c r="C2557" s="197"/>
      <c r="D2557" s="20"/>
      <c r="E2557" s="20"/>
    </row>
    <row r="2558">
      <c r="A2558" s="196"/>
      <c r="B2558" s="197"/>
      <c r="C2558" s="197"/>
      <c r="D2558" s="20"/>
      <c r="E2558" s="20"/>
    </row>
    <row r="2559">
      <c r="A2559" s="196"/>
      <c r="B2559" s="197"/>
      <c r="C2559" s="197"/>
      <c r="D2559" s="20"/>
      <c r="E2559" s="20"/>
    </row>
    <row r="2560">
      <c r="A2560" s="196"/>
      <c r="B2560" s="197"/>
      <c r="C2560" s="197"/>
      <c r="D2560" s="20"/>
      <c r="E2560" s="20"/>
    </row>
    <row r="2561">
      <c r="A2561" s="196"/>
      <c r="B2561" s="197"/>
      <c r="C2561" s="197"/>
      <c r="D2561" s="20"/>
      <c r="E2561" s="20"/>
    </row>
    <row r="2562">
      <c r="A2562" s="196"/>
      <c r="B2562" s="197"/>
      <c r="C2562" s="197"/>
      <c r="D2562" s="20"/>
      <c r="E2562" s="20"/>
    </row>
    <row r="2563">
      <c r="A2563" s="196"/>
      <c r="B2563" s="197"/>
      <c r="C2563" s="197"/>
      <c r="D2563" s="20"/>
      <c r="E2563" s="20"/>
    </row>
    <row r="2564">
      <c r="A2564" s="196"/>
      <c r="B2564" s="197"/>
      <c r="C2564" s="197"/>
      <c r="D2564" s="20"/>
      <c r="E2564" s="20"/>
    </row>
    <row r="2565">
      <c r="A2565" s="196"/>
      <c r="B2565" s="197"/>
      <c r="C2565" s="197"/>
      <c r="D2565" s="20"/>
      <c r="E2565" s="20"/>
    </row>
    <row r="2566">
      <c r="A2566" s="196"/>
      <c r="B2566" s="197"/>
      <c r="C2566" s="197"/>
      <c r="D2566" s="20"/>
      <c r="E2566" s="20"/>
    </row>
    <row r="2567">
      <c r="A2567" s="196"/>
      <c r="B2567" s="197"/>
      <c r="C2567" s="197"/>
      <c r="D2567" s="20"/>
      <c r="E2567" s="20"/>
    </row>
    <row r="2568">
      <c r="A2568" s="196"/>
      <c r="B2568" s="197"/>
      <c r="C2568" s="197"/>
      <c r="D2568" s="20"/>
      <c r="E2568" s="20"/>
    </row>
    <row r="2569">
      <c r="A2569" s="196"/>
      <c r="B2569" s="197"/>
      <c r="C2569" s="197"/>
      <c r="D2569" s="20"/>
      <c r="E2569" s="20"/>
    </row>
    <row r="2570">
      <c r="A2570" s="196"/>
      <c r="B2570" s="197"/>
      <c r="C2570" s="197"/>
      <c r="D2570" s="20"/>
      <c r="E2570" s="20"/>
    </row>
    <row r="2571">
      <c r="A2571" s="196"/>
      <c r="B2571" s="197"/>
      <c r="C2571" s="197"/>
      <c r="D2571" s="20"/>
      <c r="E2571" s="20"/>
    </row>
    <row r="2572">
      <c r="A2572" s="196"/>
      <c r="B2572" s="197"/>
      <c r="C2572" s="197"/>
      <c r="D2572" s="20"/>
      <c r="E2572" s="20"/>
    </row>
    <row r="2573">
      <c r="A2573" s="196"/>
      <c r="B2573" s="197"/>
      <c r="C2573" s="197"/>
      <c r="D2573" s="20"/>
      <c r="E2573" s="20"/>
    </row>
    <row r="2574">
      <c r="A2574" s="196"/>
      <c r="B2574" s="197"/>
      <c r="C2574" s="197"/>
      <c r="D2574" s="20"/>
      <c r="E2574" s="20"/>
    </row>
    <row r="2575">
      <c r="A2575" s="196"/>
      <c r="B2575" s="197"/>
      <c r="C2575" s="197"/>
      <c r="D2575" s="20"/>
      <c r="E2575" s="20"/>
    </row>
    <row r="2576">
      <c r="A2576" s="196"/>
      <c r="B2576" s="197"/>
      <c r="C2576" s="197"/>
      <c r="D2576" s="20"/>
      <c r="E2576" s="20"/>
    </row>
    <row r="2577">
      <c r="A2577" s="196"/>
      <c r="B2577" s="197"/>
      <c r="C2577" s="197"/>
      <c r="D2577" s="20"/>
      <c r="E2577" s="20"/>
    </row>
    <row r="2578">
      <c r="A2578" s="196"/>
      <c r="B2578" s="197"/>
      <c r="C2578" s="197"/>
      <c r="D2578" s="20"/>
      <c r="E2578" s="20"/>
    </row>
    <row r="2579">
      <c r="A2579" s="196"/>
      <c r="B2579" s="197"/>
      <c r="C2579" s="197"/>
      <c r="D2579" s="20"/>
      <c r="E2579" s="20"/>
    </row>
    <row r="2580">
      <c r="A2580" s="196"/>
      <c r="B2580" s="197"/>
      <c r="C2580" s="197"/>
      <c r="D2580" s="20"/>
      <c r="E2580" s="20"/>
    </row>
    <row r="2581">
      <c r="A2581" s="196"/>
      <c r="B2581" s="197"/>
      <c r="C2581" s="197"/>
      <c r="D2581" s="20"/>
      <c r="E2581" s="20"/>
    </row>
    <row r="2582">
      <c r="A2582" s="196"/>
      <c r="B2582" s="197"/>
      <c r="C2582" s="197"/>
      <c r="D2582" s="20"/>
      <c r="E2582" s="20"/>
    </row>
    <row r="2583">
      <c r="A2583" s="196"/>
      <c r="B2583" s="197"/>
      <c r="C2583" s="197"/>
      <c r="D2583" s="20"/>
      <c r="E2583" s="20"/>
    </row>
    <row r="2584">
      <c r="A2584" s="196"/>
      <c r="B2584" s="197"/>
      <c r="C2584" s="197"/>
      <c r="D2584" s="20"/>
      <c r="E2584" s="20"/>
    </row>
    <row r="2585">
      <c r="A2585" s="196"/>
      <c r="B2585" s="197"/>
      <c r="C2585" s="197"/>
      <c r="D2585" s="20"/>
      <c r="E2585" s="20"/>
    </row>
    <row r="2586">
      <c r="A2586" s="196"/>
      <c r="B2586" s="197"/>
      <c r="C2586" s="197"/>
      <c r="D2586" s="20"/>
      <c r="E2586" s="20"/>
    </row>
    <row r="2587">
      <c r="A2587" s="196"/>
      <c r="B2587" s="197"/>
      <c r="C2587" s="197"/>
      <c r="D2587" s="20"/>
      <c r="E2587" s="20"/>
    </row>
    <row r="2588">
      <c r="A2588" s="196"/>
      <c r="B2588" s="197"/>
      <c r="C2588" s="197"/>
      <c r="D2588" s="20"/>
      <c r="E2588" s="20"/>
    </row>
    <row r="2589">
      <c r="A2589" s="196"/>
      <c r="B2589" s="197"/>
      <c r="C2589" s="197"/>
      <c r="D2589" s="20"/>
      <c r="E2589" s="20"/>
    </row>
    <row r="2590">
      <c r="A2590" s="196"/>
      <c r="B2590" s="197"/>
      <c r="C2590" s="197"/>
      <c r="D2590" s="20"/>
      <c r="E2590" s="20"/>
    </row>
    <row r="2591">
      <c r="A2591" s="196"/>
      <c r="B2591" s="197"/>
      <c r="C2591" s="197"/>
      <c r="D2591" s="20"/>
      <c r="E2591" s="20"/>
    </row>
    <row r="2592">
      <c r="A2592" s="196"/>
      <c r="B2592" s="197"/>
      <c r="C2592" s="197"/>
      <c r="D2592" s="20"/>
      <c r="E2592" s="20"/>
    </row>
    <row r="2593">
      <c r="A2593" s="196"/>
      <c r="B2593" s="197"/>
      <c r="C2593" s="197"/>
      <c r="D2593" s="20"/>
      <c r="E2593" s="20"/>
    </row>
    <row r="2594">
      <c r="A2594" s="196"/>
      <c r="B2594" s="197"/>
      <c r="C2594" s="197"/>
      <c r="D2594" s="20"/>
      <c r="E2594" s="20"/>
    </row>
    <row r="2595">
      <c r="A2595" s="196"/>
      <c r="B2595" s="197"/>
      <c r="C2595" s="197"/>
      <c r="D2595" s="20"/>
      <c r="E2595" s="20"/>
    </row>
    <row r="2596">
      <c r="A2596" s="196"/>
      <c r="B2596" s="197"/>
      <c r="C2596" s="197"/>
      <c r="D2596" s="20"/>
      <c r="E2596" s="20"/>
    </row>
    <row r="2597">
      <c r="A2597" s="196"/>
      <c r="B2597" s="197"/>
      <c r="C2597" s="197"/>
      <c r="D2597" s="20"/>
      <c r="E2597" s="20"/>
    </row>
    <row r="2598">
      <c r="A2598" s="196"/>
      <c r="B2598" s="197"/>
      <c r="C2598" s="197"/>
      <c r="D2598" s="20"/>
      <c r="E2598" s="20"/>
    </row>
    <row r="2599">
      <c r="A2599" s="196"/>
      <c r="B2599" s="197"/>
      <c r="C2599" s="197"/>
      <c r="D2599" s="20"/>
      <c r="E2599" s="20"/>
    </row>
    <row r="2600">
      <c r="A2600" s="196"/>
      <c r="B2600" s="197"/>
      <c r="C2600" s="197"/>
      <c r="D2600" s="20"/>
      <c r="E2600" s="20"/>
    </row>
    <row r="2601">
      <c r="A2601" s="196"/>
      <c r="B2601" s="197"/>
      <c r="C2601" s="197"/>
      <c r="D2601" s="20"/>
      <c r="E2601" s="20"/>
    </row>
    <row r="2602">
      <c r="A2602" s="196"/>
      <c r="B2602" s="197"/>
      <c r="C2602" s="197"/>
      <c r="D2602" s="20"/>
      <c r="E2602" s="20"/>
    </row>
    <row r="2603">
      <c r="A2603" s="196"/>
      <c r="B2603" s="197"/>
      <c r="C2603" s="197"/>
      <c r="D2603" s="20"/>
      <c r="E2603" s="20"/>
    </row>
    <row r="2604">
      <c r="A2604" s="196"/>
      <c r="B2604" s="197"/>
      <c r="C2604" s="197"/>
      <c r="D2604" s="20"/>
      <c r="E2604" s="20"/>
    </row>
    <row r="2605">
      <c r="A2605" s="196"/>
      <c r="B2605" s="197"/>
      <c r="C2605" s="197"/>
      <c r="D2605" s="20"/>
      <c r="E2605" s="20"/>
    </row>
    <row r="2606">
      <c r="A2606" s="196"/>
      <c r="B2606" s="197"/>
      <c r="C2606" s="197"/>
      <c r="D2606" s="20"/>
      <c r="E2606" s="20"/>
    </row>
    <row r="2607">
      <c r="A2607" s="196"/>
      <c r="B2607" s="197"/>
      <c r="C2607" s="197"/>
      <c r="D2607" s="20"/>
      <c r="E2607" s="20"/>
    </row>
    <row r="2608">
      <c r="A2608" s="196"/>
      <c r="B2608" s="197"/>
      <c r="C2608" s="197"/>
      <c r="D2608" s="20"/>
      <c r="E2608" s="20"/>
    </row>
    <row r="2609">
      <c r="A2609" s="196"/>
      <c r="B2609" s="197"/>
      <c r="C2609" s="197"/>
      <c r="D2609" s="20"/>
      <c r="E2609" s="20"/>
    </row>
    <row r="2610">
      <c r="A2610" s="196"/>
      <c r="B2610" s="197"/>
      <c r="C2610" s="197"/>
      <c r="D2610" s="20"/>
      <c r="E2610" s="20"/>
    </row>
    <row r="2611">
      <c r="A2611" s="196"/>
      <c r="B2611" s="197"/>
      <c r="C2611" s="197"/>
      <c r="D2611" s="20"/>
      <c r="E2611" s="20"/>
    </row>
    <row r="2612">
      <c r="A2612" s="196"/>
      <c r="B2612" s="197"/>
      <c r="C2612" s="197"/>
      <c r="D2612" s="20"/>
      <c r="E2612" s="20"/>
    </row>
    <row r="2613">
      <c r="A2613" s="196"/>
      <c r="B2613" s="197"/>
      <c r="C2613" s="197"/>
      <c r="D2613" s="20"/>
      <c r="E2613" s="20"/>
    </row>
    <row r="2614">
      <c r="A2614" s="196"/>
      <c r="B2614" s="197"/>
      <c r="C2614" s="197"/>
      <c r="D2614" s="20"/>
      <c r="E2614" s="20"/>
    </row>
    <row r="2615">
      <c r="A2615" s="196"/>
      <c r="B2615" s="197"/>
      <c r="C2615" s="197"/>
      <c r="D2615" s="20"/>
      <c r="E2615" s="20"/>
    </row>
    <row r="2616">
      <c r="A2616" s="196"/>
      <c r="B2616" s="197"/>
      <c r="C2616" s="197"/>
      <c r="D2616" s="20"/>
      <c r="E2616" s="20"/>
    </row>
    <row r="2617">
      <c r="A2617" s="196"/>
      <c r="B2617" s="197"/>
      <c r="C2617" s="197"/>
      <c r="D2617" s="20"/>
      <c r="E2617" s="20"/>
    </row>
    <row r="2618">
      <c r="A2618" s="196"/>
      <c r="B2618" s="197"/>
      <c r="C2618" s="197"/>
      <c r="D2618" s="20"/>
      <c r="E2618" s="20"/>
    </row>
    <row r="2619">
      <c r="A2619" s="196"/>
      <c r="B2619" s="197"/>
      <c r="C2619" s="197"/>
      <c r="D2619" s="20"/>
      <c r="E2619" s="20"/>
    </row>
    <row r="2620">
      <c r="A2620" s="196"/>
      <c r="B2620" s="197"/>
      <c r="C2620" s="197"/>
      <c r="D2620" s="20"/>
      <c r="E2620" s="20"/>
    </row>
    <row r="2621">
      <c r="A2621" s="196"/>
      <c r="B2621" s="197"/>
      <c r="C2621" s="197"/>
      <c r="D2621" s="20"/>
      <c r="E2621" s="20"/>
    </row>
    <row r="2622">
      <c r="A2622" s="196"/>
      <c r="B2622" s="197"/>
      <c r="C2622" s="197"/>
      <c r="D2622" s="20"/>
      <c r="E2622" s="20"/>
    </row>
    <row r="2623">
      <c r="A2623" s="196"/>
      <c r="B2623" s="197"/>
      <c r="C2623" s="197"/>
      <c r="D2623" s="20"/>
      <c r="E2623" s="20"/>
    </row>
    <row r="2624">
      <c r="A2624" s="196"/>
      <c r="B2624" s="197"/>
      <c r="C2624" s="197"/>
      <c r="D2624" s="20"/>
      <c r="E2624" s="20"/>
    </row>
    <row r="2625">
      <c r="A2625" s="196"/>
      <c r="B2625" s="197"/>
      <c r="C2625" s="197"/>
      <c r="D2625" s="20"/>
      <c r="E2625" s="20"/>
    </row>
    <row r="2626">
      <c r="A2626" s="196"/>
      <c r="B2626" s="197"/>
      <c r="C2626" s="197"/>
      <c r="D2626" s="20"/>
      <c r="E2626" s="20"/>
    </row>
    <row r="2627">
      <c r="A2627" s="196"/>
      <c r="B2627" s="197"/>
      <c r="C2627" s="197"/>
      <c r="D2627" s="20"/>
      <c r="E2627" s="20"/>
    </row>
    <row r="2628">
      <c r="A2628" s="196"/>
      <c r="B2628" s="197"/>
      <c r="C2628" s="197"/>
      <c r="D2628" s="20"/>
      <c r="E2628" s="20"/>
    </row>
    <row r="2629">
      <c r="A2629" s="196"/>
      <c r="B2629" s="197"/>
      <c r="C2629" s="197"/>
      <c r="D2629" s="20"/>
      <c r="E2629" s="20"/>
    </row>
    <row r="2630">
      <c r="A2630" s="196"/>
      <c r="B2630" s="197"/>
      <c r="C2630" s="197"/>
      <c r="D2630" s="20"/>
      <c r="E2630" s="20"/>
    </row>
    <row r="2631">
      <c r="A2631" s="196"/>
      <c r="B2631" s="197"/>
      <c r="C2631" s="197"/>
      <c r="D2631" s="20"/>
      <c r="E2631" s="20"/>
    </row>
    <row r="2632">
      <c r="A2632" s="196"/>
      <c r="B2632" s="197"/>
      <c r="C2632" s="197"/>
      <c r="D2632" s="20"/>
      <c r="E2632" s="20"/>
    </row>
    <row r="2633">
      <c r="A2633" s="196"/>
      <c r="B2633" s="197"/>
      <c r="C2633" s="197"/>
      <c r="D2633" s="20"/>
      <c r="E2633" s="20"/>
    </row>
    <row r="2634">
      <c r="A2634" s="196"/>
      <c r="B2634" s="197"/>
      <c r="C2634" s="197"/>
      <c r="D2634" s="20"/>
      <c r="E2634" s="20"/>
    </row>
    <row r="2635">
      <c r="A2635" s="196"/>
      <c r="B2635" s="197"/>
      <c r="C2635" s="197"/>
      <c r="D2635" s="20"/>
      <c r="E2635" s="20"/>
    </row>
    <row r="2636">
      <c r="A2636" s="196"/>
      <c r="B2636" s="197"/>
      <c r="C2636" s="197"/>
      <c r="D2636" s="20"/>
      <c r="E2636" s="20"/>
    </row>
    <row r="2637">
      <c r="A2637" s="196"/>
      <c r="B2637" s="197"/>
      <c r="C2637" s="197"/>
      <c r="D2637" s="20"/>
      <c r="E2637" s="20"/>
    </row>
    <row r="2638">
      <c r="A2638" s="196"/>
      <c r="B2638" s="197"/>
      <c r="C2638" s="197"/>
      <c r="D2638" s="20"/>
      <c r="E2638" s="20"/>
    </row>
    <row r="2639">
      <c r="A2639" s="196"/>
      <c r="B2639" s="197"/>
      <c r="C2639" s="197"/>
      <c r="D2639" s="20"/>
      <c r="E2639" s="20"/>
    </row>
    <row r="2640">
      <c r="A2640" s="196"/>
      <c r="B2640" s="197"/>
      <c r="C2640" s="197"/>
      <c r="D2640" s="20"/>
      <c r="E2640" s="20"/>
    </row>
    <row r="2641">
      <c r="A2641" s="196"/>
      <c r="B2641" s="197"/>
      <c r="C2641" s="197"/>
      <c r="D2641" s="20"/>
      <c r="E2641" s="20"/>
    </row>
    <row r="2642">
      <c r="A2642" s="196"/>
      <c r="B2642" s="197"/>
      <c r="C2642" s="197"/>
      <c r="D2642" s="20"/>
      <c r="E2642" s="20"/>
    </row>
    <row r="2643">
      <c r="A2643" s="196"/>
      <c r="B2643" s="197"/>
      <c r="C2643" s="197"/>
      <c r="D2643" s="20"/>
      <c r="E2643" s="20"/>
    </row>
    <row r="2644">
      <c r="A2644" s="196"/>
      <c r="B2644" s="197"/>
      <c r="C2644" s="197"/>
      <c r="D2644" s="20"/>
      <c r="E2644" s="20"/>
    </row>
    <row r="2645">
      <c r="A2645" s="196"/>
      <c r="B2645" s="197"/>
      <c r="C2645" s="197"/>
      <c r="D2645" s="20"/>
      <c r="E2645" s="20"/>
    </row>
    <row r="2646">
      <c r="A2646" s="196"/>
      <c r="B2646" s="197"/>
      <c r="C2646" s="197"/>
      <c r="D2646" s="20"/>
      <c r="E2646" s="20"/>
    </row>
    <row r="2647">
      <c r="A2647" s="196"/>
      <c r="B2647" s="197"/>
      <c r="C2647" s="197"/>
      <c r="D2647" s="20"/>
      <c r="E2647" s="20"/>
    </row>
    <row r="2648">
      <c r="A2648" s="196"/>
      <c r="B2648" s="197"/>
      <c r="C2648" s="197"/>
      <c r="D2648" s="20"/>
      <c r="E2648" s="20"/>
    </row>
    <row r="2649">
      <c r="A2649" s="196"/>
      <c r="B2649" s="197"/>
      <c r="C2649" s="197"/>
      <c r="D2649" s="20"/>
      <c r="E2649" s="20"/>
    </row>
    <row r="2650">
      <c r="A2650" s="196"/>
      <c r="B2650" s="197"/>
      <c r="C2650" s="197"/>
      <c r="D2650" s="20"/>
      <c r="E2650" s="20"/>
    </row>
    <row r="2651">
      <c r="A2651" s="196"/>
      <c r="B2651" s="197"/>
      <c r="C2651" s="197"/>
      <c r="D2651" s="20"/>
      <c r="E2651" s="20"/>
    </row>
    <row r="2652">
      <c r="A2652" s="196"/>
      <c r="B2652" s="197"/>
      <c r="C2652" s="197"/>
      <c r="D2652" s="20"/>
      <c r="E2652" s="20"/>
    </row>
    <row r="2653">
      <c r="A2653" s="196"/>
      <c r="B2653" s="197"/>
      <c r="C2653" s="197"/>
      <c r="D2653" s="20"/>
      <c r="E2653" s="20"/>
    </row>
    <row r="2654">
      <c r="A2654" s="196"/>
      <c r="B2654" s="197"/>
      <c r="C2654" s="197"/>
      <c r="D2654" s="20"/>
      <c r="E2654" s="20"/>
    </row>
    <row r="2655">
      <c r="A2655" s="196"/>
      <c r="B2655" s="197"/>
      <c r="C2655" s="197"/>
      <c r="D2655" s="20"/>
      <c r="E2655" s="20"/>
    </row>
    <row r="2656">
      <c r="A2656" s="196"/>
      <c r="B2656" s="197"/>
      <c r="C2656" s="197"/>
      <c r="D2656" s="20"/>
      <c r="E2656" s="20"/>
    </row>
    <row r="2657">
      <c r="A2657" s="196"/>
      <c r="B2657" s="197"/>
      <c r="C2657" s="197"/>
      <c r="D2657" s="20"/>
      <c r="E2657" s="20"/>
    </row>
    <row r="2658">
      <c r="A2658" s="196"/>
      <c r="B2658" s="197"/>
      <c r="C2658" s="197"/>
      <c r="D2658" s="20"/>
      <c r="E2658" s="20"/>
    </row>
    <row r="2659">
      <c r="A2659" s="196"/>
      <c r="B2659" s="197"/>
      <c r="C2659" s="197"/>
      <c r="D2659" s="20"/>
      <c r="E2659" s="20"/>
    </row>
    <row r="2660">
      <c r="A2660" s="196"/>
      <c r="B2660" s="197"/>
      <c r="C2660" s="197"/>
      <c r="D2660" s="20"/>
      <c r="E2660" s="20"/>
    </row>
    <row r="2661">
      <c r="A2661" s="196"/>
      <c r="B2661" s="197"/>
      <c r="C2661" s="197"/>
      <c r="D2661" s="20"/>
      <c r="E2661" s="20"/>
    </row>
    <row r="2662">
      <c r="A2662" s="196"/>
      <c r="B2662" s="197"/>
      <c r="C2662" s="197"/>
      <c r="D2662" s="20"/>
      <c r="E2662" s="20"/>
    </row>
    <row r="2663">
      <c r="A2663" s="196"/>
      <c r="B2663" s="197"/>
      <c r="C2663" s="197"/>
      <c r="D2663" s="20"/>
      <c r="E2663" s="20"/>
    </row>
    <row r="2664">
      <c r="A2664" s="196"/>
      <c r="B2664" s="197"/>
      <c r="C2664" s="197"/>
      <c r="D2664" s="20"/>
      <c r="E2664" s="20"/>
    </row>
    <row r="2665">
      <c r="A2665" s="196"/>
      <c r="B2665" s="197"/>
      <c r="C2665" s="197"/>
      <c r="D2665" s="20"/>
      <c r="E2665" s="20"/>
    </row>
    <row r="2666">
      <c r="A2666" s="196"/>
      <c r="B2666" s="197"/>
      <c r="C2666" s="197"/>
      <c r="D2666" s="20"/>
      <c r="E2666" s="20"/>
    </row>
    <row r="2667">
      <c r="A2667" s="196"/>
      <c r="B2667" s="197"/>
      <c r="C2667" s="197"/>
      <c r="D2667" s="20"/>
      <c r="E2667" s="20"/>
    </row>
    <row r="2668">
      <c r="A2668" s="196"/>
      <c r="B2668" s="197"/>
      <c r="C2668" s="197"/>
      <c r="D2668" s="20"/>
      <c r="E2668" s="20"/>
    </row>
    <row r="2669">
      <c r="A2669" s="196"/>
      <c r="B2669" s="197"/>
      <c r="C2669" s="197"/>
      <c r="D2669" s="20"/>
      <c r="E2669" s="20"/>
    </row>
    <row r="2670">
      <c r="A2670" s="196"/>
      <c r="B2670" s="197"/>
      <c r="C2670" s="197"/>
      <c r="D2670" s="20"/>
      <c r="E2670" s="20"/>
    </row>
    <row r="2671">
      <c r="A2671" s="196"/>
      <c r="B2671" s="197"/>
      <c r="C2671" s="197"/>
      <c r="D2671" s="20"/>
      <c r="E2671" s="20"/>
    </row>
    <row r="2672">
      <c r="A2672" s="196"/>
      <c r="B2672" s="197"/>
      <c r="C2672" s="197"/>
      <c r="D2672" s="20"/>
      <c r="E2672" s="20"/>
    </row>
    <row r="2673">
      <c r="A2673" s="196"/>
      <c r="B2673" s="197"/>
      <c r="C2673" s="197"/>
      <c r="D2673" s="20"/>
      <c r="E2673" s="20"/>
    </row>
    <row r="2674">
      <c r="A2674" s="196"/>
      <c r="B2674" s="197"/>
      <c r="C2674" s="197"/>
      <c r="D2674" s="20"/>
      <c r="E2674" s="20"/>
    </row>
    <row r="2675">
      <c r="A2675" s="196"/>
      <c r="B2675" s="197"/>
      <c r="C2675" s="197"/>
      <c r="D2675" s="20"/>
      <c r="E2675" s="20"/>
    </row>
    <row r="2676">
      <c r="A2676" s="196"/>
      <c r="B2676" s="197"/>
      <c r="C2676" s="197"/>
      <c r="D2676" s="20"/>
      <c r="E2676" s="20"/>
    </row>
    <row r="2677">
      <c r="A2677" s="196"/>
      <c r="B2677" s="197"/>
      <c r="C2677" s="197"/>
      <c r="D2677" s="20"/>
      <c r="E2677" s="20"/>
    </row>
    <row r="2678">
      <c r="A2678" s="196"/>
      <c r="B2678" s="197"/>
      <c r="C2678" s="197"/>
      <c r="D2678" s="20"/>
      <c r="E2678" s="20"/>
    </row>
    <row r="2679">
      <c r="A2679" s="196"/>
      <c r="B2679" s="197"/>
      <c r="C2679" s="197"/>
      <c r="D2679" s="20"/>
      <c r="E2679" s="20"/>
    </row>
    <row r="2680">
      <c r="A2680" s="196"/>
      <c r="B2680" s="197"/>
      <c r="C2680" s="197"/>
      <c r="D2680" s="20"/>
      <c r="E2680" s="20"/>
    </row>
    <row r="2681">
      <c r="A2681" s="196"/>
      <c r="B2681" s="197"/>
      <c r="C2681" s="197"/>
      <c r="D2681" s="20"/>
      <c r="E2681" s="20"/>
    </row>
    <row r="2682">
      <c r="A2682" s="196"/>
      <c r="B2682" s="197"/>
      <c r="C2682" s="197"/>
      <c r="D2682" s="20"/>
      <c r="E2682" s="20"/>
    </row>
    <row r="2683">
      <c r="A2683" s="196"/>
      <c r="B2683" s="197"/>
      <c r="C2683" s="197"/>
      <c r="D2683" s="20"/>
      <c r="E2683" s="20"/>
    </row>
    <row r="2684">
      <c r="A2684" s="196"/>
      <c r="B2684" s="197"/>
      <c r="C2684" s="197"/>
      <c r="D2684" s="20"/>
      <c r="E2684" s="20"/>
    </row>
    <row r="2685">
      <c r="A2685" s="196"/>
      <c r="B2685" s="197"/>
      <c r="C2685" s="197"/>
      <c r="D2685" s="20"/>
      <c r="E2685" s="20"/>
    </row>
    <row r="2686">
      <c r="A2686" s="196"/>
      <c r="B2686" s="197"/>
      <c r="C2686" s="197"/>
      <c r="D2686" s="20"/>
      <c r="E2686" s="20"/>
    </row>
    <row r="2687">
      <c r="A2687" s="196"/>
      <c r="B2687" s="197"/>
      <c r="C2687" s="197"/>
      <c r="D2687" s="20"/>
      <c r="E2687" s="20"/>
    </row>
    <row r="2688">
      <c r="A2688" s="196"/>
      <c r="B2688" s="197"/>
      <c r="C2688" s="197"/>
      <c r="D2688" s="20"/>
      <c r="E2688" s="20"/>
    </row>
    <row r="2689">
      <c r="A2689" s="196"/>
      <c r="B2689" s="197"/>
      <c r="C2689" s="197"/>
      <c r="D2689" s="20"/>
      <c r="E2689" s="20"/>
    </row>
    <row r="2690">
      <c r="A2690" s="196"/>
      <c r="B2690" s="197"/>
      <c r="C2690" s="197"/>
      <c r="D2690" s="20"/>
      <c r="E2690" s="20"/>
    </row>
    <row r="2691">
      <c r="A2691" s="196"/>
      <c r="B2691" s="197"/>
      <c r="C2691" s="197"/>
      <c r="D2691" s="20"/>
      <c r="E2691" s="20"/>
    </row>
    <row r="2692">
      <c r="A2692" s="196"/>
      <c r="B2692" s="197"/>
      <c r="C2692" s="197"/>
      <c r="D2692" s="20"/>
      <c r="E2692" s="20"/>
    </row>
    <row r="2693">
      <c r="A2693" s="196"/>
      <c r="B2693" s="197"/>
      <c r="C2693" s="197"/>
      <c r="D2693" s="20"/>
      <c r="E2693" s="20"/>
    </row>
    <row r="2694">
      <c r="A2694" s="196"/>
      <c r="B2694" s="197"/>
      <c r="C2694" s="197"/>
      <c r="D2694" s="20"/>
      <c r="E2694" s="20"/>
    </row>
    <row r="2695">
      <c r="A2695" s="196"/>
      <c r="B2695" s="197"/>
      <c r="C2695" s="197"/>
      <c r="D2695" s="20"/>
      <c r="E2695" s="20"/>
    </row>
    <row r="2696">
      <c r="A2696" s="196"/>
      <c r="B2696" s="197"/>
      <c r="C2696" s="197"/>
      <c r="D2696" s="20"/>
      <c r="E2696" s="20"/>
    </row>
    <row r="2697">
      <c r="A2697" s="196"/>
      <c r="B2697" s="197"/>
      <c r="C2697" s="197"/>
      <c r="D2697" s="20"/>
      <c r="E2697" s="20"/>
    </row>
    <row r="2698">
      <c r="A2698" s="196"/>
      <c r="B2698" s="197"/>
      <c r="C2698" s="197"/>
      <c r="D2698" s="20"/>
      <c r="E2698" s="20"/>
    </row>
    <row r="2699">
      <c r="A2699" s="196"/>
      <c r="B2699" s="197"/>
      <c r="C2699" s="197"/>
      <c r="D2699" s="20"/>
      <c r="E2699" s="20"/>
    </row>
    <row r="2700">
      <c r="A2700" s="196"/>
      <c r="B2700" s="197"/>
      <c r="C2700" s="197"/>
      <c r="D2700" s="20"/>
      <c r="E2700" s="20"/>
    </row>
    <row r="2701">
      <c r="A2701" s="196"/>
      <c r="B2701" s="197"/>
      <c r="C2701" s="197"/>
      <c r="D2701" s="20"/>
      <c r="E2701" s="20"/>
    </row>
    <row r="2702">
      <c r="A2702" s="196"/>
      <c r="B2702" s="197"/>
      <c r="C2702" s="197"/>
      <c r="D2702" s="20"/>
      <c r="E2702" s="20"/>
    </row>
    <row r="2703">
      <c r="A2703" s="196"/>
      <c r="B2703" s="197"/>
      <c r="C2703" s="197"/>
      <c r="D2703" s="20"/>
      <c r="E2703" s="20"/>
    </row>
    <row r="2704">
      <c r="A2704" s="196"/>
      <c r="B2704" s="197"/>
      <c r="C2704" s="197"/>
      <c r="D2704" s="20"/>
      <c r="E2704" s="20"/>
    </row>
    <row r="2705">
      <c r="A2705" s="196"/>
      <c r="B2705" s="197"/>
      <c r="C2705" s="197"/>
      <c r="D2705" s="20"/>
      <c r="E2705" s="20"/>
    </row>
    <row r="2706">
      <c r="A2706" s="196"/>
      <c r="B2706" s="197"/>
      <c r="C2706" s="197"/>
      <c r="D2706" s="20"/>
      <c r="E2706" s="20"/>
    </row>
    <row r="2707">
      <c r="A2707" s="196"/>
      <c r="B2707" s="197"/>
      <c r="C2707" s="197"/>
      <c r="D2707" s="20"/>
      <c r="E2707" s="20"/>
    </row>
    <row r="2708">
      <c r="A2708" s="196"/>
      <c r="B2708" s="197"/>
      <c r="C2708" s="197"/>
      <c r="D2708" s="20"/>
      <c r="E2708" s="20"/>
    </row>
    <row r="2709">
      <c r="A2709" s="196"/>
      <c r="B2709" s="197"/>
      <c r="C2709" s="197"/>
      <c r="D2709" s="20"/>
      <c r="E2709" s="20"/>
    </row>
    <row r="2710">
      <c r="A2710" s="196"/>
      <c r="B2710" s="197"/>
      <c r="C2710" s="197"/>
      <c r="D2710" s="20"/>
      <c r="E2710" s="20"/>
    </row>
    <row r="2711">
      <c r="A2711" s="196"/>
      <c r="B2711" s="197"/>
      <c r="C2711" s="197"/>
      <c r="D2711" s="20"/>
      <c r="E2711" s="20"/>
    </row>
    <row r="2712">
      <c r="A2712" s="196"/>
      <c r="B2712" s="197"/>
      <c r="C2712" s="197"/>
      <c r="D2712" s="20"/>
      <c r="E2712" s="20"/>
    </row>
    <row r="2713">
      <c r="A2713" s="196"/>
      <c r="B2713" s="197"/>
      <c r="C2713" s="197"/>
      <c r="D2713" s="20"/>
      <c r="E2713" s="20"/>
    </row>
    <row r="2714">
      <c r="A2714" s="196"/>
      <c r="B2714" s="197"/>
      <c r="C2714" s="197"/>
      <c r="D2714" s="20"/>
      <c r="E2714" s="20"/>
    </row>
    <row r="2715">
      <c r="A2715" s="196"/>
      <c r="B2715" s="197"/>
      <c r="C2715" s="197"/>
      <c r="D2715" s="20"/>
      <c r="E2715" s="20"/>
    </row>
    <row r="2716">
      <c r="A2716" s="196"/>
      <c r="B2716" s="197"/>
      <c r="C2716" s="197"/>
      <c r="D2716" s="20"/>
      <c r="E2716" s="20"/>
    </row>
    <row r="2717">
      <c r="A2717" s="196"/>
      <c r="B2717" s="197"/>
      <c r="C2717" s="197"/>
      <c r="D2717" s="20"/>
      <c r="E2717" s="20"/>
    </row>
    <row r="2718">
      <c r="A2718" s="196"/>
      <c r="B2718" s="197"/>
      <c r="C2718" s="197"/>
      <c r="D2718" s="20"/>
      <c r="E2718" s="20"/>
    </row>
    <row r="2719">
      <c r="A2719" s="196"/>
      <c r="B2719" s="197"/>
      <c r="C2719" s="197"/>
      <c r="D2719" s="20"/>
      <c r="E2719" s="20"/>
    </row>
    <row r="2720">
      <c r="A2720" s="196"/>
      <c r="B2720" s="197"/>
      <c r="C2720" s="197"/>
      <c r="D2720" s="20"/>
      <c r="E2720" s="20"/>
    </row>
    <row r="2721">
      <c r="A2721" s="196"/>
      <c r="B2721" s="197"/>
      <c r="C2721" s="197"/>
      <c r="D2721" s="20"/>
      <c r="E2721" s="20"/>
    </row>
    <row r="2722">
      <c r="A2722" s="196"/>
      <c r="B2722" s="197"/>
      <c r="C2722" s="197"/>
      <c r="D2722" s="20"/>
      <c r="E2722" s="20"/>
    </row>
    <row r="2723">
      <c r="A2723" s="196"/>
      <c r="B2723" s="197"/>
      <c r="C2723" s="197"/>
      <c r="D2723" s="20"/>
      <c r="E2723" s="20"/>
    </row>
    <row r="2724">
      <c r="A2724" s="196"/>
      <c r="B2724" s="197"/>
      <c r="C2724" s="197"/>
      <c r="D2724" s="20"/>
      <c r="E2724" s="20"/>
    </row>
    <row r="2725">
      <c r="A2725" s="196"/>
      <c r="B2725" s="197"/>
      <c r="C2725" s="197"/>
      <c r="D2725" s="20"/>
      <c r="E2725" s="20"/>
    </row>
    <row r="2726">
      <c r="A2726" s="196"/>
      <c r="B2726" s="197"/>
      <c r="C2726" s="197"/>
      <c r="D2726" s="20"/>
      <c r="E2726" s="20"/>
    </row>
    <row r="2727">
      <c r="A2727" s="196"/>
      <c r="B2727" s="197"/>
      <c r="C2727" s="197"/>
      <c r="D2727" s="20"/>
      <c r="E2727" s="20"/>
    </row>
    <row r="2728">
      <c r="A2728" s="196"/>
      <c r="B2728" s="197"/>
      <c r="C2728" s="197"/>
      <c r="D2728" s="20"/>
      <c r="E2728" s="20"/>
    </row>
    <row r="2729">
      <c r="A2729" s="196"/>
      <c r="B2729" s="197"/>
      <c r="C2729" s="197"/>
      <c r="D2729" s="20"/>
      <c r="E2729" s="20"/>
    </row>
    <row r="2730">
      <c r="A2730" s="196"/>
      <c r="B2730" s="197"/>
      <c r="C2730" s="197"/>
      <c r="D2730" s="20"/>
      <c r="E2730" s="20"/>
    </row>
    <row r="2731">
      <c r="A2731" s="196"/>
      <c r="B2731" s="197"/>
      <c r="C2731" s="197"/>
      <c r="D2731" s="20"/>
      <c r="E2731" s="20"/>
    </row>
    <row r="2732">
      <c r="A2732" s="196"/>
      <c r="B2732" s="197"/>
      <c r="C2732" s="197"/>
      <c r="D2732" s="20"/>
      <c r="E2732" s="20"/>
    </row>
    <row r="2733">
      <c r="A2733" s="196"/>
      <c r="B2733" s="197"/>
      <c r="C2733" s="197"/>
      <c r="D2733" s="20"/>
      <c r="E2733" s="20"/>
    </row>
    <row r="2734">
      <c r="A2734" s="196"/>
      <c r="B2734" s="197"/>
      <c r="C2734" s="197"/>
      <c r="D2734" s="20"/>
      <c r="E2734" s="20"/>
    </row>
    <row r="2735">
      <c r="A2735" s="196"/>
      <c r="B2735" s="197"/>
      <c r="C2735" s="197"/>
      <c r="D2735" s="20"/>
      <c r="E2735" s="20"/>
    </row>
    <row r="2736">
      <c r="A2736" s="196"/>
      <c r="B2736" s="197"/>
      <c r="C2736" s="197"/>
      <c r="D2736" s="20"/>
      <c r="E2736" s="20"/>
    </row>
    <row r="2737">
      <c r="A2737" s="196"/>
      <c r="B2737" s="197"/>
      <c r="C2737" s="197"/>
      <c r="D2737" s="20"/>
      <c r="E2737" s="20"/>
    </row>
    <row r="2738">
      <c r="A2738" s="196"/>
      <c r="B2738" s="197"/>
      <c r="C2738" s="197"/>
      <c r="D2738" s="20"/>
      <c r="E2738" s="20"/>
    </row>
    <row r="2739">
      <c r="A2739" s="196"/>
      <c r="B2739" s="197"/>
      <c r="C2739" s="197"/>
      <c r="D2739" s="20"/>
      <c r="E2739" s="20"/>
    </row>
    <row r="2740">
      <c r="A2740" s="196"/>
      <c r="B2740" s="197"/>
      <c r="C2740" s="197"/>
      <c r="D2740" s="20"/>
      <c r="E2740" s="20"/>
    </row>
    <row r="2741">
      <c r="A2741" s="196"/>
      <c r="B2741" s="197"/>
      <c r="C2741" s="197"/>
      <c r="D2741" s="20"/>
      <c r="E2741" s="20"/>
    </row>
    <row r="2742">
      <c r="A2742" s="196"/>
      <c r="B2742" s="197"/>
      <c r="C2742" s="197"/>
      <c r="D2742" s="20"/>
      <c r="E2742" s="20"/>
    </row>
    <row r="2743">
      <c r="A2743" s="196"/>
      <c r="B2743" s="197"/>
      <c r="C2743" s="197"/>
      <c r="D2743" s="20"/>
      <c r="E2743" s="20"/>
    </row>
    <row r="2744">
      <c r="A2744" s="196"/>
      <c r="B2744" s="197"/>
      <c r="C2744" s="197"/>
      <c r="D2744" s="20"/>
      <c r="E2744" s="20"/>
    </row>
    <row r="2745">
      <c r="A2745" s="196"/>
      <c r="B2745" s="197"/>
      <c r="C2745" s="197"/>
      <c r="D2745" s="20"/>
      <c r="E2745" s="20"/>
    </row>
    <row r="2746">
      <c r="A2746" s="196"/>
      <c r="B2746" s="197"/>
      <c r="C2746" s="197"/>
      <c r="D2746" s="20"/>
      <c r="E2746" s="20"/>
    </row>
    <row r="2747">
      <c r="A2747" s="196"/>
      <c r="B2747" s="197"/>
      <c r="C2747" s="197"/>
      <c r="D2747" s="20"/>
      <c r="E2747" s="20"/>
    </row>
    <row r="2748">
      <c r="A2748" s="196"/>
      <c r="B2748" s="197"/>
      <c r="C2748" s="197"/>
      <c r="D2748" s="20"/>
      <c r="E2748" s="20"/>
    </row>
    <row r="2749">
      <c r="A2749" s="196"/>
      <c r="B2749" s="197"/>
      <c r="C2749" s="197"/>
      <c r="D2749" s="20"/>
      <c r="E2749" s="20"/>
    </row>
    <row r="2750">
      <c r="A2750" s="196"/>
      <c r="B2750" s="197"/>
      <c r="C2750" s="197"/>
      <c r="D2750" s="20"/>
      <c r="E2750" s="20"/>
    </row>
    <row r="2751">
      <c r="A2751" s="196"/>
      <c r="B2751" s="197"/>
      <c r="C2751" s="197"/>
      <c r="D2751" s="20"/>
      <c r="E2751" s="20"/>
    </row>
    <row r="2752">
      <c r="A2752" s="196"/>
      <c r="B2752" s="197"/>
      <c r="C2752" s="197"/>
      <c r="D2752" s="20"/>
      <c r="E2752" s="20"/>
    </row>
    <row r="2753">
      <c r="A2753" s="196"/>
      <c r="B2753" s="197"/>
      <c r="C2753" s="197"/>
      <c r="D2753" s="20"/>
      <c r="E2753" s="20"/>
    </row>
    <row r="2754">
      <c r="A2754" s="196"/>
      <c r="B2754" s="197"/>
      <c r="C2754" s="197"/>
      <c r="D2754" s="20"/>
      <c r="E2754" s="20"/>
    </row>
    <row r="2755">
      <c r="A2755" s="196"/>
      <c r="B2755" s="197"/>
      <c r="C2755" s="197"/>
      <c r="D2755" s="20"/>
      <c r="E2755" s="20"/>
    </row>
    <row r="2756">
      <c r="A2756" s="196"/>
      <c r="B2756" s="197"/>
      <c r="C2756" s="197"/>
      <c r="D2756" s="20"/>
      <c r="E2756" s="20"/>
    </row>
    <row r="2757">
      <c r="A2757" s="196"/>
      <c r="B2757" s="197"/>
      <c r="C2757" s="197"/>
      <c r="D2757" s="20"/>
      <c r="E2757" s="20"/>
    </row>
    <row r="2758">
      <c r="A2758" s="196"/>
      <c r="B2758" s="197"/>
      <c r="C2758" s="197"/>
      <c r="D2758" s="20"/>
      <c r="E2758" s="20"/>
    </row>
    <row r="2759">
      <c r="A2759" s="196"/>
      <c r="B2759" s="197"/>
      <c r="C2759" s="197"/>
      <c r="D2759" s="20"/>
      <c r="E2759" s="20"/>
    </row>
    <row r="2760">
      <c r="A2760" s="196"/>
      <c r="B2760" s="197"/>
      <c r="C2760" s="197"/>
      <c r="D2760" s="20"/>
      <c r="E2760" s="20"/>
    </row>
    <row r="2761">
      <c r="A2761" s="196"/>
      <c r="B2761" s="197"/>
      <c r="C2761" s="197"/>
      <c r="D2761" s="20"/>
      <c r="E2761" s="20"/>
    </row>
    <row r="2762">
      <c r="A2762" s="196"/>
      <c r="B2762" s="197"/>
      <c r="C2762" s="197"/>
      <c r="D2762" s="20"/>
      <c r="E2762" s="20"/>
    </row>
    <row r="2763">
      <c r="A2763" s="196"/>
      <c r="B2763" s="197"/>
      <c r="C2763" s="197"/>
      <c r="D2763" s="20"/>
      <c r="E2763" s="20"/>
    </row>
    <row r="2764">
      <c r="A2764" s="196"/>
      <c r="B2764" s="197"/>
      <c r="C2764" s="197"/>
      <c r="D2764" s="20"/>
      <c r="E2764" s="20"/>
    </row>
    <row r="2765">
      <c r="A2765" s="196"/>
      <c r="B2765" s="197"/>
      <c r="C2765" s="197"/>
      <c r="D2765" s="20"/>
      <c r="E2765" s="20"/>
    </row>
    <row r="2766">
      <c r="A2766" s="196"/>
      <c r="B2766" s="197"/>
      <c r="C2766" s="197"/>
      <c r="D2766" s="20"/>
      <c r="E2766" s="20"/>
    </row>
    <row r="2767">
      <c r="A2767" s="196"/>
      <c r="B2767" s="197"/>
      <c r="C2767" s="197"/>
      <c r="D2767" s="20"/>
      <c r="E2767" s="20"/>
    </row>
    <row r="2768">
      <c r="A2768" s="196"/>
      <c r="B2768" s="197"/>
      <c r="C2768" s="197"/>
      <c r="D2768" s="20"/>
      <c r="E2768" s="20"/>
    </row>
    <row r="2769">
      <c r="A2769" s="196"/>
      <c r="B2769" s="197"/>
      <c r="C2769" s="197"/>
      <c r="D2769" s="20"/>
      <c r="E2769" s="20"/>
    </row>
    <row r="2770">
      <c r="A2770" s="196"/>
      <c r="B2770" s="197"/>
      <c r="C2770" s="197"/>
      <c r="D2770" s="20"/>
      <c r="E2770" s="20"/>
    </row>
    <row r="2771">
      <c r="A2771" s="196"/>
      <c r="B2771" s="197"/>
      <c r="C2771" s="197"/>
      <c r="D2771" s="20"/>
      <c r="E2771" s="20"/>
    </row>
    <row r="2772">
      <c r="A2772" s="196"/>
      <c r="B2772" s="197"/>
      <c r="C2772" s="197"/>
      <c r="D2772" s="20"/>
      <c r="E2772" s="20"/>
    </row>
    <row r="2773">
      <c r="A2773" s="196"/>
      <c r="B2773" s="197"/>
      <c r="C2773" s="197"/>
      <c r="D2773" s="20"/>
      <c r="E2773" s="20"/>
    </row>
    <row r="2774">
      <c r="A2774" s="196"/>
      <c r="B2774" s="197"/>
      <c r="C2774" s="197"/>
      <c r="D2774" s="20"/>
      <c r="E2774" s="20"/>
    </row>
    <row r="2775">
      <c r="A2775" s="196"/>
      <c r="B2775" s="197"/>
      <c r="C2775" s="197"/>
      <c r="D2775" s="20"/>
      <c r="E2775" s="20"/>
    </row>
    <row r="2776">
      <c r="A2776" s="196"/>
      <c r="B2776" s="197"/>
      <c r="C2776" s="197"/>
      <c r="D2776" s="20"/>
      <c r="E2776" s="20"/>
    </row>
    <row r="2777">
      <c r="A2777" s="196"/>
      <c r="B2777" s="197"/>
      <c r="C2777" s="197"/>
      <c r="D2777" s="20"/>
      <c r="E2777" s="20"/>
    </row>
    <row r="2778">
      <c r="A2778" s="196"/>
      <c r="B2778" s="197"/>
      <c r="C2778" s="197"/>
      <c r="D2778" s="20"/>
      <c r="E2778" s="20"/>
    </row>
    <row r="2779">
      <c r="A2779" s="196"/>
      <c r="B2779" s="197"/>
      <c r="C2779" s="197"/>
      <c r="D2779" s="20"/>
      <c r="E2779" s="20"/>
    </row>
    <row r="2780">
      <c r="A2780" s="196"/>
      <c r="B2780" s="197"/>
      <c r="C2780" s="197"/>
      <c r="D2780" s="20"/>
      <c r="E2780" s="20"/>
    </row>
    <row r="2781">
      <c r="A2781" s="196"/>
      <c r="B2781" s="197"/>
      <c r="C2781" s="197"/>
      <c r="D2781" s="20"/>
      <c r="E2781" s="20"/>
    </row>
    <row r="2782">
      <c r="A2782" s="196"/>
      <c r="B2782" s="197"/>
      <c r="C2782" s="197"/>
      <c r="D2782" s="20"/>
      <c r="E2782" s="20"/>
    </row>
    <row r="2783">
      <c r="A2783" s="196"/>
      <c r="B2783" s="197"/>
      <c r="C2783" s="197"/>
      <c r="D2783" s="20"/>
      <c r="E2783" s="20"/>
    </row>
    <row r="2784">
      <c r="A2784" s="196"/>
      <c r="B2784" s="197"/>
      <c r="C2784" s="197"/>
      <c r="D2784" s="20"/>
      <c r="E2784" s="20"/>
    </row>
    <row r="2785">
      <c r="A2785" s="196"/>
      <c r="B2785" s="197"/>
      <c r="C2785" s="197"/>
      <c r="D2785" s="20"/>
      <c r="E2785" s="20"/>
    </row>
    <row r="2786">
      <c r="A2786" s="196"/>
      <c r="B2786" s="197"/>
      <c r="C2786" s="197"/>
      <c r="D2786" s="20"/>
      <c r="E2786" s="20"/>
    </row>
    <row r="2787">
      <c r="A2787" s="196"/>
      <c r="B2787" s="197"/>
      <c r="C2787" s="197"/>
      <c r="D2787" s="20"/>
      <c r="E2787" s="20"/>
    </row>
    <row r="2788">
      <c r="A2788" s="196"/>
      <c r="B2788" s="197"/>
      <c r="C2788" s="197"/>
      <c r="D2788" s="20"/>
      <c r="E2788" s="20"/>
    </row>
    <row r="2789">
      <c r="A2789" s="196"/>
      <c r="B2789" s="197"/>
      <c r="C2789" s="197"/>
      <c r="D2789" s="20"/>
      <c r="E2789" s="20"/>
    </row>
    <row r="2790">
      <c r="A2790" s="196"/>
      <c r="B2790" s="197"/>
      <c r="C2790" s="197"/>
      <c r="D2790" s="20"/>
      <c r="E2790" s="20"/>
    </row>
    <row r="2791">
      <c r="A2791" s="196"/>
      <c r="B2791" s="197"/>
      <c r="C2791" s="197"/>
      <c r="D2791" s="20"/>
      <c r="E2791" s="20"/>
    </row>
    <row r="2792">
      <c r="A2792" s="196"/>
      <c r="B2792" s="197"/>
      <c r="C2792" s="197"/>
      <c r="D2792" s="20"/>
      <c r="E2792" s="20"/>
    </row>
    <row r="2793">
      <c r="A2793" s="196"/>
      <c r="B2793" s="197"/>
      <c r="C2793" s="197"/>
      <c r="D2793" s="20"/>
      <c r="E2793" s="20"/>
    </row>
    <row r="2794">
      <c r="A2794" s="196"/>
      <c r="B2794" s="197"/>
      <c r="C2794" s="197"/>
      <c r="D2794" s="20"/>
      <c r="E2794" s="20"/>
    </row>
    <row r="2795">
      <c r="A2795" s="196"/>
      <c r="B2795" s="197"/>
      <c r="C2795" s="197"/>
      <c r="D2795" s="20"/>
      <c r="E2795" s="20"/>
    </row>
    <row r="2796">
      <c r="A2796" s="196"/>
      <c r="B2796" s="197"/>
      <c r="C2796" s="197"/>
      <c r="D2796" s="20"/>
      <c r="E2796" s="20"/>
    </row>
    <row r="2797">
      <c r="A2797" s="196"/>
      <c r="B2797" s="197"/>
      <c r="C2797" s="197"/>
      <c r="D2797" s="20"/>
      <c r="E2797" s="20"/>
    </row>
    <row r="2798">
      <c r="A2798" s="196"/>
      <c r="B2798" s="197"/>
      <c r="C2798" s="197"/>
      <c r="D2798" s="20"/>
      <c r="E2798" s="20"/>
    </row>
    <row r="2799">
      <c r="A2799" s="196"/>
      <c r="B2799" s="197"/>
      <c r="C2799" s="197"/>
      <c r="D2799" s="20"/>
      <c r="E2799" s="20"/>
    </row>
    <row r="2800">
      <c r="A2800" s="196"/>
      <c r="B2800" s="197"/>
      <c r="C2800" s="197"/>
      <c r="D2800" s="20"/>
      <c r="E2800" s="20"/>
    </row>
    <row r="2801">
      <c r="A2801" s="196"/>
      <c r="B2801" s="197"/>
      <c r="C2801" s="197"/>
      <c r="D2801" s="20"/>
      <c r="E2801" s="20"/>
    </row>
    <row r="2802">
      <c r="A2802" s="196"/>
      <c r="B2802" s="197"/>
      <c r="C2802" s="197"/>
      <c r="D2802" s="20"/>
      <c r="E2802" s="20"/>
    </row>
    <row r="2803">
      <c r="A2803" s="196"/>
      <c r="B2803" s="197"/>
      <c r="C2803" s="197"/>
      <c r="D2803" s="20"/>
      <c r="E2803" s="20"/>
    </row>
    <row r="2804">
      <c r="A2804" s="196"/>
      <c r="B2804" s="197"/>
      <c r="C2804" s="197"/>
      <c r="D2804" s="20"/>
      <c r="E2804" s="20"/>
    </row>
    <row r="2805">
      <c r="A2805" s="196"/>
      <c r="B2805" s="197"/>
      <c r="C2805" s="197"/>
      <c r="D2805" s="20"/>
      <c r="E2805" s="20"/>
    </row>
    <row r="2806">
      <c r="A2806" s="196"/>
      <c r="B2806" s="197"/>
      <c r="C2806" s="197"/>
      <c r="D2806" s="20"/>
      <c r="E2806" s="20"/>
    </row>
    <row r="2807">
      <c r="A2807" s="196"/>
      <c r="B2807" s="197"/>
      <c r="C2807" s="197"/>
      <c r="D2807" s="20"/>
      <c r="E2807" s="20"/>
    </row>
    <row r="2808">
      <c r="A2808" s="196"/>
      <c r="B2808" s="197"/>
      <c r="C2808" s="197"/>
      <c r="D2808" s="20"/>
      <c r="E2808" s="20"/>
    </row>
    <row r="2809">
      <c r="A2809" s="196"/>
      <c r="B2809" s="197"/>
      <c r="C2809" s="197"/>
      <c r="D2809" s="20"/>
      <c r="E2809" s="20"/>
    </row>
    <row r="2810">
      <c r="A2810" s="196"/>
      <c r="B2810" s="197"/>
      <c r="C2810" s="197"/>
      <c r="D2810" s="20"/>
      <c r="E2810" s="20"/>
    </row>
    <row r="2811">
      <c r="A2811" s="196"/>
      <c r="B2811" s="197"/>
      <c r="C2811" s="197"/>
      <c r="D2811" s="20"/>
      <c r="E2811" s="20"/>
    </row>
    <row r="2812">
      <c r="A2812" s="196"/>
      <c r="B2812" s="197"/>
      <c r="C2812" s="197"/>
      <c r="D2812" s="20"/>
      <c r="E2812" s="20"/>
    </row>
    <row r="2813">
      <c r="A2813" s="196"/>
      <c r="B2813" s="197"/>
      <c r="C2813" s="197"/>
      <c r="D2813" s="20"/>
      <c r="E2813" s="20"/>
    </row>
    <row r="2814">
      <c r="A2814" s="196"/>
      <c r="B2814" s="197"/>
      <c r="C2814" s="197"/>
      <c r="D2814" s="20"/>
      <c r="E2814" s="20"/>
    </row>
    <row r="2815">
      <c r="A2815" s="196"/>
      <c r="B2815" s="197"/>
      <c r="C2815" s="197"/>
      <c r="D2815" s="20"/>
      <c r="E2815" s="20"/>
    </row>
    <row r="2816">
      <c r="A2816" s="196"/>
      <c r="B2816" s="197"/>
      <c r="C2816" s="197"/>
      <c r="D2816" s="20"/>
      <c r="E2816" s="20"/>
    </row>
    <row r="2817">
      <c r="A2817" s="196"/>
      <c r="B2817" s="197"/>
      <c r="C2817" s="197"/>
      <c r="D2817" s="20"/>
      <c r="E2817" s="20"/>
    </row>
    <row r="2818">
      <c r="A2818" s="196"/>
      <c r="B2818" s="197"/>
      <c r="C2818" s="197"/>
      <c r="D2818" s="20"/>
      <c r="E2818" s="20"/>
    </row>
    <row r="2819">
      <c r="A2819" s="196"/>
      <c r="B2819" s="197"/>
      <c r="C2819" s="197"/>
      <c r="D2819" s="20"/>
      <c r="E2819" s="20"/>
    </row>
    <row r="2820">
      <c r="A2820" s="196"/>
      <c r="B2820" s="197"/>
      <c r="C2820" s="197"/>
      <c r="D2820" s="20"/>
      <c r="E2820" s="20"/>
    </row>
    <row r="2821">
      <c r="A2821" s="196"/>
      <c r="B2821" s="197"/>
      <c r="C2821" s="197"/>
      <c r="D2821" s="20"/>
      <c r="E2821" s="20"/>
    </row>
    <row r="2822">
      <c r="A2822" s="196"/>
      <c r="B2822" s="197"/>
      <c r="C2822" s="197"/>
      <c r="D2822" s="20"/>
      <c r="E2822" s="20"/>
    </row>
    <row r="2823">
      <c r="A2823" s="196"/>
      <c r="B2823" s="197"/>
      <c r="C2823" s="197"/>
      <c r="D2823" s="20"/>
      <c r="E2823" s="20"/>
    </row>
    <row r="2824">
      <c r="A2824" s="196"/>
      <c r="B2824" s="197"/>
      <c r="C2824" s="197"/>
      <c r="D2824" s="20"/>
      <c r="E2824" s="20"/>
    </row>
    <row r="2825">
      <c r="A2825" s="196"/>
      <c r="B2825" s="197"/>
      <c r="C2825" s="197"/>
      <c r="D2825" s="20"/>
      <c r="E2825" s="20"/>
    </row>
    <row r="2826">
      <c r="A2826" s="196"/>
      <c r="B2826" s="197"/>
      <c r="C2826" s="197"/>
      <c r="D2826" s="20"/>
      <c r="E2826" s="20"/>
    </row>
    <row r="2827">
      <c r="A2827" s="196"/>
      <c r="B2827" s="197"/>
      <c r="C2827" s="197"/>
      <c r="D2827" s="20"/>
      <c r="E2827" s="20"/>
    </row>
    <row r="2828">
      <c r="A2828" s="196"/>
      <c r="B2828" s="197"/>
      <c r="C2828" s="197"/>
      <c r="D2828" s="20"/>
      <c r="E2828" s="20"/>
    </row>
    <row r="2829">
      <c r="A2829" s="196"/>
      <c r="B2829" s="197"/>
      <c r="C2829" s="197"/>
      <c r="D2829" s="20"/>
      <c r="E2829" s="20"/>
    </row>
    <row r="2830">
      <c r="A2830" s="196"/>
      <c r="B2830" s="197"/>
      <c r="C2830" s="197"/>
      <c r="D2830" s="20"/>
      <c r="E2830" s="20"/>
    </row>
    <row r="2831">
      <c r="A2831" s="196"/>
      <c r="B2831" s="197"/>
      <c r="C2831" s="197"/>
      <c r="D2831" s="20"/>
      <c r="E2831" s="20"/>
    </row>
    <row r="2832">
      <c r="A2832" s="196"/>
      <c r="B2832" s="197"/>
      <c r="C2832" s="197"/>
      <c r="D2832" s="20"/>
      <c r="E2832" s="20"/>
    </row>
    <row r="2833">
      <c r="A2833" s="196"/>
      <c r="B2833" s="197"/>
      <c r="C2833" s="197"/>
      <c r="D2833" s="20"/>
      <c r="E2833" s="20"/>
    </row>
    <row r="2834">
      <c r="A2834" s="196"/>
      <c r="B2834" s="197"/>
      <c r="C2834" s="197"/>
      <c r="D2834" s="20"/>
      <c r="E2834" s="20"/>
    </row>
    <row r="2835">
      <c r="A2835" s="196"/>
      <c r="B2835" s="197"/>
      <c r="C2835" s="197"/>
      <c r="D2835" s="20"/>
      <c r="E2835" s="20"/>
    </row>
    <row r="2836">
      <c r="A2836" s="196"/>
      <c r="B2836" s="197"/>
      <c r="C2836" s="197"/>
      <c r="D2836" s="20"/>
      <c r="E2836" s="20"/>
    </row>
    <row r="2837">
      <c r="A2837" s="196"/>
      <c r="B2837" s="197"/>
      <c r="C2837" s="197"/>
      <c r="D2837" s="20"/>
      <c r="E2837" s="20"/>
    </row>
    <row r="2838">
      <c r="A2838" s="196"/>
      <c r="B2838" s="197"/>
      <c r="C2838" s="197"/>
      <c r="D2838" s="20"/>
      <c r="E2838" s="20"/>
    </row>
    <row r="2839">
      <c r="A2839" s="196"/>
      <c r="B2839" s="197"/>
      <c r="C2839" s="197"/>
      <c r="D2839" s="20"/>
      <c r="E2839" s="20"/>
    </row>
    <row r="2840">
      <c r="A2840" s="196"/>
      <c r="B2840" s="197"/>
      <c r="C2840" s="197"/>
      <c r="D2840" s="20"/>
      <c r="E2840" s="20"/>
    </row>
    <row r="2841">
      <c r="A2841" s="196"/>
      <c r="B2841" s="197"/>
      <c r="C2841" s="197"/>
      <c r="D2841" s="20"/>
      <c r="E2841" s="20"/>
    </row>
    <row r="2842">
      <c r="A2842" s="196"/>
      <c r="B2842" s="197"/>
      <c r="C2842" s="197"/>
      <c r="D2842" s="20"/>
      <c r="E2842" s="20"/>
    </row>
    <row r="2843">
      <c r="A2843" s="196"/>
      <c r="B2843" s="197"/>
      <c r="C2843" s="197"/>
      <c r="D2843" s="20"/>
      <c r="E2843" s="20"/>
    </row>
    <row r="2844">
      <c r="A2844" s="196"/>
      <c r="B2844" s="197"/>
      <c r="C2844" s="197"/>
      <c r="D2844" s="20"/>
      <c r="E2844" s="20"/>
    </row>
    <row r="2845">
      <c r="A2845" s="196"/>
      <c r="B2845" s="197"/>
      <c r="C2845" s="197"/>
      <c r="D2845" s="20"/>
      <c r="E2845" s="20"/>
    </row>
    <row r="2846">
      <c r="A2846" s="196"/>
      <c r="B2846" s="197"/>
      <c r="C2846" s="197"/>
      <c r="D2846" s="20"/>
      <c r="E2846" s="20"/>
    </row>
    <row r="2847">
      <c r="A2847" s="196"/>
      <c r="B2847" s="197"/>
      <c r="C2847" s="197"/>
      <c r="D2847" s="20"/>
      <c r="E2847" s="20"/>
    </row>
    <row r="2848">
      <c r="A2848" s="196"/>
      <c r="B2848" s="197"/>
      <c r="C2848" s="197"/>
      <c r="D2848" s="20"/>
      <c r="E2848" s="20"/>
    </row>
    <row r="2849">
      <c r="A2849" s="196"/>
      <c r="B2849" s="197"/>
      <c r="C2849" s="197"/>
      <c r="D2849" s="20"/>
      <c r="E2849" s="20"/>
    </row>
    <row r="2850">
      <c r="A2850" s="196"/>
      <c r="B2850" s="197"/>
      <c r="C2850" s="197"/>
      <c r="D2850" s="20"/>
      <c r="E2850" s="20"/>
    </row>
    <row r="2851">
      <c r="A2851" s="196"/>
      <c r="B2851" s="197"/>
      <c r="C2851" s="197"/>
      <c r="D2851" s="20"/>
      <c r="E2851" s="20"/>
    </row>
    <row r="2852">
      <c r="A2852" s="196"/>
      <c r="B2852" s="197"/>
      <c r="C2852" s="197"/>
      <c r="D2852" s="20"/>
      <c r="E2852" s="20"/>
    </row>
    <row r="2853">
      <c r="A2853" s="196"/>
      <c r="B2853" s="197"/>
      <c r="C2853" s="197"/>
      <c r="D2853" s="20"/>
      <c r="E2853" s="20"/>
    </row>
    <row r="2854">
      <c r="A2854" s="196"/>
      <c r="B2854" s="197"/>
      <c r="C2854" s="197"/>
      <c r="D2854" s="20"/>
      <c r="E2854" s="20"/>
    </row>
    <row r="2855">
      <c r="A2855" s="196"/>
      <c r="B2855" s="197"/>
      <c r="C2855" s="197"/>
      <c r="D2855" s="20"/>
      <c r="E2855" s="20"/>
    </row>
    <row r="2856">
      <c r="A2856" s="196"/>
      <c r="B2856" s="197"/>
      <c r="C2856" s="197"/>
      <c r="D2856" s="20"/>
      <c r="E2856" s="20"/>
    </row>
    <row r="2857">
      <c r="A2857" s="196"/>
      <c r="B2857" s="197"/>
      <c r="C2857" s="197"/>
      <c r="D2857" s="20"/>
      <c r="E2857" s="20"/>
    </row>
    <row r="2858">
      <c r="A2858" s="196"/>
      <c r="B2858" s="197"/>
      <c r="C2858" s="197"/>
      <c r="D2858" s="20"/>
      <c r="E2858" s="20"/>
    </row>
    <row r="2859">
      <c r="A2859" s="196"/>
      <c r="B2859" s="197"/>
      <c r="C2859" s="197"/>
      <c r="D2859" s="20"/>
      <c r="E2859" s="20"/>
    </row>
    <row r="2860">
      <c r="A2860" s="196"/>
      <c r="B2860" s="197"/>
      <c r="C2860" s="197"/>
      <c r="D2860" s="20"/>
      <c r="E2860" s="20"/>
    </row>
    <row r="2861">
      <c r="A2861" s="196"/>
      <c r="B2861" s="197"/>
      <c r="C2861" s="197"/>
      <c r="D2861" s="20"/>
      <c r="E2861" s="20"/>
    </row>
    <row r="2862">
      <c r="A2862" s="196"/>
      <c r="B2862" s="197"/>
      <c r="C2862" s="197"/>
      <c r="D2862" s="20"/>
      <c r="E2862" s="20"/>
    </row>
    <row r="2863">
      <c r="A2863" s="196"/>
      <c r="B2863" s="197"/>
      <c r="C2863" s="197"/>
      <c r="D2863" s="20"/>
      <c r="E2863" s="20"/>
    </row>
    <row r="2864">
      <c r="A2864" s="196"/>
      <c r="B2864" s="197"/>
      <c r="C2864" s="197"/>
      <c r="D2864" s="20"/>
      <c r="E2864" s="20"/>
    </row>
    <row r="2865">
      <c r="A2865" s="196"/>
      <c r="B2865" s="197"/>
      <c r="C2865" s="197"/>
      <c r="D2865" s="20"/>
      <c r="E2865" s="20"/>
    </row>
    <row r="2866">
      <c r="A2866" s="196"/>
      <c r="B2866" s="197"/>
      <c r="C2866" s="197"/>
      <c r="D2866" s="20"/>
      <c r="E2866" s="20"/>
    </row>
    <row r="2867">
      <c r="A2867" s="196"/>
      <c r="B2867" s="197"/>
      <c r="C2867" s="197"/>
      <c r="D2867" s="20"/>
      <c r="E2867" s="20"/>
    </row>
    <row r="2868">
      <c r="A2868" s="196"/>
      <c r="B2868" s="197"/>
      <c r="C2868" s="197"/>
      <c r="D2868" s="20"/>
      <c r="E2868" s="20"/>
    </row>
    <row r="2869">
      <c r="A2869" s="196"/>
      <c r="B2869" s="197"/>
      <c r="C2869" s="197"/>
      <c r="D2869" s="20"/>
      <c r="E2869" s="20"/>
    </row>
    <row r="2870">
      <c r="A2870" s="196"/>
      <c r="B2870" s="197"/>
      <c r="C2870" s="197"/>
      <c r="D2870" s="20"/>
      <c r="E2870" s="20"/>
    </row>
    <row r="2871">
      <c r="A2871" s="196"/>
      <c r="B2871" s="197"/>
      <c r="C2871" s="197"/>
      <c r="D2871" s="20"/>
      <c r="E2871" s="20"/>
    </row>
    <row r="2872">
      <c r="A2872" s="196"/>
      <c r="B2872" s="197"/>
      <c r="C2872" s="197"/>
      <c r="D2872" s="20"/>
      <c r="E2872" s="20"/>
    </row>
    <row r="2873">
      <c r="A2873" s="196"/>
      <c r="B2873" s="197"/>
      <c r="C2873" s="197"/>
      <c r="D2873" s="20"/>
      <c r="E2873" s="20"/>
    </row>
    <row r="2874">
      <c r="A2874" s="196"/>
      <c r="B2874" s="197"/>
      <c r="C2874" s="197"/>
      <c r="D2874" s="20"/>
      <c r="E2874" s="20"/>
    </row>
    <row r="2875">
      <c r="A2875" s="196"/>
      <c r="B2875" s="197"/>
      <c r="C2875" s="197"/>
      <c r="D2875" s="20"/>
      <c r="E2875" s="20"/>
    </row>
    <row r="2876">
      <c r="A2876" s="196"/>
      <c r="B2876" s="197"/>
      <c r="C2876" s="197"/>
      <c r="D2876" s="20"/>
      <c r="E2876" s="20"/>
    </row>
    <row r="2877">
      <c r="A2877" s="196"/>
      <c r="B2877" s="197"/>
      <c r="C2877" s="197"/>
      <c r="D2877" s="20"/>
      <c r="E2877" s="20"/>
    </row>
    <row r="2878">
      <c r="A2878" s="196"/>
      <c r="B2878" s="197"/>
      <c r="C2878" s="197"/>
      <c r="D2878" s="20"/>
      <c r="E2878" s="20"/>
    </row>
    <row r="2879">
      <c r="A2879" s="196"/>
      <c r="B2879" s="197"/>
      <c r="C2879" s="197"/>
      <c r="D2879" s="20"/>
      <c r="E2879" s="20"/>
    </row>
    <row r="2880">
      <c r="A2880" s="196"/>
      <c r="B2880" s="197"/>
      <c r="C2880" s="197"/>
      <c r="D2880" s="20"/>
      <c r="E2880" s="20"/>
    </row>
    <row r="2881">
      <c r="A2881" s="196"/>
      <c r="B2881" s="197"/>
      <c r="C2881" s="197"/>
      <c r="D2881" s="20"/>
      <c r="E2881" s="20"/>
    </row>
    <row r="2882">
      <c r="A2882" s="196"/>
      <c r="B2882" s="197"/>
      <c r="C2882" s="197"/>
      <c r="D2882" s="20"/>
      <c r="E2882" s="20"/>
    </row>
    <row r="2883">
      <c r="A2883" s="196"/>
      <c r="B2883" s="197"/>
      <c r="C2883" s="197"/>
      <c r="D2883" s="20"/>
      <c r="E2883" s="20"/>
    </row>
    <row r="2884">
      <c r="A2884" s="196"/>
      <c r="B2884" s="197"/>
      <c r="C2884" s="197"/>
      <c r="D2884" s="20"/>
      <c r="E2884" s="20"/>
    </row>
    <row r="2885">
      <c r="A2885" s="196"/>
      <c r="B2885" s="197"/>
      <c r="C2885" s="197"/>
      <c r="D2885" s="20"/>
      <c r="E2885" s="20"/>
    </row>
    <row r="2886">
      <c r="A2886" s="196"/>
      <c r="B2886" s="197"/>
      <c r="C2886" s="197"/>
      <c r="D2886" s="20"/>
      <c r="E2886" s="20"/>
    </row>
    <row r="2887">
      <c r="A2887" s="196"/>
      <c r="B2887" s="197"/>
      <c r="C2887" s="197"/>
      <c r="D2887" s="20"/>
      <c r="E2887" s="20"/>
    </row>
    <row r="2888">
      <c r="A2888" s="196"/>
      <c r="B2888" s="197"/>
      <c r="C2888" s="197"/>
      <c r="D2888" s="20"/>
      <c r="E2888" s="20"/>
    </row>
    <row r="2889">
      <c r="A2889" s="196"/>
      <c r="B2889" s="197"/>
      <c r="C2889" s="197"/>
      <c r="D2889" s="20"/>
      <c r="E2889" s="20"/>
    </row>
    <row r="2890">
      <c r="A2890" s="196"/>
      <c r="B2890" s="197"/>
      <c r="C2890" s="197"/>
      <c r="D2890" s="20"/>
      <c r="E2890" s="20"/>
    </row>
    <row r="2891">
      <c r="A2891" s="196"/>
      <c r="B2891" s="197"/>
      <c r="C2891" s="197"/>
      <c r="D2891" s="20"/>
      <c r="E2891" s="20"/>
    </row>
    <row r="2892">
      <c r="A2892" s="196"/>
      <c r="B2892" s="197"/>
      <c r="C2892" s="197"/>
      <c r="D2892" s="20"/>
      <c r="E2892" s="20"/>
    </row>
    <row r="2893">
      <c r="A2893" s="196"/>
      <c r="B2893" s="197"/>
      <c r="C2893" s="197"/>
      <c r="D2893" s="20"/>
      <c r="E2893" s="20"/>
    </row>
    <row r="2894">
      <c r="A2894" s="196"/>
      <c r="B2894" s="197"/>
      <c r="C2894" s="197"/>
      <c r="D2894" s="20"/>
      <c r="E2894" s="20"/>
    </row>
    <row r="2895">
      <c r="A2895" s="196"/>
      <c r="B2895" s="197"/>
      <c r="C2895" s="197"/>
      <c r="D2895" s="20"/>
      <c r="E2895" s="20"/>
    </row>
    <row r="2896">
      <c r="A2896" s="196"/>
      <c r="B2896" s="197"/>
      <c r="C2896" s="197"/>
      <c r="D2896" s="20"/>
      <c r="E2896" s="20"/>
    </row>
    <row r="2897">
      <c r="A2897" s="196"/>
      <c r="B2897" s="197"/>
      <c r="C2897" s="197"/>
      <c r="D2897" s="20"/>
      <c r="E2897" s="20"/>
    </row>
    <row r="2898">
      <c r="A2898" s="196"/>
      <c r="B2898" s="197"/>
      <c r="C2898" s="197"/>
      <c r="D2898" s="20"/>
      <c r="E2898" s="20"/>
    </row>
    <row r="2899">
      <c r="A2899" s="196"/>
      <c r="B2899" s="197"/>
      <c r="C2899" s="197"/>
      <c r="D2899" s="20"/>
      <c r="E2899" s="20"/>
    </row>
    <row r="2900">
      <c r="A2900" s="196"/>
      <c r="B2900" s="197"/>
      <c r="C2900" s="197"/>
      <c r="D2900" s="20"/>
      <c r="E2900" s="20"/>
    </row>
    <row r="2901">
      <c r="A2901" s="196"/>
      <c r="B2901" s="197"/>
      <c r="C2901" s="197"/>
      <c r="D2901" s="20"/>
      <c r="E2901" s="20"/>
    </row>
    <row r="2902">
      <c r="A2902" s="196"/>
      <c r="B2902" s="197"/>
      <c r="C2902" s="197"/>
      <c r="D2902" s="20"/>
      <c r="E2902" s="20"/>
    </row>
    <row r="2903">
      <c r="A2903" s="196"/>
      <c r="B2903" s="197"/>
      <c r="C2903" s="197"/>
      <c r="D2903" s="20"/>
      <c r="E2903" s="20"/>
    </row>
    <row r="2904">
      <c r="A2904" s="196"/>
      <c r="B2904" s="197"/>
      <c r="C2904" s="197"/>
      <c r="D2904" s="20"/>
      <c r="E2904" s="20"/>
    </row>
    <row r="2905">
      <c r="A2905" s="196"/>
      <c r="B2905" s="197"/>
      <c r="C2905" s="197"/>
      <c r="D2905" s="20"/>
      <c r="E2905" s="20"/>
    </row>
    <row r="2906">
      <c r="A2906" s="196"/>
      <c r="B2906" s="197"/>
      <c r="C2906" s="197"/>
      <c r="D2906" s="20"/>
      <c r="E2906" s="20"/>
    </row>
    <row r="2907">
      <c r="A2907" s="196"/>
      <c r="B2907" s="197"/>
      <c r="C2907" s="197"/>
      <c r="D2907" s="20"/>
      <c r="E2907" s="20"/>
    </row>
    <row r="2908">
      <c r="A2908" s="196"/>
      <c r="B2908" s="197"/>
      <c r="C2908" s="197"/>
      <c r="D2908" s="20"/>
      <c r="E2908" s="20"/>
    </row>
    <row r="2909">
      <c r="A2909" s="196"/>
      <c r="B2909" s="197"/>
      <c r="C2909" s="197"/>
      <c r="D2909" s="20"/>
      <c r="E2909" s="20"/>
    </row>
    <row r="2910">
      <c r="A2910" s="196"/>
      <c r="B2910" s="197"/>
      <c r="C2910" s="197"/>
      <c r="D2910" s="20"/>
      <c r="E2910" s="20"/>
    </row>
    <row r="2911">
      <c r="A2911" s="196"/>
      <c r="B2911" s="197"/>
      <c r="C2911" s="197"/>
      <c r="D2911" s="20"/>
      <c r="E2911" s="20"/>
    </row>
    <row r="2912">
      <c r="A2912" s="196"/>
      <c r="B2912" s="197"/>
      <c r="C2912" s="197"/>
      <c r="D2912" s="20"/>
      <c r="E2912" s="20"/>
    </row>
    <row r="2913">
      <c r="A2913" s="196"/>
      <c r="B2913" s="197"/>
      <c r="C2913" s="197"/>
      <c r="D2913" s="20"/>
      <c r="E2913" s="20"/>
    </row>
    <row r="2914">
      <c r="A2914" s="196"/>
      <c r="B2914" s="197"/>
      <c r="C2914" s="197"/>
      <c r="D2914" s="20"/>
      <c r="E2914" s="20"/>
    </row>
    <row r="2915">
      <c r="A2915" s="196"/>
      <c r="B2915" s="197"/>
      <c r="C2915" s="197"/>
      <c r="D2915" s="20"/>
      <c r="E2915" s="20"/>
    </row>
    <row r="2916">
      <c r="A2916" s="196"/>
      <c r="B2916" s="197"/>
      <c r="C2916" s="197"/>
      <c r="D2916" s="20"/>
      <c r="E2916" s="20"/>
    </row>
    <row r="2917">
      <c r="A2917" s="196"/>
      <c r="B2917" s="197"/>
      <c r="C2917" s="197"/>
      <c r="D2917" s="20"/>
      <c r="E2917" s="20"/>
    </row>
    <row r="2918">
      <c r="A2918" s="196"/>
      <c r="B2918" s="197"/>
      <c r="C2918" s="197"/>
      <c r="D2918" s="20"/>
      <c r="E2918" s="20"/>
    </row>
    <row r="2919">
      <c r="A2919" s="196"/>
      <c r="B2919" s="197"/>
      <c r="C2919" s="197"/>
      <c r="D2919" s="20"/>
      <c r="E2919" s="20"/>
    </row>
    <row r="2920">
      <c r="A2920" s="196"/>
      <c r="B2920" s="197"/>
      <c r="C2920" s="197"/>
      <c r="D2920" s="20"/>
      <c r="E2920" s="20"/>
    </row>
    <row r="2921">
      <c r="A2921" s="196"/>
      <c r="B2921" s="197"/>
      <c r="C2921" s="197"/>
      <c r="D2921" s="20"/>
      <c r="E2921" s="20"/>
    </row>
    <row r="2922">
      <c r="A2922" s="196"/>
      <c r="B2922" s="197"/>
      <c r="C2922" s="197"/>
      <c r="D2922" s="20"/>
      <c r="E2922" s="20"/>
    </row>
    <row r="2923">
      <c r="A2923" s="196"/>
      <c r="B2923" s="197"/>
      <c r="C2923" s="197"/>
      <c r="D2923" s="20"/>
      <c r="E2923" s="20"/>
    </row>
    <row r="2924">
      <c r="A2924" s="196"/>
      <c r="B2924" s="197"/>
      <c r="C2924" s="197"/>
      <c r="D2924" s="20"/>
      <c r="E2924" s="20"/>
    </row>
    <row r="2925">
      <c r="A2925" s="196"/>
      <c r="B2925" s="197"/>
      <c r="C2925" s="197"/>
      <c r="D2925" s="20"/>
      <c r="E2925" s="20"/>
    </row>
    <row r="2926">
      <c r="A2926" s="196"/>
      <c r="B2926" s="197"/>
      <c r="C2926" s="197"/>
      <c r="D2926" s="20"/>
      <c r="E2926" s="20"/>
    </row>
    <row r="2927">
      <c r="A2927" s="196"/>
      <c r="B2927" s="197"/>
      <c r="C2927" s="197"/>
      <c r="D2927" s="20"/>
      <c r="E2927" s="20"/>
    </row>
    <row r="2928">
      <c r="A2928" s="196"/>
      <c r="B2928" s="197"/>
      <c r="C2928" s="197"/>
      <c r="D2928" s="20"/>
      <c r="E2928" s="20"/>
    </row>
    <row r="2929">
      <c r="A2929" s="196"/>
      <c r="B2929" s="197"/>
      <c r="C2929" s="197"/>
      <c r="D2929" s="20"/>
      <c r="E2929" s="20"/>
    </row>
    <row r="2930">
      <c r="A2930" s="196"/>
      <c r="B2930" s="197"/>
      <c r="C2930" s="197"/>
      <c r="D2930" s="20"/>
      <c r="E2930" s="20"/>
    </row>
    <row r="2931">
      <c r="A2931" s="196"/>
      <c r="B2931" s="197"/>
      <c r="C2931" s="197"/>
      <c r="D2931" s="20"/>
      <c r="E2931" s="20"/>
    </row>
    <row r="2932">
      <c r="A2932" s="196"/>
      <c r="B2932" s="197"/>
      <c r="C2932" s="197"/>
      <c r="D2932" s="20"/>
      <c r="E2932" s="20"/>
    </row>
    <row r="2933">
      <c r="A2933" s="196"/>
      <c r="B2933" s="197"/>
      <c r="C2933" s="197"/>
      <c r="D2933" s="20"/>
      <c r="E2933" s="20"/>
    </row>
    <row r="2934">
      <c r="A2934" s="196"/>
      <c r="B2934" s="197"/>
      <c r="C2934" s="197"/>
      <c r="D2934" s="20"/>
      <c r="E2934" s="20"/>
    </row>
    <row r="2935">
      <c r="A2935" s="196"/>
      <c r="B2935" s="197"/>
      <c r="C2935" s="197"/>
      <c r="D2935" s="20"/>
      <c r="E2935" s="20"/>
    </row>
    <row r="2936">
      <c r="A2936" s="196"/>
      <c r="B2936" s="197"/>
      <c r="C2936" s="197"/>
      <c r="D2936" s="20"/>
      <c r="E2936" s="20"/>
    </row>
    <row r="2937">
      <c r="A2937" s="196"/>
      <c r="B2937" s="197"/>
      <c r="C2937" s="197"/>
      <c r="D2937" s="20"/>
      <c r="E2937" s="20"/>
    </row>
    <row r="2938">
      <c r="A2938" s="196"/>
      <c r="B2938" s="197"/>
      <c r="C2938" s="197"/>
      <c r="D2938" s="20"/>
      <c r="E2938" s="20"/>
    </row>
    <row r="2939">
      <c r="A2939" s="196"/>
      <c r="B2939" s="197"/>
      <c r="C2939" s="197"/>
      <c r="D2939" s="20"/>
      <c r="E2939" s="20"/>
    </row>
    <row r="2940">
      <c r="A2940" s="196"/>
      <c r="B2940" s="197"/>
      <c r="C2940" s="197"/>
      <c r="D2940" s="20"/>
      <c r="E2940" s="20"/>
    </row>
    <row r="2941">
      <c r="A2941" s="196"/>
      <c r="B2941" s="197"/>
      <c r="C2941" s="197"/>
      <c r="D2941" s="20"/>
      <c r="E2941" s="20"/>
    </row>
    <row r="2942">
      <c r="A2942" s="196"/>
      <c r="B2942" s="197"/>
      <c r="C2942" s="197"/>
      <c r="D2942" s="20"/>
      <c r="E2942" s="20"/>
    </row>
    <row r="2943">
      <c r="A2943" s="196"/>
      <c r="B2943" s="197"/>
      <c r="C2943" s="197"/>
      <c r="D2943" s="20"/>
      <c r="E2943" s="20"/>
    </row>
    <row r="2944">
      <c r="A2944" s="196"/>
      <c r="B2944" s="197"/>
      <c r="C2944" s="197"/>
      <c r="D2944" s="20"/>
      <c r="E2944" s="20"/>
    </row>
    <row r="2945">
      <c r="A2945" s="196"/>
      <c r="B2945" s="197"/>
      <c r="C2945" s="197"/>
      <c r="D2945" s="20"/>
      <c r="E2945" s="20"/>
    </row>
    <row r="2946">
      <c r="A2946" s="196"/>
      <c r="B2946" s="197"/>
      <c r="C2946" s="197"/>
      <c r="D2946" s="20"/>
      <c r="E2946" s="20"/>
    </row>
    <row r="2947">
      <c r="A2947" s="196"/>
      <c r="B2947" s="197"/>
      <c r="C2947" s="197"/>
      <c r="D2947" s="20"/>
      <c r="E2947" s="20"/>
    </row>
    <row r="2948">
      <c r="A2948" s="196"/>
      <c r="B2948" s="197"/>
      <c r="C2948" s="197"/>
      <c r="D2948" s="20"/>
      <c r="E2948" s="20"/>
    </row>
    <row r="2949">
      <c r="A2949" s="196"/>
      <c r="B2949" s="197"/>
      <c r="C2949" s="197"/>
      <c r="D2949" s="20"/>
      <c r="E2949" s="20"/>
    </row>
    <row r="2950">
      <c r="A2950" s="196"/>
      <c r="B2950" s="197"/>
      <c r="C2950" s="197"/>
      <c r="D2950" s="20"/>
      <c r="E2950" s="20"/>
    </row>
    <row r="2951">
      <c r="A2951" s="196"/>
      <c r="B2951" s="197"/>
      <c r="C2951" s="197"/>
      <c r="D2951" s="20"/>
      <c r="E2951" s="20"/>
    </row>
    <row r="2952">
      <c r="A2952" s="196"/>
      <c r="B2952" s="197"/>
      <c r="C2952" s="197"/>
      <c r="D2952" s="20"/>
      <c r="E2952" s="20"/>
    </row>
    <row r="2953">
      <c r="A2953" s="196"/>
      <c r="B2953" s="197"/>
      <c r="C2953" s="197"/>
      <c r="D2953" s="20"/>
      <c r="E2953" s="20"/>
    </row>
    <row r="2954">
      <c r="A2954" s="196"/>
      <c r="B2954" s="197"/>
      <c r="C2954" s="197"/>
      <c r="D2954" s="20"/>
      <c r="E2954" s="20"/>
    </row>
    <row r="2955">
      <c r="A2955" s="196"/>
      <c r="B2955" s="197"/>
      <c r="C2955" s="197"/>
      <c r="D2955" s="20"/>
      <c r="E2955" s="20"/>
    </row>
    <row r="2956">
      <c r="A2956" s="196"/>
      <c r="B2956" s="197"/>
      <c r="C2956" s="197"/>
      <c r="D2956" s="20"/>
      <c r="E2956" s="20"/>
    </row>
    <row r="2957">
      <c r="A2957" s="196"/>
      <c r="B2957" s="197"/>
      <c r="C2957" s="197"/>
      <c r="D2957" s="20"/>
      <c r="E2957" s="20"/>
    </row>
    <row r="2958">
      <c r="A2958" s="196"/>
      <c r="B2958" s="197"/>
      <c r="C2958" s="197"/>
      <c r="D2958" s="20"/>
      <c r="E2958" s="20"/>
    </row>
    <row r="2959">
      <c r="A2959" s="196"/>
      <c r="B2959" s="197"/>
      <c r="C2959" s="197"/>
      <c r="D2959" s="20"/>
      <c r="E2959" s="20"/>
    </row>
    <row r="2960">
      <c r="A2960" s="196"/>
      <c r="B2960" s="197"/>
      <c r="C2960" s="197"/>
      <c r="D2960" s="20"/>
      <c r="E2960" s="20"/>
    </row>
    <row r="2961">
      <c r="A2961" s="196"/>
      <c r="B2961" s="197"/>
      <c r="C2961" s="197"/>
      <c r="D2961" s="20"/>
      <c r="E2961" s="20"/>
    </row>
    <row r="2962">
      <c r="A2962" s="196"/>
      <c r="B2962" s="197"/>
      <c r="C2962" s="197"/>
      <c r="D2962" s="20"/>
      <c r="E2962" s="20"/>
    </row>
    <row r="2963">
      <c r="A2963" s="196"/>
      <c r="B2963" s="197"/>
      <c r="C2963" s="197"/>
      <c r="D2963" s="20"/>
      <c r="E2963" s="20"/>
    </row>
    <row r="2964">
      <c r="A2964" s="196"/>
      <c r="B2964" s="197"/>
      <c r="C2964" s="197"/>
      <c r="D2964" s="20"/>
      <c r="E2964" s="20"/>
    </row>
    <row r="2965">
      <c r="A2965" s="196"/>
      <c r="B2965" s="197"/>
      <c r="C2965" s="197"/>
      <c r="D2965" s="20"/>
      <c r="E2965" s="20"/>
    </row>
    <row r="2966">
      <c r="A2966" s="196"/>
      <c r="B2966" s="197"/>
      <c r="C2966" s="197"/>
      <c r="D2966" s="20"/>
      <c r="E2966" s="20"/>
    </row>
    <row r="2967">
      <c r="A2967" s="196"/>
      <c r="B2967" s="197"/>
      <c r="C2967" s="197"/>
      <c r="D2967" s="20"/>
      <c r="E2967" s="20"/>
    </row>
    <row r="2968">
      <c r="A2968" s="196"/>
      <c r="B2968" s="197"/>
      <c r="C2968" s="197"/>
      <c r="D2968" s="20"/>
      <c r="E2968" s="20"/>
    </row>
    <row r="2969">
      <c r="A2969" s="196"/>
      <c r="B2969" s="197"/>
      <c r="C2969" s="197"/>
      <c r="D2969" s="20"/>
      <c r="E2969" s="20"/>
    </row>
    <row r="2970">
      <c r="A2970" s="196"/>
      <c r="B2970" s="197"/>
      <c r="C2970" s="197"/>
      <c r="D2970" s="20"/>
      <c r="E2970" s="20"/>
    </row>
    <row r="2971">
      <c r="A2971" s="196"/>
      <c r="B2971" s="197"/>
      <c r="C2971" s="197"/>
      <c r="D2971" s="20"/>
      <c r="E2971" s="20"/>
    </row>
    <row r="2972">
      <c r="A2972" s="196"/>
      <c r="B2972" s="197"/>
      <c r="C2972" s="197"/>
      <c r="D2972" s="20"/>
      <c r="E2972" s="20"/>
    </row>
    <row r="2973">
      <c r="A2973" s="196"/>
      <c r="B2973" s="197"/>
      <c r="C2973" s="197"/>
      <c r="D2973" s="20"/>
      <c r="E2973" s="20"/>
    </row>
    <row r="2974">
      <c r="A2974" s="196"/>
      <c r="B2974" s="197"/>
      <c r="C2974" s="197"/>
      <c r="D2974" s="20"/>
      <c r="E2974" s="20"/>
    </row>
    <row r="2975">
      <c r="A2975" s="196"/>
      <c r="B2975" s="197"/>
      <c r="C2975" s="197"/>
      <c r="D2975" s="20"/>
      <c r="E2975" s="20"/>
    </row>
    <row r="2976">
      <c r="A2976" s="196"/>
      <c r="B2976" s="197"/>
      <c r="C2976" s="197"/>
      <c r="D2976" s="20"/>
      <c r="E2976" s="20"/>
    </row>
    <row r="2977">
      <c r="A2977" s="196"/>
      <c r="B2977" s="197"/>
      <c r="C2977" s="197"/>
      <c r="D2977" s="20"/>
      <c r="E2977" s="20"/>
    </row>
    <row r="2978">
      <c r="A2978" s="196"/>
      <c r="B2978" s="197"/>
      <c r="C2978" s="197"/>
      <c r="D2978" s="20"/>
      <c r="E2978" s="20"/>
    </row>
    <row r="2979">
      <c r="A2979" s="196"/>
      <c r="B2979" s="197"/>
      <c r="C2979" s="197"/>
      <c r="D2979" s="20"/>
      <c r="E2979" s="20"/>
    </row>
    <row r="2980">
      <c r="A2980" s="196"/>
      <c r="B2980" s="197"/>
      <c r="C2980" s="197"/>
      <c r="D2980" s="20"/>
      <c r="E2980" s="20"/>
    </row>
    <row r="2981">
      <c r="A2981" s="196"/>
      <c r="B2981" s="197"/>
      <c r="C2981" s="197"/>
      <c r="D2981" s="20"/>
      <c r="E2981" s="20"/>
    </row>
    <row r="2982">
      <c r="A2982" s="196"/>
      <c r="B2982" s="197"/>
      <c r="C2982" s="197"/>
      <c r="D2982" s="20"/>
      <c r="E2982" s="20"/>
    </row>
    <row r="2983">
      <c r="A2983" s="196"/>
      <c r="B2983" s="197"/>
      <c r="C2983" s="197"/>
      <c r="D2983" s="20"/>
      <c r="E2983" s="20"/>
    </row>
    <row r="2984">
      <c r="A2984" s="196"/>
      <c r="B2984" s="197"/>
      <c r="C2984" s="197"/>
      <c r="D2984" s="20"/>
      <c r="E2984" s="20"/>
    </row>
    <row r="2985">
      <c r="A2985" s="196"/>
      <c r="B2985" s="197"/>
      <c r="C2985" s="197"/>
      <c r="D2985" s="20"/>
      <c r="E2985" s="20"/>
    </row>
    <row r="2986">
      <c r="A2986" s="196"/>
      <c r="B2986" s="197"/>
      <c r="C2986" s="197"/>
      <c r="D2986" s="20"/>
      <c r="E2986" s="20"/>
    </row>
    <row r="2987">
      <c r="A2987" s="196"/>
      <c r="B2987" s="197"/>
      <c r="C2987" s="197"/>
      <c r="D2987" s="20"/>
      <c r="E2987" s="20"/>
    </row>
    <row r="2988">
      <c r="A2988" s="196"/>
      <c r="B2988" s="197"/>
      <c r="C2988" s="197"/>
      <c r="D2988" s="20"/>
      <c r="E2988" s="20"/>
    </row>
    <row r="2989">
      <c r="A2989" s="196"/>
      <c r="B2989" s="197"/>
      <c r="C2989" s="197"/>
      <c r="D2989" s="20"/>
      <c r="E2989" s="20"/>
    </row>
    <row r="2990">
      <c r="A2990" s="196"/>
      <c r="B2990" s="197"/>
      <c r="C2990" s="197"/>
      <c r="D2990" s="20"/>
      <c r="E2990" s="20"/>
    </row>
    <row r="2991">
      <c r="A2991" s="196"/>
      <c r="B2991" s="197"/>
      <c r="C2991" s="197"/>
      <c r="D2991" s="20"/>
      <c r="E2991" s="20"/>
    </row>
    <row r="2992">
      <c r="A2992" s="196"/>
      <c r="B2992" s="197"/>
      <c r="C2992" s="197"/>
      <c r="D2992" s="20"/>
      <c r="E2992" s="20"/>
    </row>
    <row r="2993">
      <c r="A2993" s="196"/>
      <c r="B2993" s="197"/>
      <c r="C2993" s="197"/>
      <c r="D2993" s="20"/>
      <c r="E2993" s="20"/>
    </row>
    <row r="2994">
      <c r="A2994" s="196"/>
      <c r="B2994" s="197"/>
      <c r="C2994" s="197"/>
      <c r="D2994" s="20"/>
      <c r="E2994" s="20"/>
    </row>
    <row r="2995">
      <c r="A2995" s="196"/>
      <c r="B2995" s="197"/>
      <c r="C2995" s="197"/>
      <c r="D2995" s="20"/>
      <c r="E2995" s="20"/>
    </row>
    <row r="2996">
      <c r="A2996" s="196"/>
      <c r="B2996" s="197"/>
      <c r="C2996" s="197"/>
      <c r="D2996" s="20"/>
      <c r="E2996" s="20"/>
    </row>
    <row r="2997">
      <c r="A2997" s="196"/>
      <c r="B2997" s="197"/>
      <c r="C2997" s="197"/>
      <c r="D2997" s="20"/>
      <c r="E2997" s="20"/>
    </row>
    <row r="2998">
      <c r="A2998" s="196"/>
      <c r="B2998" s="197"/>
      <c r="C2998" s="197"/>
      <c r="D2998" s="20"/>
      <c r="E2998" s="20"/>
    </row>
    <row r="2999">
      <c r="A2999" s="196"/>
      <c r="B2999" s="197"/>
      <c r="C2999" s="197"/>
      <c r="D2999" s="20"/>
      <c r="E2999" s="20"/>
    </row>
    <row r="3000">
      <c r="A3000" s="196"/>
      <c r="B3000" s="197"/>
      <c r="C3000" s="197"/>
      <c r="D3000" s="20"/>
      <c r="E3000" s="20"/>
    </row>
    <row r="3001">
      <c r="A3001" s="196"/>
      <c r="B3001" s="197"/>
      <c r="C3001" s="197"/>
      <c r="D3001" s="20"/>
      <c r="E3001" s="20"/>
    </row>
    <row r="3002">
      <c r="A3002" s="196"/>
      <c r="B3002" s="197"/>
      <c r="C3002" s="197"/>
      <c r="D3002" s="20"/>
      <c r="E3002" s="20"/>
    </row>
    <row r="3003">
      <c r="A3003" s="196"/>
      <c r="B3003" s="197"/>
      <c r="C3003" s="197"/>
      <c r="D3003" s="20"/>
      <c r="E3003" s="20"/>
    </row>
    <row r="3004">
      <c r="A3004" s="196"/>
      <c r="B3004" s="197"/>
      <c r="C3004" s="197"/>
      <c r="D3004" s="20"/>
      <c r="E3004" s="20"/>
    </row>
    <row r="3005">
      <c r="A3005" s="196"/>
      <c r="B3005" s="197"/>
      <c r="C3005" s="197"/>
      <c r="D3005" s="20"/>
      <c r="E3005" s="20"/>
    </row>
    <row r="3006">
      <c r="A3006" s="196"/>
      <c r="B3006" s="197"/>
      <c r="C3006" s="197"/>
      <c r="D3006" s="20"/>
      <c r="E3006" s="20"/>
    </row>
    <row r="3007">
      <c r="A3007" s="196"/>
      <c r="B3007" s="197"/>
      <c r="C3007" s="197"/>
      <c r="D3007" s="20"/>
      <c r="E3007" s="20"/>
    </row>
    <row r="3008">
      <c r="A3008" s="196"/>
      <c r="B3008" s="197"/>
      <c r="C3008" s="197"/>
      <c r="D3008" s="20"/>
      <c r="E3008" s="20"/>
    </row>
    <row r="3009">
      <c r="A3009" s="196"/>
      <c r="B3009" s="197"/>
      <c r="C3009" s="197"/>
      <c r="D3009" s="20"/>
      <c r="E3009" s="20"/>
    </row>
    <row r="3010">
      <c r="A3010" s="196"/>
      <c r="B3010" s="197"/>
      <c r="C3010" s="197"/>
      <c r="D3010" s="20"/>
      <c r="E3010" s="20"/>
    </row>
    <row r="3011">
      <c r="A3011" s="196"/>
      <c r="B3011" s="197"/>
      <c r="C3011" s="197"/>
      <c r="D3011" s="20"/>
      <c r="E3011" s="20"/>
    </row>
    <row r="3012">
      <c r="A3012" s="196"/>
      <c r="B3012" s="197"/>
      <c r="C3012" s="197"/>
      <c r="D3012" s="20"/>
      <c r="E3012" s="20"/>
    </row>
    <row r="3013">
      <c r="A3013" s="196"/>
      <c r="B3013" s="197"/>
      <c r="C3013" s="197"/>
      <c r="D3013" s="20"/>
      <c r="E3013" s="20"/>
    </row>
    <row r="3014">
      <c r="A3014" s="196"/>
      <c r="B3014" s="197"/>
      <c r="C3014" s="197"/>
      <c r="D3014" s="20"/>
      <c r="E3014" s="20"/>
    </row>
    <row r="3015">
      <c r="A3015" s="196"/>
      <c r="B3015" s="197"/>
      <c r="C3015" s="197"/>
      <c r="D3015" s="20"/>
      <c r="E3015" s="20"/>
    </row>
    <row r="3016">
      <c r="A3016" s="196"/>
      <c r="B3016" s="197"/>
      <c r="C3016" s="197"/>
      <c r="D3016" s="20"/>
      <c r="E3016" s="20"/>
    </row>
    <row r="3017">
      <c r="A3017" s="196"/>
      <c r="B3017" s="197"/>
      <c r="C3017" s="197"/>
      <c r="D3017" s="20"/>
      <c r="E3017" s="20"/>
    </row>
    <row r="3018">
      <c r="A3018" s="196"/>
      <c r="B3018" s="197"/>
      <c r="C3018" s="197"/>
      <c r="D3018" s="20"/>
      <c r="E3018" s="20"/>
    </row>
    <row r="3019">
      <c r="A3019" s="196"/>
      <c r="B3019" s="197"/>
      <c r="C3019" s="197"/>
      <c r="D3019" s="20"/>
      <c r="E3019" s="20"/>
    </row>
    <row r="3020">
      <c r="A3020" s="196"/>
      <c r="B3020" s="197"/>
      <c r="C3020" s="197"/>
      <c r="D3020" s="20"/>
      <c r="E3020" s="20"/>
    </row>
    <row r="3021">
      <c r="A3021" s="196"/>
      <c r="B3021" s="197"/>
      <c r="C3021" s="197"/>
      <c r="D3021" s="20"/>
      <c r="E3021" s="20"/>
    </row>
    <row r="3022">
      <c r="A3022" s="196"/>
      <c r="B3022" s="197"/>
      <c r="C3022" s="197"/>
      <c r="D3022" s="20"/>
      <c r="E3022" s="20"/>
    </row>
    <row r="3023">
      <c r="A3023" s="196"/>
      <c r="B3023" s="197"/>
      <c r="C3023" s="197"/>
      <c r="D3023" s="20"/>
      <c r="E3023" s="20"/>
    </row>
    <row r="3024">
      <c r="A3024" s="196"/>
      <c r="B3024" s="197"/>
      <c r="C3024" s="197"/>
      <c r="D3024" s="20"/>
      <c r="E3024" s="20"/>
    </row>
    <row r="3025">
      <c r="A3025" s="196"/>
      <c r="B3025" s="197"/>
      <c r="C3025" s="197"/>
      <c r="D3025" s="20"/>
      <c r="E3025" s="20"/>
    </row>
    <row r="3026">
      <c r="A3026" s="196"/>
      <c r="B3026" s="197"/>
      <c r="C3026" s="197"/>
      <c r="D3026" s="20"/>
      <c r="E3026" s="20"/>
    </row>
    <row r="3027">
      <c r="A3027" s="196"/>
      <c r="B3027" s="197"/>
      <c r="C3027" s="197"/>
      <c r="D3027" s="20"/>
      <c r="E3027" s="20"/>
    </row>
    <row r="3028">
      <c r="A3028" s="196"/>
      <c r="B3028" s="197"/>
      <c r="C3028" s="197"/>
      <c r="D3028" s="20"/>
      <c r="E3028" s="20"/>
    </row>
    <row r="3029">
      <c r="A3029" s="196"/>
      <c r="B3029" s="197"/>
      <c r="C3029" s="197"/>
      <c r="D3029" s="20"/>
      <c r="E3029" s="20"/>
    </row>
    <row r="3030">
      <c r="A3030" s="196"/>
      <c r="B3030" s="197"/>
      <c r="C3030" s="197"/>
      <c r="D3030" s="20"/>
      <c r="E3030" s="20"/>
    </row>
    <row r="3031">
      <c r="A3031" s="196"/>
      <c r="B3031" s="197"/>
      <c r="C3031" s="197"/>
      <c r="D3031" s="20"/>
      <c r="E3031" s="20"/>
    </row>
    <row r="3032">
      <c r="A3032" s="196"/>
      <c r="B3032" s="197"/>
      <c r="C3032" s="197"/>
      <c r="D3032" s="20"/>
      <c r="E3032" s="20"/>
    </row>
    <row r="3033">
      <c r="A3033" s="196"/>
      <c r="B3033" s="197"/>
      <c r="C3033" s="197"/>
      <c r="D3033" s="20"/>
      <c r="E3033" s="20"/>
    </row>
    <row r="3034">
      <c r="A3034" s="196"/>
      <c r="B3034" s="197"/>
      <c r="C3034" s="197"/>
      <c r="D3034" s="20"/>
      <c r="E3034" s="20"/>
    </row>
    <row r="3035">
      <c r="A3035" s="196"/>
      <c r="B3035" s="197"/>
      <c r="C3035" s="197"/>
      <c r="D3035" s="20"/>
      <c r="E3035" s="20"/>
    </row>
    <row r="3036">
      <c r="A3036" s="196"/>
      <c r="B3036" s="197"/>
      <c r="C3036" s="197"/>
      <c r="D3036" s="20"/>
      <c r="E3036" s="20"/>
    </row>
    <row r="3037">
      <c r="A3037" s="196"/>
      <c r="B3037" s="197"/>
      <c r="C3037" s="197"/>
      <c r="D3037" s="20"/>
      <c r="E3037" s="20"/>
    </row>
    <row r="3038">
      <c r="A3038" s="196"/>
      <c r="B3038" s="197"/>
      <c r="C3038" s="197"/>
      <c r="D3038" s="20"/>
      <c r="E3038" s="20"/>
    </row>
    <row r="3039">
      <c r="A3039" s="196"/>
      <c r="B3039" s="197"/>
      <c r="C3039" s="197"/>
      <c r="D3039" s="20"/>
      <c r="E3039" s="20"/>
    </row>
    <row r="3040">
      <c r="A3040" s="196"/>
      <c r="B3040" s="197"/>
      <c r="C3040" s="197"/>
      <c r="D3040" s="20"/>
      <c r="E3040" s="20"/>
    </row>
    <row r="3041">
      <c r="A3041" s="196"/>
      <c r="B3041" s="197"/>
      <c r="C3041" s="197"/>
      <c r="D3041" s="20"/>
      <c r="E3041" s="20"/>
    </row>
    <row r="3042">
      <c r="A3042" s="196"/>
      <c r="B3042" s="197"/>
      <c r="C3042" s="197"/>
      <c r="D3042" s="20"/>
      <c r="E3042" s="20"/>
    </row>
    <row r="3043">
      <c r="A3043" s="196"/>
      <c r="B3043" s="197"/>
      <c r="C3043" s="197"/>
      <c r="D3043" s="20"/>
      <c r="E3043" s="20"/>
    </row>
    <row r="3044">
      <c r="A3044" s="196"/>
      <c r="B3044" s="197"/>
      <c r="C3044" s="197"/>
      <c r="D3044" s="20"/>
      <c r="E3044" s="20"/>
    </row>
    <row r="3045">
      <c r="A3045" s="196"/>
      <c r="B3045" s="197"/>
      <c r="C3045" s="197"/>
      <c r="D3045" s="20"/>
      <c r="E3045" s="20"/>
    </row>
    <row r="3046">
      <c r="A3046" s="196"/>
      <c r="B3046" s="197"/>
      <c r="C3046" s="197"/>
      <c r="D3046" s="20"/>
      <c r="E3046" s="20"/>
    </row>
    <row r="3047">
      <c r="A3047" s="196"/>
      <c r="B3047" s="197"/>
      <c r="C3047" s="197"/>
      <c r="D3047" s="20"/>
      <c r="E3047" s="20"/>
    </row>
    <row r="3048">
      <c r="A3048" s="196"/>
      <c r="B3048" s="197"/>
      <c r="C3048" s="197"/>
      <c r="D3048" s="20"/>
      <c r="E3048" s="20"/>
    </row>
    <row r="3049">
      <c r="A3049" s="196"/>
      <c r="B3049" s="197"/>
      <c r="C3049" s="197"/>
      <c r="D3049" s="20"/>
      <c r="E3049" s="20"/>
    </row>
    <row r="3050">
      <c r="A3050" s="196"/>
      <c r="B3050" s="197"/>
      <c r="C3050" s="197"/>
      <c r="D3050" s="20"/>
      <c r="E3050" s="20"/>
    </row>
    <row r="3051">
      <c r="A3051" s="196"/>
      <c r="B3051" s="197"/>
      <c r="C3051" s="197"/>
      <c r="D3051" s="20"/>
      <c r="E3051" s="20"/>
    </row>
    <row r="3052">
      <c r="A3052" s="196"/>
      <c r="B3052" s="197"/>
      <c r="C3052" s="197"/>
      <c r="D3052" s="20"/>
      <c r="E3052" s="20"/>
    </row>
    <row r="3053">
      <c r="A3053" s="196"/>
      <c r="B3053" s="197"/>
      <c r="C3053" s="197"/>
      <c r="D3053" s="20"/>
      <c r="E3053" s="20"/>
    </row>
    <row r="3054">
      <c r="A3054" s="196"/>
      <c r="B3054" s="197"/>
      <c r="C3054" s="197"/>
      <c r="D3054" s="20"/>
      <c r="E3054" s="20"/>
    </row>
    <row r="3055">
      <c r="A3055" s="196"/>
      <c r="B3055" s="197"/>
      <c r="C3055" s="197"/>
      <c r="D3055" s="20"/>
      <c r="E3055" s="20"/>
    </row>
    <row r="3056">
      <c r="A3056" s="196"/>
      <c r="B3056" s="197"/>
      <c r="C3056" s="197"/>
      <c r="D3056" s="20"/>
      <c r="E3056" s="20"/>
    </row>
    <row r="3057">
      <c r="A3057" s="196"/>
      <c r="B3057" s="197"/>
      <c r="C3057" s="197"/>
      <c r="D3057" s="20"/>
      <c r="E3057" s="20"/>
    </row>
    <row r="3058">
      <c r="A3058" s="196"/>
      <c r="B3058" s="197"/>
      <c r="C3058" s="197"/>
      <c r="D3058" s="20"/>
      <c r="E3058" s="20"/>
    </row>
    <row r="3059">
      <c r="A3059" s="196"/>
      <c r="B3059" s="197"/>
      <c r="C3059" s="197"/>
      <c r="D3059" s="20"/>
      <c r="E3059" s="20"/>
    </row>
    <row r="3060">
      <c r="A3060" s="196"/>
      <c r="B3060" s="197"/>
      <c r="C3060" s="197"/>
      <c r="D3060" s="20"/>
      <c r="E3060" s="20"/>
    </row>
    <row r="3061">
      <c r="A3061" s="196"/>
      <c r="B3061" s="197"/>
      <c r="C3061" s="197"/>
      <c r="D3061" s="20"/>
      <c r="E3061" s="20"/>
    </row>
    <row r="3062">
      <c r="A3062" s="196"/>
      <c r="B3062" s="197"/>
      <c r="C3062" s="197"/>
      <c r="D3062" s="20"/>
      <c r="E3062" s="20"/>
    </row>
    <row r="3063">
      <c r="A3063" s="196"/>
      <c r="B3063" s="197"/>
      <c r="C3063" s="197"/>
      <c r="D3063" s="20"/>
      <c r="E3063" s="20"/>
    </row>
    <row r="3064">
      <c r="A3064" s="196"/>
      <c r="B3064" s="197"/>
      <c r="C3064" s="197"/>
      <c r="D3064" s="20"/>
      <c r="E3064" s="20"/>
    </row>
    <row r="3065">
      <c r="A3065" s="196"/>
      <c r="B3065" s="197"/>
      <c r="C3065" s="197"/>
      <c r="D3065" s="20"/>
      <c r="E3065" s="20"/>
    </row>
    <row r="3066">
      <c r="A3066" s="196"/>
      <c r="B3066" s="197"/>
      <c r="C3066" s="197"/>
      <c r="D3066" s="20"/>
      <c r="E3066" s="20"/>
    </row>
    <row r="3067">
      <c r="A3067" s="196"/>
      <c r="B3067" s="197"/>
      <c r="C3067" s="197"/>
      <c r="D3067" s="20"/>
      <c r="E3067" s="20"/>
    </row>
    <row r="3068">
      <c r="A3068" s="196"/>
      <c r="B3068" s="197"/>
      <c r="C3068" s="197"/>
      <c r="D3068" s="20"/>
      <c r="E3068" s="20"/>
    </row>
    <row r="3069">
      <c r="A3069" s="196"/>
      <c r="B3069" s="197"/>
      <c r="C3069" s="197"/>
      <c r="D3069" s="20"/>
      <c r="E3069" s="20"/>
    </row>
    <row r="3070">
      <c r="A3070" s="196"/>
      <c r="B3070" s="197"/>
      <c r="C3070" s="197"/>
      <c r="D3070" s="20"/>
      <c r="E3070" s="20"/>
    </row>
    <row r="3071">
      <c r="A3071" s="196"/>
      <c r="B3071" s="197"/>
      <c r="C3071" s="197"/>
      <c r="D3071" s="20"/>
      <c r="E3071" s="20"/>
    </row>
    <row r="3072">
      <c r="A3072" s="196"/>
      <c r="B3072" s="197"/>
      <c r="C3072" s="197"/>
      <c r="D3072" s="20"/>
      <c r="E3072" s="20"/>
    </row>
    <row r="3073">
      <c r="A3073" s="196"/>
      <c r="B3073" s="197"/>
      <c r="C3073" s="197"/>
      <c r="D3073" s="20"/>
      <c r="E3073" s="20"/>
    </row>
    <row r="3074">
      <c r="A3074" s="196"/>
      <c r="B3074" s="197"/>
      <c r="C3074" s="197"/>
      <c r="D3074" s="20"/>
      <c r="E3074" s="20"/>
    </row>
    <row r="3075">
      <c r="A3075" s="196"/>
      <c r="B3075" s="197"/>
      <c r="C3075" s="197"/>
      <c r="D3075" s="20"/>
      <c r="E3075" s="20"/>
    </row>
    <row r="3076">
      <c r="A3076" s="196"/>
      <c r="B3076" s="197"/>
      <c r="C3076" s="197"/>
      <c r="D3076" s="20"/>
      <c r="E3076" s="20"/>
    </row>
    <row r="3077">
      <c r="A3077" s="196"/>
      <c r="B3077" s="197"/>
      <c r="C3077" s="197"/>
      <c r="D3077" s="20"/>
      <c r="E3077" s="20"/>
    </row>
    <row r="3078">
      <c r="A3078" s="196"/>
      <c r="B3078" s="197"/>
      <c r="C3078" s="197"/>
      <c r="D3078" s="20"/>
      <c r="E3078" s="20"/>
    </row>
    <row r="3079">
      <c r="A3079" s="196"/>
      <c r="B3079" s="197"/>
      <c r="C3079" s="197"/>
      <c r="D3079" s="20"/>
      <c r="E3079" s="20"/>
    </row>
    <row r="3080">
      <c r="A3080" s="196"/>
      <c r="B3080" s="197"/>
      <c r="C3080" s="197"/>
      <c r="D3080" s="20"/>
      <c r="E3080" s="20"/>
    </row>
    <row r="3081">
      <c r="A3081" s="196"/>
      <c r="B3081" s="197"/>
      <c r="C3081" s="197"/>
      <c r="D3081" s="20"/>
      <c r="E3081" s="20"/>
    </row>
    <row r="3082">
      <c r="A3082" s="196"/>
      <c r="B3082" s="197"/>
      <c r="C3082" s="197"/>
      <c r="D3082" s="20"/>
      <c r="E3082" s="20"/>
    </row>
    <row r="3083">
      <c r="A3083" s="196"/>
      <c r="B3083" s="197"/>
      <c r="C3083" s="197"/>
      <c r="D3083" s="20"/>
      <c r="E3083" s="20"/>
    </row>
    <row r="3084">
      <c r="A3084" s="196"/>
      <c r="B3084" s="197"/>
      <c r="C3084" s="197"/>
      <c r="D3084" s="20"/>
      <c r="E3084" s="20"/>
    </row>
    <row r="3085">
      <c r="A3085" s="196"/>
      <c r="B3085" s="197"/>
      <c r="C3085" s="197"/>
      <c r="D3085" s="20"/>
      <c r="E3085" s="20"/>
    </row>
    <row r="3086">
      <c r="A3086" s="196"/>
      <c r="B3086" s="197"/>
      <c r="C3086" s="197"/>
      <c r="D3086" s="20"/>
      <c r="E3086" s="20"/>
    </row>
    <row r="3087">
      <c r="A3087" s="196"/>
      <c r="B3087" s="197"/>
      <c r="C3087" s="197"/>
      <c r="D3087" s="20"/>
      <c r="E3087" s="20"/>
    </row>
    <row r="3088">
      <c r="A3088" s="196"/>
      <c r="B3088" s="197"/>
      <c r="C3088" s="197"/>
      <c r="D3088" s="20"/>
      <c r="E3088" s="20"/>
    </row>
    <row r="3089">
      <c r="A3089" s="196"/>
      <c r="B3089" s="197"/>
      <c r="C3089" s="197"/>
      <c r="D3089" s="20"/>
      <c r="E3089" s="20"/>
    </row>
    <row r="3090">
      <c r="A3090" s="196"/>
      <c r="B3090" s="197"/>
      <c r="C3090" s="197"/>
      <c r="D3090" s="20"/>
      <c r="E3090" s="20"/>
    </row>
    <row r="3091">
      <c r="A3091" s="196"/>
      <c r="B3091" s="197"/>
      <c r="C3091" s="197"/>
      <c r="D3091" s="20"/>
      <c r="E3091" s="20"/>
    </row>
    <row r="3092">
      <c r="A3092" s="196"/>
      <c r="B3092" s="197"/>
      <c r="C3092" s="197"/>
      <c r="D3092" s="20"/>
      <c r="E3092" s="20"/>
    </row>
    <row r="3093">
      <c r="A3093" s="196"/>
      <c r="B3093" s="197"/>
      <c r="C3093" s="197"/>
      <c r="D3093" s="20"/>
      <c r="E3093" s="20"/>
    </row>
    <row r="3094">
      <c r="A3094" s="196"/>
      <c r="B3094" s="197"/>
      <c r="C3094" s="197"/>
      <c r="D3094" s="20"/>
      <c r="E3094" s="20"/>
    </row>
    <row r="3095">
      <c r="A3095" s="196"/>
      <c r="B3095" s="197"/>
      <c r="C3095" s="197"/>
      <c r="D3095" s="20"/>
      <c r="E3095" s="20"/>
    </row>
    <row r="3096">
      <c r="A3096" s="196"/>
      <c r="B3096" s="197"/>
      <c r="C3096" s="197"/>
      <c r="D3096" s="20"/>
      <c r="E3096" s="20"/>
    </row>
    <row r="3097">
      <c r="A3097" s="196"/>
      <c r="B3097" s="197"/>
      <c r="C3097" s="197"/>
      <c r="D3097" s="20"/>
      <c r="E3097" s="20"/>
    </row>
    <row r="3098">
      <c r="A3098" s="196"/>
      <c r="B3098" s="197"/>
      <c r="C3098" s="197"/>
      <c r="D3098" s="20"/>
      <c r="E3098" s="20"/>
    </row>
    <row r="3099">
      <c r="A3099" s="196"/>
      <c r="B3099" s="197"/>
      <c r="C3099" s="197"/>
      <c r="D3099" s="20"/>
      <c r="E3099" s="20"/>
    </row>
    <row r="3100">
      <c r="A3100" s="196"/>
      <c r="B3100" s="197"/>
      <c r="C3100" s="197"/>
      <c r="D3100" s="20"/>
      <c r="E3100" s="20"/>
    </row>
    <row r="3101">
      <c r="A3101" s="196"/>
      <c r="B3101" s="197"/>
      <c r="C3101" s="197"/>
      <c r="D3101" s="20"/>
      <c r="E3101" s="20"/>
    </row>
    <row r="3102">
      <c r="A3102" s="196"/>
      <c r="B3102" s="197"/>
      <c r="C3102" s="197"/>
      <c r="D3102" s="20"/>
      <c r="E3102" s="20"/>
    </row>
    <row r="3103">
      <c r="A3103" s="196"/>
      <c r="B3103" s="197"/>
      <c r="C3103" s="197"/>
      <c r="D3103" s="20"/>
      <c r="E3103" s="20"/>
    </row>
    <row r="3104">
      <c r="A3104" s="196"/>
      <c r="B3104" s="197"/>
      <c r="C3104" s="197"/>
      <c r="D3104" s="20"/>
      <c r="E3104" s="20"/>
    </row>
    <row r="3105">
      <c r="A3105" s="196"/>
      <c r="B3105" s="197"/>
      <c r="C3105" s="197"/>
      <c r="D3105" s="20"/>
      <c r="E3105" s="20"/>
    </row>
    <row r="3106">
      <c r="A3106" s="196"/>
      <c r="B3106" s="197"/>
      <c r="C3106" s="197"/>
      <c r="D3106" s="20"/>
      <c r="E3106" s="20"/>
    </row>
    <row r="3107">
      <c r="A3107" s="196"/>
      <c r="B3107" s="197"/>
      <c r="C3107" s="197"/>
      <c r="D3107" s="20"/>
      <c r="E3107" s="20"/>
    </row>
    <row r="3108">
      <c r="A3108" s="196"/>
      <c r="B3108" s="197"/>
      <c r="C3108" s="197"/>
      <c r="D3108" s="20"/>
      <c r="E3108" s="20"/>
    </row>
    <row r="3109">
      <c r="A3109" s="196"/>
      <c r="B3109" s="197"/>
      <c r="C3109" s="197"/>
      <c r="D3109" s="20"/>
      <c r="E3109" s="20"/>
    </row>
    <row r="3110">
      <c r="A3110" s="196"/>
      <c r="B3110" s="197"/>
      <c r="C3110" s="197"/>
      <c r="D3110" s="20"/>
      <c r="E3110" s="20"/>
    </row>
    <row r="3111">
      <c r="A3111" s="196"/>
      <c r="B3111" s="197"/>
      <c r="C3111" s="197"/>
      <c r="D3111" s="20"/>
      <c r="E3111" s="20"/>
    </row>
    <row r="3112">
      <c r="A3112" s="196"/>
      <c r="B3112" s="197"/>
      <c r="C3112" s="197"/>
      <c r="D3112" s="20"/>
      <c r="E3112" s="20"/>
    </row>
    <row r="3113">
      <c r="A3113" s="196"/>
      <c r="B3113" s="197"/>
      <c r="C3113" s="197"/>
      <c r="D3113" s="20"/>
      <c r="E3113" s="20"/>
    </row>
    <row r="3114">
      <c r="A3114" s="196"/>
      <c r="B3114" s="197"/>
      <c r="C3114" s="197"/>
      <c r="D3114" s="20"/>
      <c r="E3114" s="20"/>
    </row>
    <row r="3115">
      <c r="A3115" s="196"/>
      <c r="B3115" s="197"/>
      <c r="C3115" s="197"/>
      <c r="D3115" s="20"/>
      <c r="E3115" s="20"/>
    </row>
    <row r="3116">
      <c r="A3116" s="196"/>
      <c r="B3116" s="197"/>
      <c r="C3116" s="197"/>
      <c r="D3116" s="20"/>
      <c r="E3116" s="20"/>
    </row>
    <row r="3117">
      <c r="A3117" s="196"/>
      <c r="B3117" s="197"/>
      <c r="C3117" s="197"/>
      <c r="D3117" s="20"/>
      <c r="E3117" s="20"/>
    </row>
    <row r="3118">
      <c r="A3118" s="196"/>
      <c r="B3118" s="197"/>
      <c r="C3118" s="197"/>
      <c r="D3118" s="20"/>
      <c r="E3118" s="20"/>
    </row>
    <row r="3119">
      <c r="A3119" s="196"/>
      <c r="B3119" s="197"/>
      <c r="C3119" s="197"/>
      <c r="D3119" s="20"/>
      <c r="E3119" s="20"/>
    </row>
    <row r="3120">
      <c r="A3120" s="196"/>
      <c r="B3120" s="197"/>
      <c r="C3120" s="197"/>
      <c r="D3120" s="20"/>
      <c r="E3120" s="20"/>
    </row>
    <row r="3121">
      <c r="A3121" s="196"/>
      <c r="B3121" s="197"/>
      <c r="C3121" s="197"/>
      <c r="D3121" s="20"/>
      <c r="E3121" s="20"/>
    </row>
    <row r="3122">
      <c r="A3122" s="196"/>
      <c r="B3122" s="197"/>
      <c r="C3122" s="197"/>
      <c r="D3122" s="20"/>
      <c r="E3122" s="20"/>
    </row>
    <row r="3123">
      <c r="A3123" s="196"/>
      <c r="B3123" s="197"/>
      <c r="C3123" s="197"/>
      <c r="D3123" s="20"/>
      <c r="E3123" s="20"/>
    </row>
    <row r="3124">
      <c r="A3124" s="196"/>
      <c r="B3124" s="197"/>
      <c r="C3124" s="197"/>
      <c r="D3124" s="20"/>
      <c r="E3124" s="20"/>
    </row>
    <row r="3125">
      <c r="A3125" s="196"/>
      <c r="B3125" s="197"/>
      <c r="C3125" s="197"/>
      <c r="D3125" s="20"/>
      <c r="E3125" s="20"/>
    </row>
    <row r="3126">
      <c r="A3126" s="196"/>
      <c r="B3126" s="197"/>
      <c r="C3126" s="197"/>
      <c r="D3126" s="20"/>
      <c r="E3126" s="20"/>
    </row>
    <row r="3127">
      <c r="A3127" s="196"/>
      <c r="B3127" s="197"/>
      <c r="C3127" s="197"/>
      <c r="D3127" s="20"/>
      <c r="E3127" s="20"/>
    </row>
    <row r="3128">
      <c r="A3128" s="196"/>
      <c r="B3128" s="197"/>
      <c r="C3128" s="197"/>
      <c r="D3128" s="20"/>
      <c r="E3128" s="20"/>
    </row>
    <row r="3129">
      <c r="A3129" s="196"/>
      <c r="B3129" s="197"/>
      <c r="C3129" s="197"/>
      <c r="D3129" s="20"/>
      <c r="E3129" s="20"/>
    </row>
    <row r="3130">
      <c r="A3130" s="196"/>
      <c r="B3130" s="197"/>
      <c r="C3130" s="197"/>
      <c r="D3130" s="20"/>
      <c r="E3130" s="20"/>
    </row>
    <row r="3131">
      <c r="A3131" s="196"/>
      <c r="B3131" s="197"/>
      <c r="C3131" s="197"/>
      <c r="D3131" s="20"/>
      <c r="E3131" s="20"/>
    </row>
    <row r="3132">
      <c r="A3132" s="196"/>
      <c r="B3132" s="197"/>
      <c r="C3132" s="197"/>
      <c r="D3132" s="20"/>
      <c r="E3132" s="20"/>
    </row>
    <row r="3133">
      <c r="A3133" s="196"/>
      <c r="B3133" s="197"/>
      <c r="C3133" s="197"/>
      <c r="D3133" s="20"/>
      <c r="E3133" s="20"/>
    </row>
    <row r="3134">
      <c r="A3134" s="196"/>
      <c r="B3134" s="197"/>
      <c r="C3134" s="197"/>
      <c r="D3134" s="20"/>
      <c r="E3134" s="20"/>
    </row>
    <row r="3135">
      <c r="A3135" s="196"/>
      <c r="B3135" s="197"/>
      <c r="C3135" s="197"/>
      <c r="D3135" s="20"/>
      <c r="E3135" s="20"/>
    </row>
    <row r="3136">
      <c r="A3136" s="196"/>
      <c r="B3136" s="197"/>
      <c r="C3136" s="197"/>
      <c r="D3136" s="20"/>
      <c r="E3136" s="20"/>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2" max="2" width="8.29"/>
    <col customWidth="1" min="3" max="3" width="5.29"/>
    <col customWidth="1" min="4" max="4" width="15.57"/>
    <col customWidth="1" min="10" max="10" width="4.71"/>
    <col customWidth="1" min="11" max="11" width="4.0"/>
    <col customWidth="1" min="12" max="13" width="4.57"/>
    <col customWidth="1" min="14" max="14" width="4.29"/>
    <col customWidth="1" min="15" max="15" width="4.57"/>
    <col customWidth="1" min="16" max="16" width="4.71"/>
    <col customWidth="1" min="17" max="17" width="3.86"/>
    <col customWidth="1" min="18" max="18" width="4.29"/>
    <col customWidth="1" min="19" max="19" width="4.71"/>
    <col customWidth="1" min="20" max="20" width="3.57"/>
    <col customWidth="1" min="21" max="21" width="3.71"/>
    <col customWidth="1" min="22" max="22" width="3.43"/>
    <col customWidth="1" min="23" max="23" width="3.29"/>
    <col customWidth="1" min="24" max="24" width="3.57"/>
  </cols>
  <sheetData>
    <row r="1">
      <c r="A1" s="198" t="s">
        <v>0</v>
      </c>
      <c r="B1" s="198" t="str">
        <f t="array" ref="B1:I1">XLOOKUP($A1,Cards!$A$1,Cards!$B$1:$I$1,"")</f>
        <v>Realms</v>
      </c>
      <c r="C1" s="198" t="s">
        <v>2</v>
      </c>
      <c r="D1" s="198" t="s">
        <v>3</v>
      </c>
      <c r="E1" s="198" t="s">
        <v>4</v>
      </c>
      <c r="F1" s="198" t="s">
        <v>5</v>
      </c>
      <c r="G1" s="198" t="s">
        <v>6</v>
      </c>
      <c r="H1" s="198" t="s">
        <v>7</v>
      </c>
      <c r="I1" s="198" t="s">
        <v>8</v>
      </c>
      <c r="J1" s="198" t="s">
        <v>2799</v>
      </c>
      <c r="K1" s="198" t="s">
        <v>2800</v>
      </c>
      <c r="L1" s="198" t="str">
        <f>IFERROR(__xludf.DUMMYFUNCTION("TRANSPOSE(UNIQUE(Metadata!$A$2:$A1000))"),"Divine")</f>
        <v>Divine</v>
      </c>
      <c r="M1" s="198" t="str">
        <f>IFERROR(__xludf.DUMMYFUNCTION("""COMPUTED_VALUE"""),"Elemental")</f>
        <v>Elemental</v>
      </c>
      <c r="N1" s="199" t="str">
        <f>IFERROR(__xludf.DUMMYFUNCTION("""COMPUTED_VALUE"""),"Mortal")</f>
        <v>Mortal</v>
      </c>
      <c r="O1" s="199" t="str">
        <f>IFERROR(__xludf.DUMMYFUNCTION("""COMPUTED_VALUE"""),"Nature")</f>
        <v>Nature</v>
      </c>
      <c r="P1" s="199" t="str">
        <f>IFERROR(__xludf.DUMMYFUNCTION("""COMPUTED_VALUE"""),"Void")</f>
        <v>Void</v>
      </c>
      <c r="Q1" s="199" t="str">
        <f>IFERROR(__xludf.DUMMYFUNCTION("""COMPUTED_VALUE"""),"Unearth")</f>
        <v>Unearth</v>
      </c>
      <c r="R1" s="199" t="str">
        <f>IFERROR(__xludf.DUMMYFUNCTION("""COMPUTED_VALUE"""),"Ramp")</f>
        <v>Ramp</v>
      </c>
      <c r="S1" s="199" t="str">
        <f>IFERROR(__xludf.DUMMYFUNCTION("""COMPUTED_VALUE"""),"Control")</f>
        <v>Control</v>
      </c>
      <c r="T1" s="199" t="str">
        <f>IFERROR(__xludf.DUMMYFUNCTION("""COMPUTED_VALUE"""),"Copy")</f>
        <v>Copy</v>
      </c>
      <c r="U1" s="199" t="str">
        <f>IFERROR(__xludf.DUMMYFUNCTION("""COMPUTED_VALUE"""),"Aggro")</f>
        <v>Aggro</v>
      </c>
      <c r="V1" s="199" t="str">
        <f>IFERROR(__xludf.DUMMYFUNCTION("""COMPUTED_VALUE"""),"Empty-Crystal")</f>
        <v>Empty-Crystal</v>
      </c>
      <c r="W1" s="199" t="str">
        <f>IFERROR(__xludf.DUMMYFUNCTION("""COMPUTED_VALUE"""),"Move")</f>
        <v>Move</v>
      </c>
      <c r="X1" s="199" t="str">
        <f>IFERROR(__xludf.DUMMYFUNCTION("""COMPUTED_VALUE"""),"Ambush")</f>
        <v>Ambush</v>
      </c>
      <c r="Y1" s="200"/>
      <c r="Z1" s="201"/>
      <c r="AA1" s="201"/>
    </row>
    <row r="2">
      <c r="A2" s="33" t="str">
        <f>IFERROR(__xludf.DUMMYFUNCTION("UNIQUE(Cards!A2:A1000)"),"Aethergolem")</f>
        <v>Aethergolem</v>
      </c>
      <c r="B2" s="33" t="str">
        <f t="array" ref="B2:I2">XLOOKUP($A2,Cards!$A$2:$A1000,Cards!$B$2:$I1000,"")</f>
        <v>Divine</v>
      </c>
      <c r="C2" s="33">
        <v>2.0</v>
      </c>
      <c r="D2" s="33" t="s">
        <v>22</v>
      </c>
      <c r="E2" s="33" t="s">
        <v>23</v>
      </c>
      <c r="F2" s="33" t="s">
        <v>24</v>
      </c>
      <c r="G2" s="33">
        <v>1.0</v>
      </c>
      <c r="H2" s="33" t="s">
        <v>25</v>
      </c>
      <c r="I2" s="33" t="s">
        <v>26</v>
      </c>
      <c r="J2" s="33">
        <f>IFERROR(__xludf.DUMMYFUNCTION("LEN(REGEXREPLACE(XLOOKUP($A2,Cards!$A$2:$A1000,Cards!$H$2:$H1000,""""),"",\s"",""""))"),1.0)</f>
        <v>1</v>
      </c>
      <c r="K2" s="33" t="str">
        <f t="shared" ref="K2:K546" si="1">JOIN(" ",L2:AA2)</f>
        <v>               </v>
      </c>
      <c r="L2" s="33" t="str">
        <f>IFERROR(__xludf.DUMMYFUNCTION("IF(IF(L$1="""","""",REGEXMATCH(LOWER($E2),XLOOKUP(L$1,Metadata!$A$2:$A1000,Metadata!$B$2:$B1000))),L$1,"""")"),"")</f>
        <v/>
      </c>
      <c r="M2" s="33" t="str">
        <f>IFERROR(__xludf.DUMMYFUNCTION("IF(IF(M$1="""","""",REGEXMATCH(LOWER($E2),XLOOKUP(M$1,Metadata!$A$2:$A1000,Metadata!$B$2:$B1000))),M$1,"""")"),"")</f>
        <v/>
      </c>
      <c r="N2" s="33" t="str">
        <f>IFERROR(__xludf.DUMMYFUNCTION("IF(IF(N$1="""","""",REGEXMATCH(LOWER($E2),XLOOKUP(N$1,Metadata!$A$2:$A1000,Metadata!$B$2:$B1000))),N$1,"""")"),"")</f>
        <v/>
      </c>
      <c r="O2" s="33" t="str">
        <f>IFERROR(__xludf.DUMMYFUNCTION("IF(IF(O$1="""","""",REGEXMATCH(LOWER($E2),XLOOKUP(O$1,Metadata!$A$2:$A1000,Metadata!$B$2:$B1000))),O$1,"""")"),"")</f>
        <v/>
      </c>
      <c r="P2" s="33" t="str">
        <f>IFERROR(__xludf.DUMMYFUNCTION("IF(IF(P$1="""","""",REGEXMATCH(LOWER($E2),XLOOKUP(P$1,Metadata!$A$2:$A1000,Metadata!$B$2:$B1000))),P$1,"""")"),"")</f>
        <v/>
      </c>
      <c r="Q2" s="33" t="str">
        <f>IFERROR(__xludf.DUMMYFUNCTION("IF(IF(Q$1="""","""",REGEXMATCH(LOWER($E2),XLOOKUP(Q$1,Metadata!$A$2:$A1000,Metadata!$B$2:$B1000))),Q$1,"""")"),"")</f>
        <v/>
      </c>
      <c r="R2" s="33" t="str">
        <f>IFERROR(__xludf.DUMMYFUNCTION("IF(IF(R$1="""","""",REGEXMATCH(LOWER($E2),XLOOKUP(R$1,Metadata!$A$2:$A1000,Metadata!$B$2:$B1000))),R$1,"""")"),"")</f>
        <v/>
      </c>
      <c r="S2" s="33" t="str">
        <f>IFERROR(__xludf.DUMMYFUNCTION("IF(IF(S$1="""","""",REGEXMATCH(LOWER($E2),XLOOKUP(S$1,Metadata!$A$2:$A1000,Metadata!$B$2:$B1000))),S$1,"""")"),"")</f>
        <v/>
      </c>
      <c r="T2" s="33" t="str">
        <f>IFERROR(__xludf.DUMMYFUNCTION("IF(IF(T$1="""","""",REGEXMATCH(LOWER($E2),XLOOKUP(T$1,Metadata!$A$2:$A1000,Metadata!$B$2:$B1000))),T$1,"""")"),"")</f>
        <v/>
      </c>
      <c r="U2" s="33" t="str">
        <f>IFERROR(__xludf.DUMMYFUNCTION("IF(IF(U$1="""","""",REGEXMATCH(LOWER($E2),XLOOKUP(U$1,Metadata!$A$2:$A1000,Metadata!$B$2:$B1000))),U$1,"""")"),"")</f>
        <v/>
      </c>
      <c r="V2" s="33" t="str">
        <f>IFERROR(__xludf.DUMMYFUNCTION("IF(IF(V$1="""","""",REGEXMATCH(LOWER($E2),XLOOKUP(V$1,Metadata!$A$2:$A1000,Metadata!$B$2:$B1000))),V$1,"""")"),"")</f>
        <v/>
      </c>
      <c r="W2" s="33" t="str">
        <f>IFERROR(__xludf.DUMMYFUNCTION("IF(IF(W$1="""","""",REGEXMATCH(LOWER($E2),XLOOKUP(W$1,Metadata!$A$2:$A1000,Metadata!$B$2:$B1000))),W$1,"""")"),"")</f>
        <v/>
      </c>
      <c r="X2" s="33" t="str">
        <f>IFERROR(__xludf.DUMMYFUNCTION("IF(IF(X$1="""","""",REGEXMATCH(LOWER($E2),XLOOKUP(X$1,Metadata!$A$2:$A1000,Metadata!$B$2:$B1000))),X$1,"""")"),"")</f>
        <v/>
      </c>
      <c r="Y2" s="33" t="str">
        <f>IFERROR(__xludf.DUMMYFUNCTION("IF(IF(Y$1="""","""",REGEXMATCH(LOWER($E2),XLOOKUP(Y$1,Metadata!$A$2:$A1000,Metadata!$B$2:$B1000))),Y$1,"""")"),"")</f>
        <v/>
      </c>
      <c r="Z2" s="33" t="str">
        <f>IFERROR(__xludf.DUMMYFUNCTION("IF(IF(Z$1="""","""",REGEXMATCH(LOWER($E2),XLOOKUP(Z$1,Metadata!$A$2:$A1000,Metadata!$B$2:$B1000))),Z$1,"""")"),"")</f>
        <v/>
      </c>
      <c r="AA2" s="33" t="str">
        <f>IFERROR(__xludf.DUMMYFUNCTION("IF(AA$1="""","""",REGEXMATCH(LOWER($E2),XLOOKUP(AA$1,Metadata!$A$2:$A1000,Metadata!$B$2:$B1000)))"),"")</f>
        <v/>
      </c>
    </row>
    <row r="3">
      <c r="A3" s="33" t="str">
        <f>IFERROR(__xludf.DUMMYFUNCTION("""COMPUTED_VALUE"""),"Alabaster Exarch")</f>
        <v>Alabaster Exarch</v>
      </c>
      <c r="B3" s="33" t="str">
        <f t="array" ref="B3:I3">XLOOKUP($A3,Cards!$A$2:$A1000,Cards!$B$2:$I1000,"")</f>
        <v>Divine</v>
      </c>
      <c r="C3" s="33">
        <v>1.0</v>
      </c>
      <c r="D3" s="33" t="s">
        <v>28</v>
      </c>
      <c r="E3" s="33" t="s">
        <v>29</v>
      </c>
      <c r="F3" s="33" t="s">
        <v>30</v>
      </c>
      <c r="G3" s="33">
        <v>4.0</v>
      </c>
      <c r="H3" s="33" t="s">
        <v>31</v>
      </c>
      <c r="I3" s="33" t="s">
        <v>32</v>
      </c>
      <c r="J3" s="33">
        <f>IFERROR(__xludf.DUMMYFUNCTION("LEN(REGEXREPLACE(XLOOKUP($A3,Cards!$A$2:$A1000,Cards!$H$2:$H1000,""""),"",\s"",""""))"),5.0)</f>
        <v>5</v>
      </c>
      <c r="K3" s="33" t="str">
        <f t="shared" si="1"/>
        <v>               </v>
      </c>
      <c r="L3" s="33" t="str">
        <f>IFERROR(__xludf.DUMMYFUNCTION("IF(IF(L$1="""","""",REGEXMATCH(LOWER($E3),XLOOKUP(L$1,Metadata!$A$2:$A1000,Metadata!$B$2:$B1000))),L$1,"""")"),"")</f>
        <v/>
      </c>
      <c r="M3" s="33" t="str">
        <f>IFERROR(__xludf.DUMMYFUNCTION("IF(IF(M$1="""","""",REGEXMATCH(LOWER($E3),XLOOKUP(M$1,Metadata!$A$2:$A1000,Metadata!$B$2:$B1000))),M$1,"""")"),"")</f>
        <v/>
      </c>
      <c r="N3" s="33" t="str">
        <f>IFERROR(__xludf.DUMMYFUNCTION("IF(IF(N$1="""","""",REGEXMATCH(LOWER($E3),XLOOKUP(N$1,Metadata!$A$2:$A1000,Metadata!$B$2:$B1000))),N$1,"""")"),"")</f>
        <v/>
      </c>
      <c r="O3" s="33" t="str">
        <f>IFERROR(__xludf.DUMMYFUNCTION("IF(IF(O$1="""","""",REGEXMATCH(LOWER($E3),XLOOKUP(O$1,Metadata!$A$2:$A1000,Metadata!$B$2:$B1000))),O$1,"""")"),"")</f>
        <v/>
      </c>
      <c r="P3" s="33" t="str">
        <f>IFERROR(__xludf.DUMMYFUNCTION("IF(IF(P$1="""","""",REGEXMATCH(LOWER($E3),XLOOKUP(P$1,Metadata!$A$2:$A1000,Metadata!$B$2:$B1000))),P$1,"""")"),"")</f>
        <v/>
      </c>
      <c r="Q3" s="33" t="str">
        <f>IFERROR(__xludf.DUMMYFUNCTION("IF(IF(Q$1="""","""",REGEXMATCH(LOWER($E3),XLOOKUP(Q$1,Metadata!$A$2:$A1000,Metadata!$B$2:$B1000))),Q$1,"""")"),"")</f>
        <v/>
      </c>
      <c r="R3" s="33" t="str">
        <f>IFERROR(__xludf.DUMMYFUNCTION("IF(IF(R$1="""","""",REGEXMATCH(LOWER($E3),XLOOKUP(R$1,Metadata!$A$2:$A1000,Metadata!$B$2:$B1000))),R$1,"""")"),"")</f>
        <v/>
      </c>
      <c r="S3" s="33" t="str">
        <f>IFERROR(__xludf.DUMMYFUNCTION("IF(IF(S$1="""","""",REGEXMATCH(LOWER($E3),XLOOKUP(S$1,Metadata!$A$2:$A1000,Metadata!$B$2:$B1000))),S$1,"""")"),"")</f>
        <v/>
      </c>
      <c r="T3" s="33" t="str">
        <f>IFERROR(__xludf.DUMMYFUNCTION("IF(IF(T$1="""","""",REGEXMATCH(LOWER($E3),XLOOKUP(T$1,Metadata!$A$2:$A1000,Metadata!$B$2:$B1000))),T$1,"""")"),"")</f>
        <v/>
      </c>
      <c r="U3" s="33" t="str">
        <f>IFERROR(__xludf.DUMMYFUNCTION("IF(IF(U$1="""","""",REGEXMATCH(LOWER($E3),XLOOKUP(U$1,Metadata!$A$2:$A1000,Metadata!$B$2:$B1000))),U$1,"""")"),"")</f>
        <v/>
      </c>
      <c r="V3" s="33" t="str">
        <f>IFERROR(__xludf.DUMMYFUNCTION("IF(IF(V$1="""","""",REGEXMATCH(LOWER($E3),XLOOKUP(V$1,Metadata!$A$2:$A1000,Metadata!$B$2:$B1000))),V$1,"""")"),"")</f>
        <v/>
      </c>
      <c r="W3" s="33" t="str">
        <f>IFERROR(__xludf.DUMMYFUNCTION("IF(IF(W$1="""","""",REGEXMATCH(LOWER($E3),XLOOKUP(W$1,Metadata!$A$2:$A1000,Metadata!$B$2:$B1000))),W$1,"""")"),"")</f>
        <v/>
      </c>
      <c r="X3" s="33" t="str">
        <f>IFERROR(__xludf.DUMMYFUNCTION("IF(IF(X$1="""","""",REGEXMATCH(LOWER($E3),XLOOKUP(X$1,Metadata!$A$2:$A1000,Metadata!$B$2:$B1000))),X$1,"""")"),"")</f>
        <v/>
      </c>
      <c r="Y3" s="33" t="str">
        <f>IFERROR(__xludf.DUMMYFUNCTION("IF(IF(Y$1="""","""",REGEXMATCH(LOWER($E3),XLOOKUP(Y$1,Metadata!$A$2:$A1000,Metadata!$B$2:$B1000))),Y$1,"""")"),"")</f>
        <v/>
      </c>
      <c r="Z3" s="33" t="str">
        <f>IFERROR(__xludf.DUMMYFUNCTION("IF(IF(Z$1="""","""",REGEXMATCH(LOWER($E3),XLOOKUP(Z$1,Metadata!$A$2:$A1000,Metadata!$B$2:$B1000))),Z$1,"""")"),"")</f>
        <v/>
      </c>
      <c r="AA3" s="33" t="str">
        <f>IFERROR(__xludf.DUMMYFUNCTION("IF(AA$1="""","""",REGEXMATCH(LOWER($E3),XLOOKUP(AA$1,Metadata!$A$2:$A1000,Metadata!$B$2:$B1000)))"),"")</f>
        <v/>
      </c>
    </row>
    <row r="4">
      <c r="A4" s="33" t="str">
        <f>IFERROR(__xludf.DUMMYFUNCTION("""COMPUTED_VALUE"""),"Ascendant Faithweaver")</f>
        <v>Ascendant Faithweaver</v>
      </c>
      <c r="B4" s="33" t="str">
        <f t="array" ref="B4:I4">XLOOKUP($A4,Cards!$A$2:$A1000,Cards!$B$2:$I1000,"")</f>
        <v>Divine</v>
      </c>
      <c r="C4" s="33">
        <v>2.0</v>
      </c>
      <c r="D4" s="33" t="s">
        <v>37</v>
      </c>
      <c r="E4" s="33" t="s">
        <v>38</v>
      </c>
      <c r="F4" s="33" t="s">
        <v>24</v>
      </c>
      <c r="G4" s="33">
        <v>1.0</v>
      </c>
      <c r="H4" s="33" t="s">
        <v>25</v>
      </c>
      <c r="I4" s="33" t="s">
        <v>26</v>
      </c>
      <c r="J4" s="33">
        <f>IFERROR(__xludf.DUMMYFUNCTION("LEN(REGEXREPLACE(XLOOKUP($A4,Cards!$A$2:$A1000,Cards!$H$2:$H1000,""""),"",\s"",""""))"),1.0)</f>
        <v>1</v>
      </c>
      <c r="K4" s="33" t="str">
        <f t="shared" si="1"/>
        <v>Divine               </v>
      </c>
      <c r="L4" s="33" t="str">
        <f>IFERROR(__xludf.DUMMYFUNCTION("IF(IF(L$1="""","""",REGEXMATCH(LOWER($E4),XLOOKUP(L$1,Metadata!$A$2:$A1000,Metadata!$B$2:$B1000))),L$1,"""")"),"Divine")</f>
        <v>Divine</v>
      </c>
      <c r="M4" s="33" t="str">
        <f>IFERROR(__xludf.DUMMYFUNCTION("IF(IF(M$1="""","""",REGEXMATCH(LOWER($E4),XLOOKUP(M$1,Metadata!$A$2:$A1000,Metadata!$B$2:$B1000))),M$1,"""")"),"")</f>
        <v/>
      </c>
      <c r="N4" s="33" t="str">
        <f>IFERROR(__xludf.DUMMYFUNCTION("IF(IF(N$1="""","""",REGEXMATCH(LOWER($E4),XLOOKUP(N$1,Metadata!$A$2:$A1000,Metadata!$B$2:$B1000))),N$1,"""")"),"")</f>
        <v/>
      </c>
      <c r="O4" s="33" t="str">
        <f>IFERROR(__xludf.DUMMYFUNCTION("IF(IF(O$1="""","""",REGEXMATCH(LOWER($E4),XLOOKUP(O$1,Metadata!$A$2:$A1000,Metadata!$B$2:$B1000))),O$1,"""")"),"")</f>
        <v/>
      </c>
      <c r="P4" s="33" t="str">
        <f>IFERROR(__xludf.DUMMYFUNCTION("IF(IF(P$1="""","""",REGEXMATCH(LOWER($E4),XLOOKUP(P$1,Metadata!$A$2:$A1000,Metadata!$B$2:$B1000))),P$1,"""")"),"")</f>
        <v/>
      </c>
      <c r="Q4" s="33" t="str">
        <f>IFERROR(__xludf.DUMMYFUNCTION("IF(IF(Q$1="""","""",REGEXMATCH(LOWER($E4),XLOOKUP(Q$1,Metadata!$A$2:$A1000,Metadata!$B$2:$B1000))),Q$1,"""")"),"")</f>
        <v/>
      </c>
      <c r="R4" s="33" t="str">
        <f>IFERROR(__xludf.DUMMYFUNCTION("IF(IF(R$1="""","""",REGEXMATCH(LOWER($E4),XLOOKUP(R$1,Metadata!$A$2:$A1000,Metadata!$B$2:$B1000))),R$1,"""")"),"")</f>
        <v/>
      </c>
      <c r="S4" s="33" t="str">
        <f>IFERROR(__xludf.DUMMYFUNCTION("IF(IF(S$1="""","""",REGEXMATCH(LOWER($E4),XLOOKUP(S$1,Metadata!$A$2:$A1000,Metadata!$B$2:$B1000))),S$1,"""")"),"")</f>
        <v/>
      </c>
      <c r="T4" s="33" t="str">
        <f>IFERROR(__xludf.DUMMYFUNCTION("IF(IF(T$1="""","""",REGEXMATCH(LOWER($E4),XLOOKUP(T$1,Metadata!$A$2:$A1000,Metadata!$B$2:$B1000))),T$1,"""")"),"")</f>
        <v/>
      </c>
      <c r="U4" s="33" t="str">
        <f>IFERROR(__xludf.DUMMYFUNCTION("IF(IF(U$1="""","""",REGEXMATCH(LOWER($E4),XLOOKUP(U$1,Metadata!$A$2:$A1000,Metadata!$B$2:$B1000))),U$1,"""")"),"")</f>
        <v/>
      </c>
      <c r="V4" s="33" t="str">
        <f>IFERROR(__xludf.DUMMYFUNCTION("IF(IF(V$1="""","""",REGEXMATCH(LOWER($E4),XLOOKUP(V$1,Metadata!$A$2:$A1000,Metadata!$B$2:$B1000))),V$1,"""")"),"")</f>
        <v/>
      </c>
      <c r="W4" s="33" t="str">
        <f>IFERROR(__xludf.DUMMYFUNCTION("IF(IF(W$1="""","""",REGEXMATCH(LOWER($E4),XLOOKUP(W$1,Metadata!$A$2:$A1000,Metadata!$B$2:$B1000))),W$1,"""")"),"")</f>
        <v/>
      </c>
      <c r="X4" s="33" t="str">
        <f>IFERROR(__xludf.DUMMYFUNCTION("IF(IF(X$1="""","""",REGEXMATCH(LOWER($E4),XLOOKUP(X$1,Metadata!$A$2:$A1000,Metadata!$B$2:$B1000))),X$1,"""")"),"")</f>
        <v/>
      </c>
      <c r="Y4" s="33" t="str">
        <f>IFERROR(__xludf.DUMMYFUNCTION("IF(IF(Y$1="""","""",REGEXMATCH(LOWER($E4),XLOOKUP(Y$1,Metadata!$A$2:$A1000,Metadata!$B$2:$B1000))),Y$1,"""")"),"")</f>
        <v/>
      </c>
      <c r="Z4" s="33" t="str">
        <f>IFERROR(__xludf.DUMMYFUNCTION("IF(IF(Z$1="""","""",REGEXMATCH(LOWER($E4),XLOOKUP(Z$1,Metadata!$A$2:$A1000,Metadata!$B$2:$B1000))),Z$1,"""")"),"")</f>
        <v/>
      </c>
      <c r="AA4" s="33" t="str">
        <f>IFERROR(__xludf.DUMMYFUNCTION("IF(AA$1="""","""",REGEXMATCH(LOWER($E4),XLOOKUP(AA$1,Metadata!$A$2:$A1000,Metadata!$B$2:$B1000)))"),"")</f>
        <v/>
      </c>
    </row>
    <row r="5">
      <c r="A5" s="33" t="str">
        <f>IFERROR(__xludf.DUMMYFUNCTION("""COMPUTED_VALUE"""),"Avenging Force")</f>
        <v>Avenging Force</v>
      </c>
      <c r="B5" s="33" t="str">
        <f t="array" ref="B5:I5">XLOOKUP($A5,Cards!$A$2:$A1000,Cards!$B$2:$I1000,"")</f>
        <v>Divine</v>
      </c>
      <c r="C5" s="33">
        <v>1.0</v>
      </c>
      <c r="D5" s="33" t="s">
        <v>40</v>
      </c>
      <c r="E5" s="33" t="s">
        <v>41</v>
      </c>
      <c r="F5" s="33" t="s">
        <v>42</v>
      </c>
      <c r="G5" s="33">
        <v>5.0</v>
      </c>
      <c r="H5" s="33" t="s">
        <v>31</v>
      </c>
      <c r="I5" s="33" t="s">
        <v>32</v>
      </c>
      <c r="J5" s="33">
        <f>IFERROR(__xludf.DUMMYFUNCTION("LEN(REGEXREPLACE(XLOOKUP($A5,Cards!$A$2:$A1000,Cards!$H$2:$H1000,""""),"",\s"",""""))"),5.0)</f>
        <v>5</v>
      </c>
      <c r="K5" s="33" t="str">
        <f t="shared" si="1"/>
        <v>         Aggro      </v>
      </c>
      <c r="L5" s="33" t="str">
        <f>IFERROR(__xludf.DUMMYFUNCTION("IF(IF(L$1="""","""",REGEXMATCH(LOWER($E5),XLOOKUP(L$1,Metadata!$A$2:$A1000,Metadata!$B$2:$B1000))),L$1,"""")"),"")</f>
        <v/>
      </c>
      <c r="M5" s="33" t="str">
        <f>IFERROR(__xludf.DUMMYFUNCTION("IF(IF(M$1="""","""",REGEXMATCH(LOWER($E5),XLOOKUP(M$1,Metadata!$A$2:$A1000,Metadata!$B$2:$B1000))),M$1,"""")"),"")</f>
        <v/>
      </c>
      <c r="N5" s="33" t="str">
        <f>IFERROR(__xludf.DUMMYFUNCTION("IF(IF(N$1="""","""",REGEXMATCH(LOWER($E5),XLOOKUP(N$1,Metadata!$A$2:$A1000,Metadata!$B$2:$B1000))),N$1,"""")"),"")</f>
        <v/>
      </c>
      <c r="O5" s="33" t="str">
        <f>IFERROR(__xludf.DUMMYFUNCTION("IF(IF(O$1="""","""",REGEXMATCH(LOWER($E5),XLOOKUP(O$1,Metadata!$A$2:$A1000,Metadata!$B$2:$B1000))),O$1,"""")"),"")</f>
        <v/>
      </c>
      <c r="P5" s="33" t="str">
        <f>IFERROR(__xludf.DUMMYFUNCTION("IF(IF(P$1="""","""",REGEXMATCH(LOWER($E5),XLOOKUP(P$1,Metadata!$A$2:$A1000,Metadata!$B$2:$B1000))),P$1,"""")"),"")</f>
        <v/>
      </c>
      <c r="Q5" s="33" t="str">
        <f>IFERROR(__xludf.DUMMYFUNCTION("IF(IF(Q$1="""","""",REGEXMATCH(LOWER($E5),XLOOKUP(Q$1,Metadata!$A$2:$A1000,Metadata!$B$2:$B1000))),Q$1,"""")"),"")</f>
        <v/>
      </c>
      <c r="R5" s="33" t="str">
        <f>IFERROR(__xludf.DUMMYFUNCTION("IF(IF(R$1="""","""",REGEXMATCH(LOWER($E5),XLOOKUP(R$1,Metadata!$A$2:$A1000,Metadata!$B$2:$B1000))),R$1,"""")"),"")</f>
        <v/>
      </c>
      <c r="S5" s="33" t="str">
        <f>IFERROR(__xludf.DUMMYFUNCTION("IF(IF(S$1="""","""",REGEXMATCH(LOWER($E5),XLOOKUP(S$1,Metadata!$A$2:$A1000,Metadata!$B$2:$B1000))),S$1,"""")"),"")</f>
        <v/>
      </c>
      <c r="T5" s="33" t="str">
        <f>IFERROR(__xludf.DUMMYFUNCTION("IF(IF(T$1="""","""",REGEXMATCH(LOWER($E5),XLOOKUP(T$1,Metadata!$A$2:$A1000,Metadata!$B$2:$B1000))),T$1,"""")"),"")</f>
        <v/>
      </c>
      <c r="U5" s="33" t="str">
        <f>IFERROR(__xludf.DUMMYFUNCTION("IF(IF(U$1="""","""",REGEXMATCH(LOWER($E5),XLOOKUP(U$1,Metadata!$A$2:$A1000,Metadata!$B$2:$B1000))),U$1,"""")"),"Aggro")</f>
        <v>Aggro</v>
      </c>
      <c r="V5" s="33" t="str">
        <f>IFERROR(__xludf.DUMMYFUNCTION("IF(IF(V$1="""","""",REGEXMATCH(LOWER($E5),XLOOKUP(V$1,Metadata!$A$2:$A1000,Metadata!$B$2:$B1000))),V$1,"""")"),"")</f>
        <v/>
      </c>
      <c r="W5" s="33" t="str">
        <f>IFERROR(__xludf.DUMMYFUNCTION("IF(IF(W$1="""","""",REGEXMATCH(LOWER($E5),XLOOKUP(W$1,Metadata!$A$2:$A1000,Metadata!$B$2:$B1000))),W$1,"""")"),"")</f>
        <v/>
      </c>
      <c r="X5" s="33" t="str">
        <f>IFERROR(__xludf.DUMMYFUNCTION("IF(IF(X$1="""","""",REGEXMATCH(LOWER($E5),XLOOKUP(X$1,Metadata!$A$2:$A1000,Metadata!$B$2:$B1000))),X$1,"""")"),"")</f>
        <v/>
      </c>
      <c r="Y5" s="33" t="str">
        <f>IFERROR(__xludf.DUMMYFUNCTION("IF(IF(Y$1="""","""",REGEXMATCH(LOWER($E5),XLOOKUP(Y$1,Metadata!$A$2:$A1000,Metadata!$B$2:$B1000))),Y$1,"""")"),"")</f>
        <v/>
      </c>
      <c r="Z5" s="33" t="str">
        <f>IFERROR(__xludf.DUMMYFUNCTION("IF(IF(Z$1="""","""",REGEXMATCH(LOWER($E5),XLOOKUP(Z$1,Metadata!$A$2:$A1000,Metadata!$B$2:$B1000))),Z$1,"""")"),"")</f>
        <v/>
      </c>
      <c r="AA5" s="33" t="str">
        <f>IFERROR(__xludf.DUMMYFUNCTION("IF(AA$1="""","""",REGEXMATCH(LOWER($E5),XLOOKUP(AA$1,Metadata!$A$2:$A1000,Metadata!$B$2:$B1000)))"),"")</f>
        <v/>
      </c>
    </row>
    <row r="6">
      <c r="A6" s="33" t="str">
        <f>IFERROR(__xludf.DUMMYFUNCTION("""COMPUTED_VALUE"""),"Baby Lamassu")</f>
        <v>Baby Lamassu</v>
      </c>
      <c r="B6" s="33" t="str">
        <f t="array" ref="B6:I6">XLOOKUP($A6,Cards!$A$2:$A1000,Cards!$B$2:$I1000,"")</f>
        <v>Divine</v>
      </c>
      <c r="C6" s="33">
        <v>1.0</v>
      </c>
      <c r="D6" s="33" t="s">
        <v>46</v>
      </c>
      <c r="E6" s="33" t="s">
        <v>47</v>
      </c>
      <c r="F6" s="33" t="s">
        <v>48</v>
      </c>
      <c r="G6" s="33">
        <v>2.0</v>
      </c>
      <c r="H6" s="33" t="s">
        <v>49</v>
      </c>
      <c r="I6" s="33" t="s">
        <v>32</v>
      </c>
      <c r="J6" s="33">
        <f>IFERROR(__xludf.DUMMYFUNCTION("LEN(REGEXREPLACE(XLOOKUP($A6,Cards!$A$2:$A1000,Cards!$H$2:$H1000,""""),"",\s"",""""))"),3.0)</f>
        <v>3</v>
      </c>
      <c r="K6" s="33" t="str">
        <f t="shared" si="1"/>
        <v>      Ramp         </v>
      </c>
      <c r="L6" s="33" t="str">
        <f>IFERROR(__xludf.DUMMYFUNCTION("IF(IF(L$1="""","""",REGEXMATCH(LOWER($E6),XLOOKUP(L$1,Metadata!$A$2:$A1000,Metadata!$B$2:$B1000))),L$1,"""")"),"")</f>
        <v/>
      </c>
      <c r="M6" s="33" t="str">
        <f>IFERROR(__xludf.DUMMYFUNCTION("IF(IF(M$1="""","""",REGEXMATCH(LOWER($E6),XLOOKUP(M$1,Metadata!$A$2:$A1000,Metadata!$B$2:$B1000))),M$1,"""")"),"")</f>
        <v/>
      </c>
      <c r="N6" s="33" t="str">
        <f>IFERROR(__xludf.DUMMYFUNCTION("IF(IF(N$1="""","""",REGEXMATCH(LOWER($E6),XLOOKUP(N$1,Metadata!$A$2:$A1000,Metadata!$B$2:$B1000))),N$1,"""")"),"")</f>
        <v/>
      </c>
      <c r="O6" s="33" t="str">
        <f>IFERROR(__xludf.DUMMYFUNCTION("IF(IF(O$1="""","""",REGEXMATCH(LOWER($E6),XLOOKUP(O$1,Metadata!$A$2:$A1000,Metadata!$B$2:$B1000))),O$1,"""")"),"")</f>
        <v/>
      </c>
      <c r="P6" s="33" t="str">
        <f>IFERROR(__xludf.DUMMYFUNCTION("IF(IF(P$1="""","""",REGEXMATCH(LOWER($E6),XLOOKUP(P$1,Metadata!$A$2:$A1000,Metadata!$B$2:$B1000))),P$1,"""")"),"")</f>
        <v/>
      </c>
      <c r="Q6" s="33" t="str">
        <f>IFERROR(__xludf.DUMMYFUNCTION("IF(IF(Q$1="""","""",REGEXMATCH(LOWER($E6),XLOOKUP(Q$1,Metadata!$A$2:$A1000,Metadata!$B$2:$B1000))),Q$1,"""")"),"")</f>
        <v/>
      </c>
      <c r="R6" s="33" t="str">
        <f>IFERROR(__xludf.DUMMYFUNCTION("IF(IF(R$1="""","""",REGEXMATCH(LOWER($E6),XLOOKUP(R$1,Metadata!$A$2:$A1000,Metadata!$B$2:$B1000))),R$1,"""")"),"Ramp")</f>
        <v>Ramp</v>
      </c>
      <c r="S6" s="33" t="str">
        <f>IFERROR(__xludf.DUMMYFUNCTION("IF(IF(S$1="""","""",REGEXMATCH(LOWER($E6),XLOOKUP(S$1,Metadata!$A$2:$A1000,Metadata!$B$2:$B1000))),S$1,"""")"),"")</f>
        <v/>
      </c>
      <c r="T6" s="33" t="str">
        <f>IFERROR(__xludf.DUMMYFUNCTION("IF(IF(T$1="""","""",REGEXMATCH(LOWER($E6),XLOOKUP(T$1,Metadata!$A$2:$A1000,Metadata!$B$2:$B1000))),T$1,"""")"),"")</f>
        <v/>
      </c>
      <c r="U6" s="33" t="str">
        <f>IFERROR(__xludf.DUMMYFUNCTION("IF(IF(U$1="""","""",REGEXMATCH(LOWER($E6),XLOOKUP(U$1,Metadata!$A$2:$A1000,Metadata!$B$2:$B1000))),U$1,"""")"),"")</f>
        <v/>
      </c>
      <c r="V6" s="33" t="str">
        <f>IFERROR(__xludf.DUMMYFUNCTION("IF(IF(V$1="""","""",REGEXMATCH(LOWER($E6),XLOOKUP(V$1,Metadata!$A$2:$A1000,Metadata!$B$2:$B1000))),V$1,"""")"),"")</f>
        <v/>
      </c>
      <c r="W6" s="33" t="str">
        <f>IFERROR(__xludf.DUMMYFUNCTION("IF(IF(W$1="""","""",REGEXMATCH(LOWER($E6),XLOOKUP(W$1,Metadata!$A$2:$A1000,Metadata!$B$2:$B1000))),W$1,"""")"),"")</f>
        <v/>
      </c>
      <c r="X6" s="33" t="str">
        <f>IFERROR(__xludf.DUMMYFUNCTION("IF(IF(X$1="""","""",REGEXMATCH(LOWER($E6),XLOOKUP(X$1,Metadata!$A$2:$A1000,Metadata!$B$2:$B1000))),X$1,"""")"),"")</f>
        <v/>
      </c>
      <c r="Y6" s="33" t="str">
        <f>IFERROR(__xludf.DUMMYFUNCTION("IF(IF(Y$1="""","""",REGEXMATCH(LOWER($E6),XLOOKUP(Y$1,Metadata!$A$2:$A1000,Metadata!$B$2:$B1000))),Y$1,"""")"),"")</f>
        <v/>
      </c>
      <c r="Z6" s="33" t="str">
        <f>IFERROR(__xludf.DUMMYFUNCTION("IF(IF(Z$1="""","""",REGEXMATCH(LOWER($E6),XLOOKUP(Z$1,Metadata!$A$2:$A1000,Metadata!$B$2:$B1000))),Z$1,"""")"),"")</f>
        <v/>
      </c>
      <c r="AA6" s="33" t="str">
        <f>IFERROR(__xludf.DUMMYFUNCTION("IF(AA$1="""","""",REGEXMATCH(LOWER($E6),XLOOKUP(AA$1,Metadata!$A$2:$A1000,Metadata!$B$2:$B1000)))"),"")</f>
        <v/>
      </c>
    </row>
    <row r="7">
      <c r="A7" s="33" t="str">
        <f>IFERROR(__xludf.DUMMYFUNCTION("""COMPUTED_VALUE"""),"Blackmarble Gargoyle")</f>
        <v>Blackmarble Gargoyle</v>
      </c>
      <c r="B7" s="33" t="str">
        <f t="array" ref="B7:I7">XLOOKUP($A7,Cards!$A$2:$A1000,Cards!$B$2:$I1000,"")</f>
        <v>Divine</v>
      </c>
      <c r="C7" s="33">
        <v>1.0</v>
      </c>
      <c r="D7" s="33" t="s">
        <v>53</v>
      </c>
      <c r="E7" s="33" t="s">
        <v>54</v>
      </c>
      <c r="F7" s="33" t="s">
        <v>55</v>
      </c>
      <c r="G7" s="33">
        <v>6.0</v>
      </c>
      <c r="H7" s="33" t="s">
        <v>56</v>
      </c>
      <c r="I7" s="33" t="s">
        <v>26</v>
      </c>
      <c r="J7" s="33">
        <f>IFERROR(__xludf.DUMMYFUNCTION("LEN(REGEXREPLACE(XLOOKUP($A7,Cards!$A$2:$A1000,Cards!$H$2:$H1000,""""),"",\s"",""""))"),6.0)</f>
        <v>6</v>
      </c>
      <c r="K7" s="33" t="str">
        <f t="shared" si="1"/>
        <v>               </v>
      </c>
      <c r="L7" s="33" t="str">
        <f>IFERROR(__xludf.DUMMYFUNCTION("IF(IF(L$1="""","""",REGEXMATCH(LOWER($E7),XLOOKUP(L$1,Metadata!$A$2:$A1000,Metadata!$B$2:$B1000))),L$1,"""")"),"")</f>
        <v/>
      </c>
      <c r="M7" s="33" t="str">
        <f>IFERROR(__xludf.DUMMYFUNCTION("IF(IF(M$1="""","""",REGEXMATCH(LOWER($E7),XLOOKUP(M$1,Metadata!$A$2:$A1000,Metadata!$B$2:$B1000))),M$1,"""")"),"")</f>
        <v/>
      </c>
      <c r="N7" s="33" t="str">
        <f>IFERROR(__xludf.DUMMYFUNCTION("IF(IF(N$1="""","""",REGEXMATCH(LOWER($E7),XLOOKUP(N$1,Metadata!$A$2:$A1000,Metadata!$B$2:$B1000))),N$1,"""")"),"")</f>
        <v/>
      </c>
      <c r="O7" s="33" t="str">
        <f>IFERROR(__xludf.DUMMYFUNCTION("IF(IF(O$1="""","""",REGEXMATCH(LOWER($E7),XLOOKUP(O$1,Metadata!$A$2:$A1000,Metadata!$B$2:$B1000))),O$1,"""")"),"")</f>
        <v/>
      </c>
      <c r="P7" s="33" t="str">
        <f>IFERROR(__xludf.DUMMYFUNCTION("IF(IF(P$1="""","""",REGEXMATCH(LOWER($E7),XLOOKUP(P$1,Metadata!$A$2:$A1000,Metadata!$B$2:$B1000))),P$1,"""")"),"")</f>
        <v/>
      </c>
      <c r="Q7" s="33" t="str">
        <f>IFERROR(__xludf.DUMMYFUNCTION("IF(IF(Q$1="""","""",REGEXMATCH(LOWER($E7),XLOOKUP(Q$1,Metadata!$A$2:$A1000,Metadata!$B$2:$B1000))),Q$1,"""")"),"")</f>
        <v/>
      </c>
      <c r="R7" s="33" t="str">
        <f>IFERROR(__xludf.DUMMYFUNCTION("IF(IF(R$1="""","""",REGEXMATCH(LOWER($E7),XLOOKUP(R$1,Metadata!$A$2:$A1000,Metadata!$B$2:$B1000))),R$1,"""")"),"")</f>
        <v/>
      </c>
      <c r="S7" s="33" t="str">
        <f>IFERROR(__xludf.DUMMYFUNCTION("IF(IF(S$1="""","""",REGEXMATCH(LOWER($E7),XLOOKUP(S$1,Metadata!$A$2:$A1000,Metadata!$B$2:$B1000))),S$1,"""")"),"")</f>
        <v/>
      </c>
      <c r="T7" s="33" t="str">
        <f>IFERROR(__xludf.DUMMYFUNCTION("IF(IF(T$1="""","""",REGEXMATCH(LOWER($E7),XLOOKUP(T$1,Metadata!$A$2:$A1000,Metadata!$B$2:$B1000))),T$1,"""")"),"")</f>
        <v/>
      </c>
      <c r="U7" s="33" t="str">
        <f>IFERROR(__xludf.DUMMYFUNCTION("IF(IF(U$1="""","""",REGEXMATCH(LOWER($E7),XLOOKUP(U$1,Metadata!$A$2:$A1000,Metadata!$B$2:$B1000))),U$1,"""")"),"")</f>
        <v/>
      </c>
      <c r="V7" s="33" t="str">
        <f>IFERROR(__xludf.DUMMYFUNCTION("IF(IF(V$1="""","""",REGEXMATCH(LOWER($E7),XLOOKUP(V$1,Metadata!$A$2:$A1000,Metadata!$B$2:$B1000))),V$1,"""")"),"")</f>
        <v/>
      </c>
      <c r="W7" s="33" t="str">
        <f>IFERROR(__xludf.DUMMYFUNCTION("IF(IF(W$1="""","""",REGEXMATCH(LOWER($E7),XLOOKUP(W$1,Metadata!$A$2:$A1000,Metadata!$B$2:$B1000))),W$1,"""")"),"")</f>
        <v/>
      </c>
      <c r="X7" s="33" t="str">
        <f>IFERROR(__xludf.DUMMYFUNCTION("IF(IF(X$1="""","""",REGEXMATCH(LOWER($E7),XLOOKUP(X$1,Metadata!$A$2:$A1000,Metadata!$B$2:$B1000))),X$1,"""")"),"")</f>
        <v/>
      </c>
      <c r="Y7" s="33" t="str">
        <f>IFERROR(__xludf.DUMMYFUNCTION("IF(IF(Y$1="""","""",REGEXMATCH(LOWER($E7),XLOOKUP(Y$1,Metadata!$A$2:$A1000,Metadata!$B$2:$B1000))),Y$1,"""")"),"")</f>
        <v/>
      </c>
      <c r="Z7" s="33" t="str">
        <f>IFERROR(__xludf.DUMMYFUNCTION("IF(IF(Z$1="""","""",REGEXMATCH(LOWER($E7),XLOOKUP(Z$1,Metadata!$A$2:$A1000,Metadata!$B$2:$B1000))),Z$1,"""")"),"")</f>
        <v/>
      </c>
      <c r="AA7" s="33" t="str">
        <f>IFERROR(__xludf.DUMMYFUNCTION("IF(AA$1="""","""",REGEXMATCH(LOWER($E7),XLOOKUP(AA$1,Metadata!$A$2:$A1000,Metadata!$B$2:$B1000)))"),"")</f>
        <v/>
      </c>
    </row>
    <row r="8">
      <c r="A8" s="33" t="str">
        <f>IFERROR(__xludf.DUMMYFUNCTION("""COMPUTED_VALUE"""),"Chronosand Sphinx")</f>
        <v>Chronosand Sphinx</v>
      </c>
      <c r="B8" s="33" t="str">
        <f t="array" ref="B8:I8">XLOOKUP($A8,Cards!$A$2:$A1000,Cards!$B$2:$I1000,"")</f>
        <v>Divine</v>
      </c>
      <c r="C8" s="33">
        <v>1.0</v>
      </c>
      <c r="D8" s="33" t="s">
        <v>46</v>
      </c>
      <c r="E8" s="33" t="s">
        <v>60</v>
      </c>
      <c r="F8" s="33" t="s">
        <v>61</v>
      </c>
      <c r="G8" s="33">
        <v>5.0</v>
      </c>
      <c r="H8" s="33" t="s">
        <v>56</v>
      </c>
      <c r="I8" s="33" t="s">
        <v>62</v>
      </c>
      <c r="J8" s="33">
        <f>IFERROR(__xludf.DUMMYFUNCTION("LEN(REGEXREPLACE(XLOOKUP($A8,Cards!$A$2:$A1000,Cards!$H$2:$H1000,""""),"",\s"",""""))"),6.0)</f>
        <v>6</v>
      </c>
      <c r="K8" s="33" t="str">
        <f t="shared" si="1"/>
        <v>      Ramp         </v>
      </c>
      <c r="L8" s="33" t="str">
        <f>IFERROR(__xludf.DUMMYFUNCTION("IF(IF(L$1="""","""",REGEXMATCH(LOWER($E8),XLOOKUP(L$1,Metadata!$A$2:$A1000,Metadata!$B$2:$B1000))),L$1,"""")"),"")</f>
        <v/>
      </c>
      <c r="M8" s="33" t="str">
        <f>IFERROR(__xludf.DUMMYFUNCTION("IF(IF(M$1="""","""",REGEXMATCH(LOWER($E8),XLOOKUP(M$1,Metadata!$A$2:$A1000,Metadata!$B$2:$B1000))),M$1,"""")"),"")</f>
        <v/>
      </c>
      <c r="N8" s="33" t="str">
        <f>IFERROR(__xludf.DUMMYFUNCTION("IF(IF(N$1="""","""",REGEXMATCH(LOWER($E8),XLOOKUP(N$1,Metadata!$A$2:$A1000,Metadata!$B$2:$B1000))),N$1,"""")"),"")</f>
        <v/>
      </c>
      <c r="O8" s="33" t="str">
        <f>IFERROR(__xludf.DUMMYFUNCTION("IF(IF(O$1="""","""",REGEXMATCH(LOWER($E8),XLOOKUP(O$1,Metadata!$A$2:$A1000,Metadata!$B$2:$B1000))),O$1,"""")"),"")</f>
        <v/>
      </c>
      <c r="P8" s="33" t="str">
        <f>IFERROR(__xludf.DUMMYFUNCTION("IF(IF(P$1="""","""",REGEXMATCH(LOWER($E8),XLOOKUP(P$1,Metadata!$A$2:$A1000,Metadata!$B$2:$B1000))),P$1,"""")"),"")</f>
        <v/>
      </c>
      <c r="Q8" s="33" t="str">
        <f>IFERROR(__xludf.DUMMYFUNCTION("IF(IF(Q$1="""","""",REGEXMATCH(LOWER($E8),XLOOKUP(Q$1,Metadata!$A$2:$A1000,Metadata!$B$2:$B1000))),Q$1,"""")"),"")</f>
        <v/>
      </c>
      <c r="R8" s="33" t="str">
        <f>IFERROR(__xludf.DUMMYFUNCTION("IF(IF(R$1="""","""",REGEXMATCH(LOWER($E8),XLOOKUP(R$1,Metadata!$A$2:$A1000,Metadata!$B$2:$B1000))),R$1,"""")"),"Ramp")</f>
        <v>Ramp</v>
      </c>
      <c r="S8" s="33" t="str">
        <f>IFERROR(__xludf.DUMMYFUNCTION("IF(IF(S$1="""","""",REGEXMATCH(LOWER($E8),XLOOKUP(S$1,Metadata!$A$2:$A1000,Metadata!$B$2:$B1000))),S$1,"""")"),"")</f>
        <v/>
      </c>
      <c r="T8" s="33" t="str">
        <f>IFERROR(__xludf.DUMMYFUNCTION("IF(IF(T$1="""","""",REGEXMATCH(LOWER($E8),XLOOKUP(T$1,Metadata!$A$2:$A1000,Metadata!$B$2:$B1000))),T$1,"""")"),"")</f>
        <v/>
      </c>
      <c r="U8" s="33" t="str">
        <f>IFERROR(__xludf.DUMMYFUNCTION("IF(IF(U$1="""","""",REGEXMATCH(LOWER($E8),XLOOKUP(U$1,Metadata!$A$2:$A1000,Metadata!$B$2:$B1000))),U$1,"""")"),"")</f>
        <v/>
      </c>
      <c r="V8" s="33" t="str">
        <f>IFERROR(__xludf.DUMMYFUNCTION("IF(IF(V$1="""","""",REGEXMATCH(LOWER($E8),XLOOKUP(V$1,Metadata!$A$2:$A1000,Metadata!$B$2:$B1000))),V$1,"""")"),"")</f>
        <v/>
      </c>
      <c r="W8" s="33" t="str">
        <f>IFERROR(__xludf.DUMMYFUNCTION("IF(IF(W$1="""","""",REGEXMATCH(LOWER($E8),XLOOKUP(W$1,Metadata!$A$2:$A1000,Metadata!$B$2:$B1000))),W$1,"""")"),"")</f>
        <v/>
      </c>
      <c r="X8" s="33" t="str">
        <f>IFERROR(__xludf.DUMMYFUNCTION("IF(IF(X$1="""","""",REGEXMATCH(LOWER($E8),XLOOKUP(X$1,Metadata!$A$2:$A1000,Metadata!$B$2:$B1000))),X$1,"""")"),"")</f>
        <v/>
      </c>
      <c r="Y8" s="33" t="str">
        <f>IFERROR(__xludf.DUMMYFUNCTION("IF(IF(Y$1="""","""",REGEXMATCH(LOWER($E8),XLOOKUP(Y$1,Metadata!$A$2:$A1000,Metadata!$B$2:$B1000))),Y$1,"""")"),"")</f>
        <v/>
      </c>
      <c r="Z8" s="33" t="str">
        <f>IFERROR(__xludf.DUMMYFUNCTION("IF(IF(Z$1="""","""",REGEXMATCH(LOWER($E8),XLOOKUP(Z$1,Metadata!$A$2:$A1000,Metadata!$B$2:$B1000))),Z$1,"""")"),"")</f>
        <v/>
      </c>
      <c r="AA8" s="33" t="str">
        <f>IFERROR(__xludf.DUMMYFUNCTION("IF(AA$1="""","""",REGEXMATCH(LOWER($E8),XLOOKUP(AA$1,Metadata!$A$2:$A1000,Metadata!$B$2:$B1000)))"),"")</f>
        <v/>
      </c>
    </row>
    <row r="9">
      <c r="A9" s="33" t="str">
        <f>IFERROR(__xludf.DUMMYFUNCTION("""COMPUTED_VALUE"""),"Crusader of the Desert Winds")</f>
        <v>Crusader of the Desert Winds</v>
      </c>
      <c r="B9" s="33" t="str">
        <f t="array" ref="B9:I9">XLOOKUP($A9,Cards!$A$2:$A1000,Cards!$B$2:$I1000,"")</f>
        <v>Divine</v>
      </c>
      <c r="C9" s="33">
        <v>2.0</v>
      </c>
      <c r="D9" s="33" t="s">
        <v>66</v>
      </c>
      <c r="E9" s="33" t="s">
        <v>67</v>
      </c>
      <c r="F9" s="33" t="s">
        <v>68</v>
      </c>
      <c r="G9" s="33">
        <v>4.0</v>
      </c>
      <c r="H9" s="33" t="s">
        <v>49</v>
      </c>
      <c r="I9" s="33" t="s">
        <v>62</v>
      </c>
      <c r="J9" s="33">
        <f>IFERROR(__xludf.DUMMYFUNCTION("LEN(REGEXREPLACE(XLOOKUP($A9,Cards!$A$2:$A1000,Cards!$H$2:$H1000,""""),"",\s"",""""))"),3.0)</f>
        <v>3</v>
      </c>
      <c r="K9" s="33" t="str">
        <f t="shared" si="1"/>
        <v>               </v>
      </c>
      <c r="L9" s="33" t="str">
        <f>IFERROR(__xludf.DUMMYFUNCTION("IF(IF(L$1="""","""",REGEXMATCH(LOWER($E9),XLOOKUP(L$1,Metadata!$A$2:$A1000,Metadata!$B$2:$B1000))),L$1,"""")"),"")</f>
        <v/>
      </c>
      <c r="M9" s="33" t="str">
        <f>IFERROR(__xludf.DUMMYFUNCTION("IF(IF(M$1="""","""",REGEXMATCH(LOWER($E9),XLOOKUP(M$1,Metadata!$A$2:$A1000,Metadata!$B$2:$B1000))),M$1,"""")"),"")</f>
        <v/>
      </c>
      <c r="N9" s="33" t="str">
        <f>IFERROR(__xludf.DUMMYFUNCTION("IF(IF(N$1="""","""",REGEXMATCH(LOWER($E9),XLOOKUP(N$1,Metadata!$A$2:$A1000,Metadata!$B$2:$B1000))),N$1,"""")"),"")</f>
        <v/>
      </c>
      <c r="O9" s="33" t="str">
        <f>IFERROR(__xludf.DUMMYFUNCTION("IF(IF(O$1="""","""",REGEXMATCH(LOWER($E9),XLOOKUP(O$1,Metadata!$A$2:$A1000,Metadata!$B$2:$B1000))),O$1,"""")"),"")</f>
        <v/>
      </c>
      <c r="P9" s="33" t="str">
        <f>IFERROR(__xludf.DUMMYFUNCTION("IF(IF(P$1="""","""",REGEXMATCH(LOWER($E9),XLOOKUP(P$1,Metadata!$A$2:$A1000,Metadata!$B$2:$B1000))),P$1,"""")"),"")</f>
        <v/>
      </c>
      <c r="Q9" s="33" t="str">
        <f>IFERROR(__xludf.DUMMYFUNCTION("IF(IF(Q$1="""","""",REGEXMATCH(LOWER($E9),XLOOKUP(Q$1,Metadata!$A$2:$A1000,Metadata!$B$2:$B1000))),Q$1,"""")"),"")</f>
        <v/>
      </c>
      <c r="R9" s="33" t="str">
        <f>IFERROR(__xludf.DUMMYFUNCTION("IF(IF(R$1="""","""",REGEXMATCH(LOWER($E9),XLOOKUP(R$1,Metadata!$A$2:$A1000,Metadata!$B$2:$B1000))),R$1,"""")"),"")</f>
        <v/>
      </c>
      <c r="S9" s="33" t="str">
        <f>IFERROR(__xludf.DUMMYFUNCTION("IF(IF(S$1="""","""",REGEXMATCH(LOWER($E9),XLOOKUP(S$1,Metadata!$A$2:$A1000,Metadata!$B$2:$B1000))),S$1,"""")"),"")</f>
        <v/>
      </c>
      <c r="T9" s="33" t="str">
        <f>IFERROR(__xludf.DUMMYFUNCTION("IF(IF(T$1="""","""",REGEXMATCH(LOWER($E9),XLOOKUP(T$1,Metadata!$A$2:$A1000,Metadata!$B$2:$B1000))),T$1,"""")"),"")</f>
        <v/>
      </c>
      <c r="U9" s="33" t="str">
        <f>IFERROR(__xludf.DUMMYFUNCTION("IF(IF(U$1="""","""",REGEXMATCH(LOWER($E9),XLOOKUP(U$1,Metadata!$A$2:$A1000,Metadata!$B$2:$B1000))),U$1,"""")"),"")</f>
        <v/>
      </c>
      <c r="V9" s="33" t="str">
        <f>IFERROR(__xludf.DUMMYFUNCTION("IF(IF(V$1="""","""",REGEXMATCH(LOWER($E9),XLOOKUP(V$1,Metadata!$A$2:$A1000,Metadata!$B$2:$B1000))),V$1,"""")"),"")</f>
        <v/>
      </c>
      <c r="W9" s="33" t="str">
        <f>IFERROR(__xludf.DUMMYFUNCTION("IF(IF(W$1="""","""",REGEXMATCH(LOWER($E9),XLOOKUP(W$1,Metadata!$A$2:$A1000,Metadata!$B$2:$B1000))),W$1,"""")"),"")</f>
        <v/>
      </c>
      <c r="X9" s="33" t="str">
        <f>IFERROR(__xludf.DUMMYFUNCTION("IF(IF(X$1="""","""",REGEXMATCH(LOWER($E9),XLOOKUP(X$1,Metadata!$A$2:$A1000,Metadata!$B$2:$B1000))),X$1,"""")"),"")</f>
        <v/>
      </c>
      <c r="Y9" s="33" t="str">
        <f>IFERROR(__xludf.DUMMYFUNCTION("IF(IF(Y$1="""","""",REGEXMATCH(LOWER($E9),XLOOKUP(Y$1,Metadata!$A$2:$A1000,Metadata!$B$2:$B1000))),Y$1,"""")"),"")</f>
        <v/>
      </c>
      <c r="Z9" s="33" t="str">
        <f>IFERROR(__xludf.DUMMYFUNCTION("IF(IF(Z$1="""","""",REGEXMATCH(LOWER($E9),XLOOKUP(Z$1,Metadata!$A$2:$A1000,Metadata!$B$2:$B1000))),Z$1,"""")"),"")</f>
        <v/>
      </c>
      <c r="AA9" s="33" t="str">
        <f>IFERROR(__xludf.DUMMYFUNCTION("IF(AA$1="""","""",REGEXMATCH(LOWER($E9),XLOOKUP(AA$1,Metadata!$A$2:$A1000,Metadata!$B$2:$B1000)))"),"")</f>
        <v/>
      </c>
    </row>
    <row r="10">
      <c r="A10" s="33" t="str">
        <f>IFERROR(__xludf.DUMMYFUNCTION("""COMPUTED_VALUE"""),"Cryptosphinx")</f>
        <v>Cryptosphinx</v>
      </c>
      <c r="B10" s="33" t="str">
        <f t="array" ref="B10:I10">XLOOKUP($A10,Cards!$A$2:$A1000,Cards!$B$2:$I1000,"")</f>
        <v>Divine</v>
      </c>
      <c r="C10" s="33">
        <v>1.0</v>
      </c>
      <c r="D10" s="33" t="s">
        <v>70</v>
      </c>
      <c r="E10" s="33" t="s">
        <v>71</v>
      </c>
      <c r="F10" s="33" t="s">
        <v>72</v>
      </c>
      <c r="G10" s="33">
        <v>4.0</v>
      </c>
      <c r="H10" s="33" t="s">
        <v>49</v>
      </c>
      <c r="I10" s="33" t="s">
        <v>26</v>
      </c>
      <c r="J10" s="33">
        <f>IFERROR(__xludf.DUMMYFUNCTION("LEN(REGEXREPLACE(XLOOKUP($A10,Cards!$A$2:$A1000,Cards!$H$2:$H1000,""""),"",\s"",""""))"),3.0)</f>
        <v>3</v>
      </c>
      <c r="K10" s="33" t="str">
        <f t="shared" si="1"/>
        <v>      Ramp         </v>
      </c>
      <c r="L10" s="33" t="str">
        <f>IFERROR(__xludf.DUMMYFUNCTION("IF(IF(L$1="""","""",REGEXMATCH(LOWER($E10),XLOOKUP(L$1,Metadata!$A$2:$A1000,Metadata!$B$2:$B1000))),L$1,"""")"),"")</f>
        <v/>
      </c>
      <c r="M10" s="33" t="str">
        <f>IFERROR(__xludf.DUMMYFUNCTION("IF(IF(M$1="""","""",REGEXMATCH(LOWER($E10),XLOOKUP(M$1,Metadata!$A$2:$A1000,Metadata!$B$2:$B1000))),M$1,"""")"),"")</f>
        <v/>
      </c>
      <c r="N10" s="33" t="str">
        <f>IFERROR(__xludf.DUMMYFUNCTION("IF(IF(N$1="""","""",REGEXMATCH(LOWER($E10),XLOOKUP(N$1,Metadata!$A$2:$A1000,Metadata!$B$2:$B1000))),N$1,"""")"),"")</f>
        <v/>
      </c>
      <c r="O10" s="33" t="str">
        <f>IFERROR(__xludf.DUMMYFUNCTION("IF(IF(O$1="""","""",REGEXMATCH(LOWER($E10),XLOOKUP(O$1,Metadata!$A$2:$A1000,Metadata!$B$2:$B1000))),O$1,"""")"),"")</f>
        <v/>
      </c>
      <c r="P10" s="33" t="str">
        <f>IFERROR(__xludf.DUMMYFUNCTION("IF(IF(P$1="""","""",REGEXMATCH(LOWER($E10),XLOOKUP(P$1,Metadata!$A$2:$A1000,Metadata!$B$2:$B1000))),P$1,"""")"),"")</f>
        <v/>
      </c>
      <c r="Q10" s="33" t="str">
        <f>IFERROR(__xludf.DUMMYFUNCTION("IF(IF(Q$1="""","""",REGEXMATCH(LOWER($E10),XLOOKUP(Q$1,Metadata!$A$2:$A1000,Metadata!$B$2:$B1000))),Q$1,"""")"),"")</f>
        <v/>
      </c>
      <c r="R10" s="33" t="str">
        <f>IFERROR(__xludf.DUMMYFUNCTION("IF(IF(R$1="""","""",REGEXMATCH(LOWER($E10),XLOOKUP(R$1,Metadata!$A$2:$A1000,Metadata!$B$2:$B1000))),R$1,"""")"),"Ramp")</f>
        <v>Ramp</v>
      </c>
      <c r="S10" s="33" t="str">
        <f>IFERROR(__xludf.DUMMYFUNCTION("IF(IF(S$1="""","""",REGEXMATCH(LOWER($E10),XLOOKUP(S$1,Metadata!$A$2:$A1000,Metadata!$B$2:$B1000))),S$1,"""")"),"")</f>
        <v/>
      </c>
      <c r="T10" s="33" t="str">
        <f>IFERROR(__xludf.DUMMYFUNCTION("IF(IF(T$1="""","""",REGEXMATCH(LOWER($E10),XLOOKUP(T$1,Metadata!$A$2:$A1000,Metadata!$B$2:$B1000))),T$1,"""")"),"")</f>
        <v/>
      </c>
      <c r="U10" s="33" t="str">
        <f>IFERROR(__xludf.DUMMYFUNCTION("IF(IF(U$1="""","""",REGEXMATCH(LOWER($E10),XLOOKUP(U$1,Metadata!$A$2:$A1000,Metadata!$B$2:$B1000))),U$1,"""")"),"")</f>
        <v/>
      </c>
      <c r="V10" s="33" t="str">
        <f>IFERROR(__xludf.DUMMYFUNCTION("IF(IF(V$1="""","""",REGEXMATCH(LOWER($E10),XLOOKUP(V$1,Metadata!$A$2:$A1000,Metadata!$B$2:$B1000))),V$1,"""")"),"")</f>
        <v/>
      </c>
      <c r="W10" s="33" t="str">
        <f>IFERROR(__xludf.DUMMYFUNCTION("IF(IF(W$1="""","""",REGEXMATCH(LOWER($E10),XLOOKUP(W$1,Metadata!$A$2:$A1000,Metadata!$B$2:$B1000))),W$1,"""")"),"")</f>
        <v/>
      </c>
      <c r="X10" s="33" t="str">
        <f>IFERROR(__xludf.DUMMYFUNCTION("IF(IF(X$1="""","""",REGEXMATCH(LOWER($E10),XLOOKUP(X$1,Metadata!$A$2:$A1000,Metadata!$B$2:$B1000))),X$1,"""")"),"")</f>
        <v/>
      </c>
      <c r="Y10" s="33" t="str">
        <f>IFERROR(__xludf.DUMMYFUNCTION("IF(IF(Y$1="""","""",REGEXMATCH(LOWER($E10),XLOOKUP(Y$1,Metadata!$A$2:$A1000,Metadata!$B$2:$B1000))),Y$1,"""")"),"")</f>
        <v/>
      </c>
      <c r="Z10" s="33" t="str">
        <f>IFERROR(__xludf.DUMMYFUNCTION("IF(IF(Z$1="""","""",REGEXMATCH(LOWER($E10),XLOOKUP(Z$1,Metadata!$A$2:$A1000,Metadata!$B$2:$B1000))),Z$1,"""")"),"")</f>
        <v/>
      </c>
      <c r="AA10" s="33" t="str">
        <f>IFERROR(__xludf.DUMMYFUNCTION("IF(AA$1="""","""",REGEXMATCH(LOWER($E10),XLOOKUP(AA$1,Metadata!$A$2:$A1000,Metadata!$B$2:$B1000)))"),"")</f>
        <v/>
      </c>
    </row>
    <row r="11">
      <c r="A11" s="33" t="str">
        <f>IFERROR(__xludf.DUMMYFUNCTION("""COMPUTED_VALUE"""),"Damaged Automaton")</f>
        <v>Damaged Automaton</v>
      </c>
      <c r="B11" s="33" t="str">
        <f t="array" ref="B11:I11">XLOOKUP($A11,Cards!$A$2:$A1000,Cards!$B$2:$I1000,"")</f>
        <v>Divine</v>
      </c>
      <c r="C11" s="33">
        <v>1.0</v>
      </c>
      <c r="D11" s="33" t="s">
        <v>76</v>
      </c>
      <c r="E11" s="33" t="s">
        <v>77</v>
      </c>
      <c r="F11" s="33" t="s">
        <v>78</v>
      </c>
      <c r="G11" s="33">
        <v>2.0</v>
      </c>
      <c r="H11" s="33" t="s">
        <v>25</v>
      </c>
      <c r="I11" s="33" t="s">
        <v>26</v>
      </c>
      <c r="J11" s="33">
        <f>IFERROR(__xludf.DUMMYFUNCTION("LEN(REGEXREPLACE(XLOOKUP($A11,Cards!$A$2:$A1000,Cards!$H$2:$H1000,""""),"",\s"",""""))"),1.0)</f>
        <v>1</v>
      </c>
      <c r="K11" s="33" t="str">
        <f t="shared" si="1"/>
        <v>               </v>
      </c>
      <c r="L11" s="33" t="str">
        <f>IFERROR(__xludf.DUMMYFUNCTION("IF(IF(L$1="""","""",REGEXMATCH(LOWER($E11),XLOOKUP(L$1,Metadata!$A$2:$A1000,Metadata!$B$2:$B1000))),L$1,"""")"),"")</f>
        <v/>
      </c>
      <c r="M11" s="33" t="str">
        <f>IFERROR(__xludf.DUMMYFUNCTION("IF(IF(M$1="""","""",REGEXMATCH(LOWER($E11),XLOOKUP(M$1,Metadata!$A$2:$A1000,Metadata!$B$2:$B1000))),M$1,"""")"),"")</f>
        <v/>
      </c>
      <c r="N11" s="33" t="str">
        <f>IFERROR(__xludf.DUMMYFUNCTION("IF(IF(N$1="""","""",REGEXMATCH(LOWER($E11),XLOOKUP(N$1,Metadata!$A$2:$A1000,Metadata!$B$2:$B1000))),N$1,"""")"),"")</f>
        <v/>
      </c>
      <c r="O11" s="33" t="str">
        <f>IFERROR(__xludf.DUMMYFUNCTION("IF(IF(O$1="""","""",REGEXMATCH(LOWER($E11),XLOOKUP(O$1,Metadata!$A$2:$A1000,Metadata!$B$2:$B1000))),O$1,"""")"),"")</f>
        <v/>
      </c>
      <c r="P11" s="33" t="str">
        <f>IFERROR(__xludf.DUMMYFUNCTION("IF(IF(P$1="""","""",REGEXMATCH(LOWER($E11),XLOOKUP(P$1,Metadata!$A$2:$A1000,Metadata!$B$2:$B1000))),P$1,"""")"),"")</f>
        <v/>
      </c>
      <c r="Q11" s="33" t="str">
        <f>IFERROR(__xludf.DUMMYFUNCTION("IF(IF(Q$1="""","""",REGEXMATCH(LOWER($E11),XLOOKUP(Q$1,Metadata!$A$2:$A1000,Metadata!$B$2:$B1000))),Q$1,"""")"),"")</f>
        <v/>
      </c>
      <c r="R11" s="33" t="str">
        <f>IFERROR(__xludf.DUMMYFUNCTION("IF(IF(R$1="""","""",REGEXMATCH(LOWER($E11),XLOOKUP(R$1,Metadata!$A$2:$A1000,Metadata!$B$2:$B1000))),R$1,"""")"),"")</f>
        <v/>
      </c>
      <c r="S11" s="33" t="str">
        <f>IFERROR(__xludf.DUMMYFUNCTION("IF(IF(S$1="""","""",REGEXMATCH(LOWER($E11),XLOOKUP(S$1,Metadata!$A$2:$A1000,Metadata!$B$2:$B1000))),S$1,"""")"),"")</f>
        <v/>
      </c>
      <c r="T11" s="33" t="str">
        <f>IFERROR(__xludf.DUMMYFUNCTION("IF(IF(T$1="""","""",REGEXMATCH(LOWER($E11),XLOOKUP(T$1,Metadata!$A$2:$A1000,Metadata!$B$2:$B1000))),T$1,"""")"),"")</f>
        <v/>
      </c>
      <c r="U11" s="33" t="str">
        <f>IFERROR(__xludf.DUMMYFUNCTION("IF(IF(U$1="""","""",REGEXMATCH(LOWER($E11),XLOOKUP(U$1,Metadata!$A$2:$A1000,Metadata!$B$2:$B1000))),U$1,"""")"),"")</f>
        <v/>
      </c>
      <c r="V11" s="33" t="str">
        <f>IFERROR(__xludf.DUMMYFUNCTION("IF(IF(V$1="""","""",REGEXMATCH(LOWER($E11),XLOOKUP(V$1,Metadata!$A$2:$A1000,Metadata!$B$2:$B1000))),V$1,"""")"),"")</f>
        <v/>
      </c>
      <c r="W11" s="33" t="str">
        <f>IFERROR(__xludf.DUMMYFUNCTION("IF(IF(W$1="""","""",REGEXMATCH(LOWER($E11),XLOOKUP(W$1,Metadata!$A$2:$A1000,Metadata!$B$2:$B1000))),W$1,"""")"),"")</f>
        <v/>
      </c>
      <c r="X11" s="33" t="str">
        <f>IFERROR(__xludf.DUMMYFUNCTION("IF(IF(X$1="""","""",REGEXMATCH(LOWER($E11),XLOOKUP(X$1,Metadata!$A$2:$A1000,Metadata!$B$2:$B1000))),X$1,"""")"),"")</f>
        <v/>
      </c>
      <c r="Y11" s="33" t="str">
        <f>IFERROR(__xludf.DUMMYFUNCTION("IF(IF(Y$1="""","""",REGEXMATCH(LOWER($E11),XLOOKUP(Y$1,Metadata!$A$2:$A1000,Metadata!$B$2:$B1000))),Y$1,"""")"),"")</f>
        <v/>
      </c>
      <c r="Z11" s="33" t="str">
        <f>IFERROR(__xludf.DUMMYFUNCTION("IF(IF(Z$1="""","""",REGEXMATCH(LOWER($E11),XLOOKUP(Z$1,Metadata!$A$2:$A1000,Metadata!$B$2:$B1000))),Z$1,"""")"),"")</f>
        <v/>
      </c>
      <c r="AA11" s="33" t="str">
        <f>IFERROR(__xludf.DUMMYFUNCTION("IF(AA$1="""","""",REGEXMATCH(LOWER($E11),XLOOKUP(AA$1,Metadata!$A$2:$A1000,Metadata!$B$2:$B1000)))"),"")</f>
        <v/>
      </c>
    </row>
    <row r="12">
      <c r="A12" s="33" t="str">
        <f>IFERROR(__xludf.DUMMYFUNCTION("""COMPUTED_VALUE"""),"Diviner of Fates")</f>
        <v>Diviner of Fates</v>
      </c>
      <c r="B12" s="33" t="str">
        <f t="array" ref="B12:I12">XLOOKUP($A12,Cards!$A$2:$A1000,Cards!$B$2:$I1000,"")</f>
        <v>Divine</v>
      </c>
      <c r="C12" s="33">
        <v>1.0</v>
      </c>
      <c r="D12" s="33" t="s">
        <v>82</v>
      </c>
      <c r="E12" s="33" t="s">
        <v>83</v>
      </c>
      <c r="F12" s="33" t="s">
        <v>84</v>
      </c>
      <c r="G12" s="33">
        <v>3.0</v>
      </c>
      <c r="H12" s="33" t="s">
        <v>85</v>
      </c>
      <c r="I12" s="33" t="s">
        <v>62</v>
      </c>
      <c r="J12" s="33">
        <f>IFERROR(__xludf.DUMMYFUNCTION("LEN(REGEXREPLACE(XLOOKUP($A12,Cards!$A$2:$A1000,Cards!$H$2:$H1000,""""),"",\s"",""""))"),3.0)</f>
        <v>3</v>
      </c>
      <c r="K12" s="33" t="str">
        <f t="shared" si="1"/>
        <v>           Move    </v>
      </c>
      <c r="L12" s="33" t="str">
        <f>IFERROR(__xludf.DUMMYFUNCTION("IF(IF(L$1="""","""",REGEXMATCH(LOWER($E12),XLOOKUP(L$1,Metadata!$A$2:$A1000,Metadata!$B$2:$B1000))),L$1,"""")"),"")</f>
        <v/>
      </c>
      <c r="M12" s="33" t="str">
        <f>IFERROR(__xludf.DUMMYFUNCTION("IF(IF(M$1="""","""",REGEXMATCH(LOWER($E12),XLOOKUP(M$1,Metadata!$A$2:$A1000,Metadata!$B$2:$B1000))),M$1,"""")"),"")</f>
        <v/>
      </c>
      <c r="N12" s="33" t="str">
        <f>IFERROR(__xludf.DUMMYFUNCTION("IF(IF(N$1="""","""",REGEXMATCH(LOWER($E12),XLOOKUP(N$1,Metadata!$A$2:$A1000,Metadata!$B$2:$B1000))),N$1,"""")"),"")</f>
        <v/>
      </c>
      <c r="O12" s="33" t="str">
        <f>IFERROR(__xludf.DUMMYFUNCTION("IF(IF(O$1="""","""",REGEXMATCH(LOWER($E12),XLOOKUP(O$1,Metadata!$A$2:$A1000,Metadata!$B$2:$B1000))),O$1,"""")"),"")</f>
        <v/>
      </c>
      <c r="P12" s="33" t="str">
        <f>IFERROR(__xludf.DUMMYFUNCTION("IF(IF(P$1="""","""",REGEXMATCH(LOWER($E12),XLOOKUP(P$1,Metadata!$A$2:$A1000,Metadata!$B$2:$B1000))),P$1,"""")"),"")</f>
        <v/>
      </c>
      <c r="Q12" s="33" t="str">
        <f>IFERROR(__xludf.DUMMYFUNCTION("IF(IF(Q$1="""","""",REGEXMATCH(LOWER($E12),XLOOKUP(Q$1,Metadata!$A$2:$A1000,Metadata!$B$2:$B1000))),Q$1,"""")"),"")</f>
        <v/>
      </c>
      <c r="R12" s="33" t="str">
        <f>IFERROR(__xludf.DUMMYFUNCTION("IF(IF(R$1="""","""",REGEXMATCH(LOWER($E12),XLOOKUP(R$1,Metadata!$A$2:$A1000,Metadata!$B$2:$B1000))),R$1,"""")"),"")</f>
        <v/>
      </c>
      <c r="S12" s="33" t="str">
        <f>IFERROR(__xludf.DUMMYFUNCTION("IF(IF(S$1="""","""",REGEXMATCH(LOWER($E12),XLOOKUP(S$1,Metadata!$A$2:$A1000,Metadata!$B$2:$B1000))),S$1,"""")"),"")</f>
        <v/>
      </c>
      <c r="T12" s="33" t="str">
        <f>IFERROR(__xludf.DUMMYFUNCTION("IF(IF(T$1="""","""",REGEXMATCH(LOWER($E12),XLOOKUP(T$1,Metadata!$A$2:$A1000,Metadata!$B$2:$B1000))),T$1,"""")"),"")</f>
        <v/>
      </c>
      <c r="U12" s="33" t="str">
        <f>IFERROR(__xludf.DUMMYFUNCTION("IF(IF(U$1="""","""",REGEXMATCH(LOWER($E12),XLOOKUP(U$1,Metadata!$A$2:$A1000,Metadata!$B$2:$B1000))),U$1,"""")"),"")</f>
        <v/>
      </c>
      <c r="V12" s="33" t="str">
        <f>IFERROR(__xludf.DUMMYFUNCTION("IF(IF(V$1="""","""",REGEXMATCH(LOWER($E12),XLOOKUP(V$1,Metadata!$A$2:$A1000,Metadata!$B$2:$B1000))),V$1,"""")"),"")</f>
        <v/>
      </c>
      <c r="W12" s="33" t="str">
        <f>IFERROR(__xludf.DUMMYFUNCTION("IF(IF(W$1="""","""",REGEXMATCH(LOWER($E12),XLOOKUP(W$1,Metadata!$A$2:$A1000,Metadata!$B$2:$B1000))),W$1,"""")"),"Move")</f>
        <v>Move</v>
      </c>
      <c r="X12" s="33" t="str">
        <f>IFERROR(__xludf.DUMMYFUNCTION("IF(IF(X$1="""","""",REGEXMATCH(LOWER($E12),XLOOKUP(X$1,Metadata!$A$2:$A1000,Metadata!$B$2:$B1000))),X$1,"""")"),"")</f>
        <v/>
      </c>
      <c r="Y12" s="33" t="str">
        <f>IFERROR(__xludf.DUMMYFUNCTION("IF(IF(Y$1="""","""",REGEXMATCH(LOWER($E12),XLOOKUP(Y$1,Metadata!$A$2:$A1000,Metadata!$B$2:$B1000))),Y$1,"""")"),"")</f>
        <v/>
      </c>
      <c r="Z12" s="33" t="str">
        <f>IFERROR(__xludf.DUMMYFUNCTION("IF(IF(Z$1="""","""",REGEXMATCH(LOWER($E12),XLOOKUP(Z$1,Metadata!$A$2:$A1000,Metadata!$B$2:$B1000))),Z$1,"""")"),"")</f>
        <v/>
      </c>
      <c r="AA12" s="33" t="str">
        <f>IFERROR(__xludf.DUMMYFUNCTION("IF(AA$1="""","""",REGEXMATCH(LOWER($E12),XLOOKUP(AA$1,Metadata!$A$2:$A1000,Metadata!$B$2:$B1000)))"),"")</f>
        <v/>
      </c>
    </row>
    <row r="13">
      <c r="A13" s="33" t="str">
        <f>IFERROR(__xludf.DUMMYFUNCTION("""COMPUTED_VALUE"""),"Doma Angel")</f>
        <v>Doma Angel</v>
      </c>
      <c r="B13" s="33" t="str">
        <f t="array" ref="B13:I13">XLOOKUP($A13,Cards!$A$2:$A1000,Cards!$B$2:$I1000,"")</f>
        <v>Divine</v>
      </c>
      <c r="C13" s="33">
        <v>1.0</v>
      </c>
      <c r="D13" s="33" t="s">
        <v>40</v>
      </c>
      <c r="E13" s="33"/>
      <c r="F13" s="33" t="s">
        <v>91</v>
      </c>
      <c r="G13" s="33">
        <v>3.0</v>
      </c>
      <c r="H13" s="33" t="s">
        <v>92</v>
      </c>
      <c r="I13" s="33" t="s">
        <v>26</v>
      </c>
      <c r="J13" s="33">
        <f>IFERROR(__xludf.DUMMYFUNCTION("LEN(REGEXREPLACE(XLOOKUP($A13,Cards!$A$2:$A1000,Cards!$H$2:$H1000,""""),"",\s"",""""))"),2.0)</f>
        <v>2</v>
      </c>
      <c r="K13" s="33" t="str">
        <f t="shared" si="1"/>
        <v>               </v>
      </c>
      <c r="L13" s="33" t="str">
        <f>IFERROR(__xludf.DUMMYFUNCTION("IF(IF(L$1="""","""",REGEXMATCH(LOWER($E13),XLOOKUP(L$1,Metadata!$A$2:$A1000,Metadata!$B$2:$B1000))),L$1,"""")"),"")</f>
        <v/>
      </c>
      <c r="M13" s="33" t="str">
        <f>IFERROR(__xludf.DUMMYFUNCTION("IF(IF(M$1="""","""",REGEXMATCH(LOWER($E13),XLOOKUP(M$1,Metadata!$A$2:$A1000,Metadata!$B$2:$B1000))),M$1,"""")"),"")</f>
        <v/>
      </c>
      <c r="N13" s="33" t="str">
        <f>IFERROR(__xludf.DUMMYFUNCTION("IF(IF(N$1="""","""",REGEXMATCH(LOWER($E13),XLOOKUP(N$1,Metadata!$A$2:$A1000,Metadata!$B$2:$B1000))),N$1,"""")"),"")</f>
        <v/>
      </c>
      <c r="O13" s="33" t="str">
        <f>IFERROR(__xludf.DUMMYFUNCTION("IF(IF(O$1="""","""",REGEXMATCH(LOWER($E13),XLOOKUP(O$1,Metadata!$A$2:$A1000,Metadata!$B$2:$B1000))),O$1,"""")"),"")</f>
        <v/>
      </c>
      <c r="P13" s="33" t="str">
        <f>IFERROR(__xludf.DUMMYFUNCTION("IF(IF(P$1="""","""",REGEXMATCH(LOWER($E13),XLOOKUP(P$1,Metadata!$A$2:$A1000,Metadata!$B$2:$B1000))),P$1,"""")"),"")</f>
        <v/>
      </c>
      <c r="Q13" s="33" t="str">
        <f>IFERROR(__xludf.DUMMYFUNCTION("IF(IF(Q$1="""","""",REGEXMATCH(LOWER($E13),XLOOKUP(Q$1,Metadata!$A$2:$A1000,Metadata!$B$2:$B1000))),Q$1,"""")"),"")</f>
        <v/>
      </c>
      <c r="R13" s="33" t="str">
        <f>IFERROR(__xludf.DUMMYFUNCTION("IF(IF(R$1="""","""",REGEXMATCH(LOWER($E13),XLOOKUP(R$1,Metadata!$A$2:$A1000,Metadata!$B$2:$B1000))),R$1,"""")"),"")</f>
        <v/>
      </c>
      <c r="S13" s="33" t="str">
        <f>IFERROR(__xludf.DUMMYFUNCTION("IF(IF(S$1="""","""",REGEXMATCH(LOWER($E13),XLOOKUP(S$1,Metadata!$A$2:$A1000,Metadata!$B$2:$B1000))),S$1,"""")"),"")</f>
        <v/>
      </c>
      <c r="T13" s="33" t="str">
        <f>IFERROR(__xludf.DUMMYFUNCTION("IF(IF(T$1="""","""",REGEXMATCH(LOWER($E13),XLOOKUP(T$1,Metadata!$A$2:$A1000,Metadata!$B$2:$B1000))),T$1,"""")"),"")</f>
        <v/>
      </c>
      <c r="U13" s="33" t="str">
        <f>IFERROR(__xludf.DUMMYFUNCTION("IF(IF(U$1="""","""",REGEXMATCH(LOWER($E13),XLOOKUP(U$1,Metadata!$A$2:$A1000,Metadata!$B$2:$B1000))),U$1,"""")"),"")</f>
        <v/>
      </c>
      <c r="V13" s="33" t="str">
        <f>IFERROR(__xludf.DUMMYFUNCTION("IF(IF(V$1="""","""",REGEXMATCH(LOWER($E13),XLOOKUP(V$1,Metadata!$A$2:$A1000,Metadata!$B$2:$B1000))),V$1,"""")"),"")</f>
        <v/>
      </c>
      <c r="W13" s="33" t="str">
        <f>IFERROR(__xludf.DUMMYFUNCTION("IF(IF(W$1="""","""",REGEXMATCH(LOWER($E13),XLOOKUP(W$1,Metadata!$A$2:$A1000,Metadata!$B$2:$B1000))),W$1,"""")"),"")</f>
        <v/>
      </c>
      <c r="X13" s="33" t="str">
        <f>IFERROR(__xludf.DUMMYFUNCTION("IF(IF(X$1="""","""",REGEXMATCH(LOWER($E13),XLOOKUP(X$1,Metadata!$A$2:$A1000,Metadata!$B$2:$B1000))),X$1,"""")"),"")</f>
        <v/>
      </c>
      <c r="Y13" s="33" t="str">
        <f>IFERROR(__xludf.DUMMYFUNCTION("IF(IF(Y$1="""","""",REGEXMATCH(LOWER($E13),XLOOKUP(Y$1,Metadata!$A$2:$A1000,Metadata!$B$2:$B1000))),Y$1,"""")"),"")</f>
        <v/>
      </c>
      <c r="Z13" s="33" t="str">
        <f>IFERROR(__xludf.DUMMYFUNCTION("IF(IF(Z$1="""","""",REGEXMATCH(LOWER($E13),XLOOKUP(Z$1,Metadata!$A$2:$A1000,Metadata!$B$2:$B1000))),Z$1,"""")"),"")</f>
        <v/>
      </c>
      <c r="AA13" s="33" t="str">
        <f>IFERROR(__xludf.DUMMYFUNCTION("IF(AA$1="""","""",REGEXMATCH(LOWER($E13),XLOOKUP(AA$1,Metadata!$A$2:$A1000,Metadata!$B$2:$B1000)))"),"")</f>
        <v/>
      </c>
    </row>
    <row r="14">
      <c r="A14" s="33" t="str">
        <f>IFERROR(__xludf.DUMMYFUNCTION("""COMPUTED_VALUE"""),"Dove of Serenity")</f>
        <v>Dove of Serenity</v>
      </c>
      <c r="B14" s="33" t="str">
        <f t="array" ref="B14:I14">XLOOKUP($A14,Cards!$A$2:$A1000,Cards!$B$2:$I1000,"")</f>
        <v>Divine</v>
      </c>
      <c r="C14" s="33">
        <v>1.0</v>
      </c>
      <c r="D14" s="33" t="s">
        <v>97</v>
      </c>
      <c r="E14" s="33" t="s">
        <v>98</v>
      </c>
      <c r="F14" s="33" t="s">
        <v>99</v>
      </c>
      <c r="G14" s="33">
        <v>1.0</v>
      </c>
      <c r="H14" s="33" t="s">
        <v>92</v>
      </c>
      <c r="I14" s="33" t="s">
        <v>26</v>
      </c>
      <c r="J14" s="33">
        <f>IFERROR(__xludf.DUMMYFUNCTION("LEN(REGEXREPLACE(XLOOKUP($A14,Cards!$A$2:$A1000,Cards!$H$2:$H1000,""""),"",\s"",""""))"),2.0)</f>
        <v>2</v>
      </c>
      <c r="K14" s="33" t="str">
        <f t="shared" si="1"/>
        <v>Divine               </v>
      </c>
      <c r="L14" s="33" t="str">
        <f>IFERROR(__xludf.DUMMYFUNCTION("IF(IF(L$1="""","""",REGEXMATCH(LOWER($E14),XLOOKUP(L$1,Metadata!$A$2:$A1000,Metadata!$B$2:$B1000))),L$1,"""")"),"Divine")</f>
        <v>Divine</v>
      </c>
      <c r="M14" s="33" t="str">
        <f>IFERROR(__xludf.DUMMYFUNCTION("IF(IF(M$1="""","""",REGEXMATCH(LOWER($E14),XLOOKUP(M$1,Metadata!$A$2:$A1000,Metadata!$B$2:$B1000))),M$1,"""")"),"")</f>
        <v/>
      </c>
      <c r="N14" s="33" t="str">
        <f>IFERROR(__xludf.DUMMYFUNCTION("IF(IF(N$1="""","""",REGEXMATCH(LOWER($E14),XLOOKUP(N$1,Metadata!$A$2:$A1000,Metadata!$B$2:$B1000))),N$1,"""")"),"")</f>
        <v/>
      </c>
      <c r="O14" s="33" t="str">
        <f>IFERROR(__xludf.DUMMYFUNCTION("IF(IF(O$1="""","""",REGEXMATCH(LOWER($E14),XLOOKUP(O$1,Metadata!$A$2:$A1000,Metadata!$B$2:$B1000))),O$1,"""")"),"")</f>
        <v/>
      </c>
      <c r="P14" s="33" t="str">
        <f>IFERROR(__xludf.DUMMYFUNCTION("IF(IF(P$1="""","""",REGEXMATCH(LOWER($E14),XLOOKUP(P$1,Metadata!$A$2:$A1000,Metadata!$B$2:$B1000))),P$1,"""")"),"")</f>
        <v/>
      </c>
      <c r="Q14" s="33" t="str">
        <f>IFERROR(__xludf.DUMMYFUNCTION("IF(IF(Q$1="""","""",REGEXMATCH(LOWER($E14),XLOOKUP(Q$1,Metadata!$A$2:$A1000,Metadata!$B$2:$B1000))),Q$1,"""")"),"")</f>
        <v/>
      </c>
      <c r="R14" s="33" t="str">
        <f>IFERROR(__xludf.DUMMYFUNCTION("IF(IF(R$1="""","""",REGEXMATCH(LOWER($E14),XLOOKUP(R$1,Metadata!$A$2:$A1000,Metadata!$B$2:$B1000))),R$1,"""")"),"")</f>
        <v/>
      </c>
      <c r="S14" s="33" t="str">
        <f>IFERROR(__xludf.DUMMYFUNCTION("IF(IF(S$1="""","""",REGEXMATCH(LOWER($E14),XLOOKUP(S$1,Metadata!$A$2:$A1000,Metadata!$B$2:$B1000))),S$1,"""")"),"")</f>
        <v/>
      </c>
      <c r="T14" s="33" t="str">
        <f>IFERROR(__xludf.DUMMYFUNCTION("IF(IF(T$1="""","""",REGEXMATCH(LOWER($E14),XLOOKUP(T$1,Metadata!$A$2:$A1000,Metadata!$B$2:$B1000))),T$1,"""")"),"")</f>
        <v/>
      </c>
      <c r="U14" s="33" t="str">
        <f>IFERROR(__xludf.DUMMYFUNCTION("IF(IF(U$1="""","""",REGEXMATCH(LOWER($E14),XLOOKUP(U$1,Metadata!$A$2:$A1000,Metadata!$B$2:$B1000))),U$1,"""")"),"")</f>
        <v/>
      </c>
      <c r="V14" s="33" t="str">
        <f>IFERROR(__xludf.DUMMYFUNCTION("IF(IF(V$1="""","""",REGEXMATCH(LOWER($E14),XLOOKUP(V$1,Metadata!$A$2:$A1000,Metadata!$B$2:$B1000))),V$1,"""")"),"")</f>
        <v/>
      </c>
      <c r="W14" s="33" t="str">
        <f>IFERROR(__xludf.DUMMYFUNCTION("IF(IF(W$1="""","""",REGEXMATCH(LOWER($E14),XLOOKUP(W$1,Metadata!$A$2:$A1000,Metadata!$B$2:$B1000))),W$1,"""")"),"")</f>
        <v/>
      </c>
      <c r="X14" s="33" t="str">
        <f>IFERROR(__xludf.DUMMYFUNCTION("IF(IF(X$1="""","""",REGEXMATCH(LOWER($E14),XLOOKUP(X$1,Metadata!$A$2:$A1000,Metadata!$B$2:$B1000))),X$1,"""")"),"")</f>
        <v/>
      </c>
      <c r="Y14" s="33" t="str">
        <f>IFERROR(__xludf.DUMMYFUNCTION("IF(IF(Y$1="""","""",REGEXMATCH(LOWER($E14),XLOOKUP(Y$1,Metadata!$A$2:$A1000,Metadata!$B$2:$B1000))),Y$1,"""")"),"")</f>
        <v/>
      </c>
      <c r="Z14" s="33" t="str">
        <f>IFERROR(__xludf.DUMMYFUNCTION("IF(IF(Z$1="""","""",REGEXMATCH(LOWER($E14),XLOOKUP(Z$1,Metadata!$A$2:$A1000,Metadata!$B$2:$B1000))),Z$1,"""")"),"")</f>
        <v/>
      </c>
      <c r="AA14" s="33" t="str">
        <f>IFERROR(__xludf.DUMMYFUNCTION("IF(AA$1="""","""",REGEXMATCH(LOWER($E14),XLOOKUP(AA$1,Metadata!$A$2:$A1000,Metadata!$B$2:$B1000)))"),"")</f>
        <v/>
      </c>
    </row>
    <row r="15">
      <c r="A15" s="33" t="str">
        <f>IFERROR(__xludf.DUMMYFUNCTION("""COMPUTED_VALUE"""),"Dream Traveler")</f>
        <v>Dream Traveler</v>
      </c>
      <c r="B15" s="33" t="str">
        <f t="array" ref="B15:I15">XLOOKUP($A15,Cards!$A$2:$A1000,Cards!$B$2:$I1000,"")</f>
        <v>Divine</v>
      </c>
      <c r="C15" s="33">
        <v>1.0</v>
      </c>
      <c r="D15" s="33" t="s">
        <v>28</v>
      </c>
      <c r="E15" s="33" t="s">
        <v>103</v>
      </c>
      <c r="F15" s="33" t="s">
        <v>104</v>
      </c>
      <c r="G15" s="33">
        <v>2.0</v>
      </c>
      <c r="H15" s="33" t="s">
        <v>85</v>
      </c>
      <c r="I15" s="33" t="s">
        <v>62</v>
      </c>
      <c r="J15" s="33">
        <f>IFERROR(__xludf.DUMMYFUNCTION("LEN(REGEXREPLACE(XLOOKUP($A15,Cards!$A$2:$A1000,Cards!$H$2:$H1000,""""),"",\s"",""""))"),3.0)</f>
        <v>3</v>
      </c>
      <c r="K15" s="33" t="str">
        <f t="shared" si="1"/>
        <v>      Ramp         </v>
      </c>
      <c r="L15" s="33" t="str">
        <f>IFERROR(__xludf.DUMMYFUNCTION("IF(IF(L$1="""","""",REGEXMATCH(LOWER($E15),XLOOKUP(L$1,Metadata!$A$2:$A1000,Metadata!$B$2:$B1000))),L$1,"""")"),"")</f>
        <v/>
      </c>
      <c r="M15" s="33" t="str">
        <f>IFERROR(__xludf.DUMMYFUNCTION("IF(IF(M$1="""","""",REGEXMATCH(LOWER($E15),XLOOKUP(M$1,Metadata!$A$2:$A1000,Metadata!$B$2:$B1000))),M$1,"""")"),"")</f>
        <v/>
      </c>
      <c r="N15" s="33" t="str">
        <f>IFERROR(__xludf.DUMMYFUNCTION("IF(IF(N$1="""","""",REGEXMATCH(LOWER($E15),XLOOKUP(N$1,Metadata!$A$2:$A1000,Metadata!$B$2:$B1000))),N$1,"""")"),"")</f>
        <v/>
      </c>
      <c r="O15" s="33" t="str">
        <f>IFERROR(__xludf.DUMMYFUNCTION("IF(IF(O$1="""","""",REGEXMATCH(LOWER($E15),XLOOKUP(O$1,Metadata!$A$2:$A1000,Metadata!$B$2:$B1000))),O$1,"""")"),"")</f>
        <v/>
      </c>
      <c r="P15" s="33" t="str">
        <f>IFERROR(__xludf.DUMMYFUNCTION("IF(IF(P$1="""","""",REGEXMATCH(LOWER($E15),XLOOKUP(P$1,Metadata!$A$2:$A1000,Metadata!$B$2:$B1000))),P$1,"""")"),"")</f>
        <v/>
      </c>
      <c r="Q15" s="33" t="str">
        <f>IFERROR(__xludf.DUMMYFUNCTION("IF(IF(Q$1="""","""",REGEXMATCH(LOWER($E15),XLOOKUP(Q$1,Metadata!$A$2:$A1000,Metadata!$B$2:$B1000))),Q$1,"""")"),"")</f>
        <v/>
      </c>
      <c r="R15" s="33" t="str">
        <f>IFERROR(__xludf.DUMMYFUNCTION("IF(IF(R$1="""","""",REGEXMATCH(LOWER($E15),XLOOKUP(R$1,Metadata!$A$2:$A1000,Metadata!$B$2:$B1000))),R$1,"""")"),"Ramp")</f>
        <v>Ramp</v>
      </c>
      <c r="S15" s="33" t="str">
        <f>IFERROR(__xludf.DUMMYFUNCTION("IF(IF(S$1="""","""",REGEXMATCH(LOWER($E15),XLOOKUP(S$1,Metadata!$A$2:$A1000,Metadata!$B$2:$B1000))),S$1,"""")"),"")</f>
        <v/>
      </c>
      <c r="T15" s="33" t="str">
        <f>IFERROR(__xludf.DUMMYFUNCTION("IF(IF(T$1="""","""",REGEXMATCH(LOWER($E15),XLOOKUP(T$1,Metadata!$A$2:$A1000,Metadata!$B$2:$B1000))),T$1,"""")"),"")</f>
        <v/>
      </c>
      <c r="U15" s="33" t="str">
        <f>IFERROR(__xludf.DUMMYFUNCTION("IF(IF(U$1="""","""",REGEXMATCH(LOWER($E15),XLOOKUP(U$1,Metadata!$A$2:$A1000,Metadata!$B$2:$B1000))),U$1,"""")"),"")</f>
        <v/>
      </c>
      <c r="V15" s="33" t="str">
        <f>IFERROR(__xludf.DUMMYFUNCTION("IF(IF(V$1="""","""",REGEXMATCH(LOWER($E15),XLOOKUP(V$1,Metadata!$A$2:$A1000,Metadata!$B$2:$B1000))),V$1,"""")"),"")</f>
        <v/>
      </c>
      <c r="W15" s="33" t="str">
        <f>IFERROR(__xludf.DUMMYFUNCTION("IF(IF(W$1="""","""",REGEXMATCH(LOWER($E15),XLOOKUP(W$1,Metadata!$A$2:$A1000,Metadata!$B$2:$B1000))),W$1,"""")"),"")</f>
        <v/>
      </c>
      <c r="X15" s="33" t="str">
        <f>IFERROR(__xludf.DUMMYFUNCTION("IF(IF(X$1="""","""",REGEXMATCH(LOWER($E15),XLOOKUP(X$1,Metadata!$A$2:$A1000,Metadata!$B$2:$B1000))),X$1,"""")"),"")</f>
        <v/>
      </c>
      <c r="Y15" s="33" t="str">
        <f>IFERROR(__xludf.DUMMYFUNCTION("IF(IF(Y$1="""","""",REGEXMATCH(LOWER($E15),XLOOKUP(Y$1,Metadata!$A$2:$A1000,Metadata!$B$2:$B1000))),Y$1,"""")"),"")</f>
        <v/>
      </c>
      <c r="Z15" s="33" t="str">
        <f>IFERROR(__xludf.DUMMYFUNCTION("IF(IF(Z$1="""","""",REGEXMATCH(LOWER($E15),XLOOKUP(Z$1,Metadata!$A$2:$A1000,Metadata!$B$2:$B1000))),Z$1,"""")"),"")</f>
        <v/>
      </c>
      <c r="AA15" s="33" t="str">
        <f>IFERROR(__xludf.DUMMYFUNCTION("IF(AA$1="""","""",REGEXMATCH(LOWER($E15),XLOOKUP(AA$1,Metadata!$A$2:$A1000,Metadata!$B$2:$B1000)))"),"")</f>
        <v/>
      </c>
    </row>
    <row r="16">
      <c r="A16" s="33" t="str">
        <f>IFERROR(__xludf.DUMMYFUNCTION("""COMPUTED_VALUE"""),"Embalmed Apophis")</f>
        <v>Embalmed Apophis</v>
      </c>
      <c r="B16" s="33" t="str">
        <f t="array" ref="B16:I16">XLOOKUP($A16,Cards!$A$2:$A1000,Cards!$B$2:$I1000,"")</f>
        <v>Divine</v>
      </c>
      <c r="C16" s="33">
        <v>1.0</v>
      </c>
      <c r="D16" s="33" t="s">
        <v>107</v>
      </c>
      <c r="E16" s="33" t="s">
        <v>108</v>
      </c>
      <c r="F16" s="33" t="s">
        <v>109</v>
      </c>
      <c r="G16" s="33">
        <v>6.0</v>
      </c>
      <c r="H16" s="33" t="s">
        <v>110</v>
      </c>
      <c r="I16" s="33" t="s">
        <v>26</v>
      </c>
      <c r="J16" s="33">
        <f>IFERROR(__xludf.DUMMYFUNCTION("LEN(REGEXREPLACE(XLOOKUP($A16,Cards!$A$2:$A1000,Cards!$H$2:$H1000,""""),"",\s"",""""))"),6.0)</f>
        <v>6</v>
      </c>
      <c r="K16" s="33" t="str">
        <f t="shared" si="1"/>
        <v>         Aggro   Ambush   </v>
      </c>
      <c r="L16" s="33" t="str">
        <f>IFERROR(__xludf.DUMMYFUNCTION("IF(IF(L$1="""","""",REGEXMATCH(LOWER($E16),XLOOKUP(L$1,Metadata!$A$2:$A1000,Metadata!$B$2:$B1000))),L$1,"""")"),"")</f>
        <v/>
      </c>
      <c r="M16" s="33" t="str">
        <f>IFERROR(__xludf.DUMMYFUNCTION("IF(IF(M$1="""","""",REGEXMATCH(LOWER($E16),XLOOKUP(M$1,Metadata!$A$2:$A1000,Metadata!$B$2:$B1000))),M$1,"""")"),"")</f>
        <v/>
      </c>
      <c r="N16" s="33" t="str">
        <f>IFERROR(__xludf.DUMMYFUNCTION("IF(IF(N$1="""","""",REGEXMATCH(LOWER($E16),XLOOKUP(N$1,Metadata!$A$2:$A1000,Metadata!$B$2:$B1000))),N$1,"""")"),"")</f>
        <v/>
      </c>
      <c r="O16" s="33" t="str">
        <f>IFERROR(__xludf.DUMMYFUNCTION("IF(IF(O$1="""","""",REGEXMATCH(LOWER($E16),XLOOKUP(O$1,Metadata!$A$2:$A1000,Metadata!$B$2:$B1000))),O$1,"""")"),"")</f>
        <v/>
      </c>
      <c r="P16" s="33" t="str">
        <f>IFERROR(__xludf.DUMMYFUNCTION("IF(IF(P$1="""","""",REGEXMATCH(LOWER($E16),XLOOKUP(P$1,Metadata!$A$2:$A1000,Metadata!$B$2:$B1000))),P$1,"""")"),"")</f>
        <v/>
      </c>
      <c r="Q16" s="33" t="str">
        <f>IFERROR(__xludf.DUMMYFUNCTION("IF(IF(Q$1="""","""",REGEXMATCH(LOWER($E16),XLOOKUP(Q$1,Metadata!$A$2:$A1000,Metadata!$B$2:$B1000))),Q$1,"""")"),"")</f>
        <v/>
      </c>
      <c r="R16" s="33" t="str">
        <f>IFERROR(__xludf.DUMMYFUNCTION("IF(IF(R$1="""","""",REGEXMATCH(LOWER($E16),XLOOKUP(R$1,Metadata!$A$2:$A1000,Metadata!$B$2:$B1000))),R$1,"""")"),"")</f>
        <v/>
      </c>
      <c r="S16" s="33" t="str">
        <f>IFERROR(__xludf.DUMMYFUNCTION("IF(IF(S$1="""","""",REGEXMATCH(LOWER($E16),XLOOKUP(S$1,Metadata!$A$2:$A1000,Metadata!$B$2:$B1000))),S$1,"""")"),"")</f>
        <v/>
      </c>
      <c r="T16" s="33" t="str">
        <f>IFERROR(__xludf.DUMMYFUNCTION("IF(IF(T$1="""","""",REGEXMATCH(LOWER($E16),XLOOKUP(T$1,Metadata!$A$2:$A1000,Metadata!$B$2:$B1000))),T$1,"""")"),"")</f>
        <v/>
      </c>
      <c r="U16" s="33" t="str">
        <f>IFERROR(__xludf.DUMMYFUNCTION("IF(IF(U$1="""","""",REGEXMATCH(LOWER($E16),XLOOKUP(U$1,Metadata!$A$2:$A1000,Metadata!$B$2:$B1000))),U$1,"""")"),"Aggro")</f>
        <v>Aggro</v>
      </c>
      <c r="V16" s="33" t="str">
        <f>IFERROR(__xludf.DUMMYFUNCTION("IF(IF(V$1="""","""",REGEXMATCH(LOWER($E16),XLOOKUP(V$1,Metadata!$A$2:$A1000,Metadata!$B$2:$B1000))),V$1,"""")"),"")</f>
        <v/>
      </c>
      <c r="W16" s="33" t="str">
        <f>IFERROR(__xludf.DUMMYFUNCTION("IF(IF(W$1="""","""",REGEXMATCH(LOWER($E16),XLOOKUP(W$1,Metadata!$A$2:$A1000,Metadata!$B$2:$B1000))),W$1,"""")"),"")</f>
        <v/>
      </c>
      <c r="X16" s="33" t="str">
        <f>IFERROR(__xludf.DUMMYFUNCTION("IF(IF(X$1="""","""",REGEXMATCH(LOWER($E16),XLOOKUP(X$1,Metadata!$A$2:$A1000,Metadata!$B$2:$B1000))),X$1,"""")"),"Ambush")</f>
        <v>Ambush</v>
      </c>
      <c r="Y16" s="33" t="str">
        <f>IFERROR(__xludf.DUMMYFUNCTION("IF(IF(Y$1="""","""",REGEXMATCH(LOWER($E16),XLOOKUP(Y$1,Metadata!$A$2:$A1000,Metadata!$B$2:$B1000))),Y$1,"""")"),"")</f>
        <v/>
      </c>
      <c r="Z16" s="33" t="str">
        <f>IFERROR(__xludf.DUMMYFUNCTION("IF(IF(Z$1="""","""",REGEXMATCH(LOWER($E16),XLOOKUP(Z$1,Metadata!$A$2:$A1000,Metadata!$B$2:$B1000))),Z$1,"""")"),"")</f>
        <v/>
      </c>
      <c r="AA16" s="33" t="str">
        <f>IFERROR(__xludf.DUMMYFUNCTION("IF(AA$1="""","""",REGEXMATCH(LOWER($E16),XLOOKUP(AA$1,Metadata!$A$2:$A1000,Metadata!$B$2:$B1000)))"),"")</f>
        <v/>
      </c>
    </row>
    <row r="17">
      <c r="A17" s="33" t="str">
        <f>IFERROR(__xludf.DUMMYFUNCTION("""COMPUTED_VALUE"""),"Feline Ushabti")</f>
        <v>Feline Ushabti</v>
      </c>
      <c r="B17" s="33" t="str">
        <f t="array" ref="B17:I17">XLOOKUP($A17,Cards!$A$2:$A1000,Cards!$B$2:$I1000,"")</f>
        <v>Divine</v>
      </c>
      <c r="C17" s="33">
        <v>1.0</v>
      </c>
      <c r="D17" s="33" t="s">
        <v>114</v>
      </c>
      <c r="E17" s="33" t="s">
        <v>115</v>
      </c>
      <c r="F17" s="33" t="s">
        <v>116</v>
      </c>
      <c r="G17" s="33">
        <v>2.0</v>
      </c>
      <c r="H17" s="33" t="s">
        <v>92</v>
      </c>
      <c r="I17" s="33" t="s">
        <v>26</v>
      </c>
      <c r="J17" s="33">
        <f>IFERROR(__xludf.DUMMYFUNCTION("LEN(REGEXREPLACE(XLOOKUP($A17,Cards!$A$2:$A1000,Cards!$H$2:$H1000,""""),"",\s"",""""))"),2.0)</f>
        <v>2</v>
      </c>
      <c r="K17" s="33" t="str">
        <f t="shared" si="1"/>
        <v>      Ramp Control     Ambush   </v>
      </c>
      <c r="L17" s="33" t="str">
        <f>IFERROR(__xludf.DUMMYFUNCTION("IF(IF(L$1="""","""",REGEXMATCH(LOWER($E17),XLOOKUP(L$1,Metadata!$A$2:$A1000,Metadata!$B$2:$B1000))),L$1,"""")"),"")</f>
        <v/>
      </c>
      <c r="M17" s="33" t="str">
        <f>IFERROR(__xludf.DUMMYFUNCTION("IF(IF(M$1="""","""",REGEXMATCH(LOWER($E17),XLOOKUP(M$1,Metadata!$A$2:$A1000,Metadata!$B$2:$B1000))),M$1,"""")"),"")</f>
        <v/>
      </c>
      <c r="N17" s="33" t="str">
        <f>IFERROR(__xludf.DUMMYFUNCTION("IF(IF(N$1="""","""",REGEXMATCH(LOWER($E17),XLOOKUP(N$1,Metadata!$A$2:$A1000,Metadata!$B$2:$B1000))),N$1,"""")"),"")</f>
        <v/>
      </c>
      <c r="O17" s="33" t="str">
        <f>IFERROR(__xludf.DUMMYFUNCTION("IF(IF(O$1="""","""",REGEXMATCH(LOWER($E17),XLOOKUP(O$1,Metadata!$A$2:$A1000,Metadata!$B$2:$B1000))),O$1,"""")"),"")</f>
        <v/>
      </c>
      <c r="P17" s="33" t="str">
        <f>IFERROR(__xludf.DUMMYFUNCTION("IF(IF(P$1="""","""",REGEXMATCH(LOWER($E17),XLOOKUP(P$1,Metadata!$A$2:$A1000,Metadata!$B$2:$B1000))),P$1,"""")"),"")</f>
        <v/>
      </c>
      <c r="Q17" s="33" t="str">
        <f>IFERROR(__xludf.DUMMYFUNCTION("IF(IF(Q$1="""","""",REGEXMATCH(LOWER($E17),XLOOKUP(Q$1,Metadata!$A$2:$A1000,Metadata!$B$2:$B1000))),Q$1,"""")"),"")</f>
        <v/>
      </c>
      <c r="R17" s="33" t="str">
        <f>IFERROR(__xludf.DUMMYFUNCTION("IF(IF(R$1="""","""",REGEXMATCH(LOWER($E17),XLOOKUP(R$1,Metadata!$A$2:$A1000,Metadata!$B$2:$B1000))),R$1,"""")"),"Ramp")</f>
        <v>Ramp</v>
      </c>
      <c r="S17" s="33" t="str">
        <f>IFERROR(__xludf.DUMMYFUNCTION("IF(IF(S$1="""","""",REGEXMATCH(LOWER($E17),XLOOKUP(S$1,Metadata!$A$2:$A1000,Metadata!$B$2:$B1000))),S$1,"""")"),"Control")</f>
        <v>Control</v>
      </c>
      <c r="T17" s="33" t="str">
        <f>IFERROR(__xludf.DUMMYFUNCTION("IF(IF(T$1="""","""",REGEXMATCH(LOWER($E17),XLOOKUP(T$1,Metadata!$A$2:$A1000,Metadata!$B$2:$B1000))),T$1,"""")"),"")</f>
        <v/>
      </c>
      <c r="U17" s="33" t="str">
        <f>IFERROR(__xludf.DUMMYFUNCTION("IF(IF(U$1="""","""",REGEXMATCH(LOWER($E17),XLOOKUP(U$1,Metadata!$A$2:$A1000,Metadata!$B$2:$B1000))),U$1,"""")"),"")</f>
        <v/>
      </c>
      <c r="V17" s="33" t="str">
        <f>IFERROR(__xludf.DUMMYFUNCTION("IF(IF(V$1="""","""",REGEXMATCH(LOWER($E17),XLOOKUP(V$1,Metadata!$A$2:$A1000,Metadata!$B$2:$B1000))),V$1,"""")"),"")</f>
        <v/>
      </c>
      <c r="W17" s="33" t="str">
        <f>IFERROR(__xludf.DUMMYFUNCTION("IF(IF(W$1="""","""",REGEXMATCH(LOWER($E17),XLOOKUP(W$1,Metadata!$A$2:$A1000,Metadata!$B$2:$B1000))),W$1,"""")"),"")</f>
        <v/>
      </c>
      <c r="X17" s="33" t="str">
        <f>IFERROR(__xludf.DUMMYFUNCTION("IF(IF(X$1="""","""",REGEXMATCH(LOWER($E17),XLOOKUP(X$1,Metadata!$A$2:$A1000,Metadata!$B$2:$B1000))),X$1,"""")"),"Ambush")</f>
        <v>Ambush</v>
      </c>
      <c r="Y17" s="33" t="str">
        <f>IFERROR(__xludf.DUMMYFUNCTION("IF(IF(Y$1="""","""",REGEXMATCH(LOWER($E17),XLOOKUP(Y$1,Metadata!$A$2:$A1000,Metadata!$B$2:$B1000))),Y$1,"""")"),"")</f>
        <v/>
      </c>
      <c r="Z17" s="33" t="str">
        <f>IFERROR(__xludf.DUMMYFUNCTION("IF(IF(Z$1="""","""",REGEXMATCH(LOWER($E17),XLOOKUP(Z$1,Metadata!$A$2:$A1000,Metadata!$B$2:$B1000))),Z$1,"""")"),"")</f>
        <v/>
      </c>
      <c r="AA17" s="33" t="str">
        <f>IFERROR(__xludf.DUMMYFUNCTION("IF(AA$1="""","""",REGEXMATCH(LOWER($E17),XLOOKUP(AA$1,Metadata!$A$2:$A1000,Metadata!$B$2:$B1000)))"),"")</f>
        <v/>
      </c>
    </row>
    <row r="18">
      <c r="A18" s="33" t="str">
        <f>IFERROR(__xludf.DUMMYFUNCTION("""COMPUTED_VALUE"""),"Guardian of the Gates")</f>
        <v>Guardian of the Gates</v>
      </c>
      <c r="B18" s="33" t="str">
        <f t="array" ref="B18:I18">XLOOKUP($A18,Cards!$A$2:$A1000,Cards!$B$2:$I1000,"")</f>
        <v>Divine</v>
      </c>
      <c r="C18" s="33">
        <v>1.0</v>
      </c>
      <c r="D18" s="33" t="s">
        <v>70</v>
      </c>
      <c r="E18" s="33" t="s">
        <v>120</v>
      </c>
      <c r="F18" s="33" t="s">
        <v>121</v>
      </c>
      <c r="G18" s="33">
        <v>3.0</v>
      </c>
      <c r="H18" s="33" t="s">
        <v>49</v>
      </c>
      <c r="I18" s="33" t="s">
        <v>26</v>
      </c>
      <c r="J18" s="33">
        <f>IFERROR(__xludf.DUMMYFUNCTION("LEN(REGEXREPLACE(XLOOKUP($A18,Cards!$A$2:$A1000,Cards!$H$2:$H1000,""""),"",\s"",""""))"),3.0)</f>
        <v>3</v>
      </c>
      <c r="K18" s="33" t="str">
        <f t="shared" si="1"/>
        <v>               </v>
      </c>
      <c r="L18" s="33" t="str">
        <f>IFERROR(__xludf.DUMMYFUNCTION("IF(IF(L$1="""","""",REGEXMATCH(LOWER($E18),XLOOKUP(L$1,Metadata!$A$2:$A1000,Metadata!$B$2:$B1000))),L$1,"""")"),"")</f>
        <v/>
      </c>
      <c r="M18" s="33" t="str">
        <f>IFERROR(__xludf.DUMMYFUNCTION("IF(IF(M$1="""","""",REGEXMATCH(LOWER($E18),XLOOKUP(M$1,Metadata!$A$2:$A1000,Metadata!$B$2:$B1000))),M$1,"""")"),"")</f>
        <v/>
      </c>
      <c r="N18" s="33" t="str">
        <f>IFERROR(__xludf.DUMMYFUNCTION("IF(IF(N$1="""","""",REGEXMATCH(LOWER($E18),XLOOKUP(N$1,Metadata!$A$2:$A1000,Metadata!$B$2:$B1000))),N$1,"""")"),"")</f>
        <v/>
      </c>
      <c r="O18" s="33" t="str">
        <f>IFERROR(__xludf.DUMMYFUNCTION("IF(IF(O$1="""","""",REGEXMATCH(LOWER($E18),XLOOKUP(O$1,Metadata!$A$2:$A1000,Metadata!$B$2:$B1000))),O$1,"""")"),"")</f>
        <v/>
      </c>
      <c r="P18" s="33" t="str">
        <f>IFERROR(__xludf.DUMMYFUNCTION("IF(IF(P$1="""","""",REGEXMATCH(LOWER($E18),XLOOKUP(P$1,Metadata!$A$2:$A1000,Metadata!$B$2:$B1000))),P$1,"""")"),"")</f>
        <v/>
      </c>
      <c r="Q18" s="33" t="str">
        <f>IFERROR(__xludf.DUMMYFUNCTION("IF(IF(Q$1="""","""",REGEXMATCH(LOWER($E18),XLOOKUP(Q$1,Metadata!$A$2:$A1000,Metadata!$B$2:$B1000))),Q$1,"""")"),"")</f>
        <v/>
      </c>
      <c r="R18" s="33" t="str">
        <f>IFERROR(__xludf.DUMMYFUNCTION("IF(IF(R$1="""","""",REGEXMATCH(LOWER($E18),XLOOKUP(R$1,Metadata!$A$2:$A1000,Metadata!$B$2:$B1000))),R$1,"""")"),"")</f>
        <v/>
      </c>
      <c r="S18" s="33" t="str">
        <f>IFERROR(__xludf.DUMMYFUNCTION("IF(IF(S$1="""","""",REGEXMATCH(LOWER($E18),XLOOKUP(S$1,Metadata!$A$2:$A1000,Metadata!$B$2:$B1000))),S$1,"""")"),"")</f>
        <v/>
      </c>
      <c r="T18" s="33" t="str">
        <f>IFERROR(__xludf.DUMMYFUNCTION("IF(IF(T$1="""","""",REGEXMATCH(LOWER($E18),XLOOKUP(T$1,Metadata!$A$2:$A1000,Metadata!$B$2:$B1000))),T$1,"""")"),"")</f>
        <v/>
      </c>
      <c r="U18" s="33" t="str">
        <f>IFERROR(__xludf.DUMMYFUNCTION("IF(IF(U$1="""","""",REGEXMATCH(LOWER($E18),XLOOKUP(U$1,Metadata!$A$2:$A1000,Metadata!$B$2:$B1000))),U$1,"""")"),"")</f>
        <v/>
      </c>
      <c r="V18" s="33" t="str">
        <f>IFERROR(__xludf.DUMMYFUNCTION("IF(IF(V$1="""","""",REGEXMATCH(LOWER($E18),XLOOKUP(V$1,Metadata!$A$2:$A1000,Metadata!$B$2:$B1000))),V$1,"""")"),"")</f>
        <v/>
      </c>
      <c r="W18" s="33" t="str">
        <f>IFERROR(__xludf.DUMMYFUNCTION("IF(IF(W$1="""","""",REGEXMATCH(LOWER($E18),XLOOKUP(W$1,Metadata!$A$2:$A1000,Metadata!$B$2:$B1000))),W$1,"""")"),"")</f>
        <v/>
      </c>
      <c r="X18" s="33" t="str">
        <f>IFERROR(__xludf.DUMMYFUNCTION("IF(IF(X$1="""","""",REGEXMATCH(LOWER($E18),XLOOKUP(X$1,Metadata!$A$2:$A1000,Metadata!$B$2:$B1000))),X$1,"""")"),"")</f>
        <v/>
      </c>
      <c r="Y18" s="33" t="str">
        <f>IFERROR(__xludf.DUMMYFUNCTION("IF(IF(Y$1="""","""",REGEXMATCH(LOWER($E18),XLOOKUP(Y$1,Metadata!$A$2:$A1000,Metadata!$B$2:$B1000))),Y$1,"""")"),"")</f>
        <v/>
      </c>
      <c r="Z18" s="33" t="str">
        <f>IFERROR(__xludf.DUMMYFUNCTION("IF(IF(Z$1="""","""",REGEXMATCH(LOWER($E18),XLOOKUP(Z$1,Metadata!$A$2:$A1000,Metadata!$B$2:$B1000))),Z$1,"""")"),"")</f>
        <v/>
      </c>
      <c r="AA18" s="33" t="str">
        <f>IFERROR(__xludf.DUMMYFUNCTION("IF(AA$1="""","""",REGEXMATCH(LOWER($E18),XLOOKUP(AA$1,Metadata!$A$2:$A1000,Metadata!$B$2:$B1000)))"),"")</f>
        <v/>
      </c>
    </row>
    <row r="19">
      <c r="A19" s="33" t="str">
        <f>IFERROR(__xludf.DUMMYFUNCTION("""COMPUTED_VALUE"""),"Guardian Angel")</f>
        <v>Guardian Angel</v>
      </c>
      <c r="B19" s="33" t="str">
        <f t="array" ref="B19:I19">XLOOKUP($A19,Cards!$A$2:$A1000,Cards!$B$2:$I1000,"")</f>
        <v>Divine</v>
      </c>
      <c r="C19" s="33">
        <v>2.0</v>
      </c>
      <c r="D19" s="33" t="s">
        <v>28</v>
      </c>
      <c r="E19" s="33" t="s">
        <v>125</v>
      </c>
      <c r="F19" s="33" t="s">
        <v>126</v>
      </c>
      <c r="G19" s="33">
        <v>4.0</v>
      </c>
      <c r="H19" s="33" t="s">
        <v>31</v>
      </c>
      <c r="I19" s="33" t="s">
        <v>62</v>
      </c>
      <c r="J19" s="33">
        <f>IFERROR(__xludf.DUMMYFUNCTION("LEN(REGEXREPLACE(XLOOKUP($A19,Cards!$A$2:$A1000,Cards!$H$2:$H1000,""""),"",\s"",""""))"),5.0)</f>
        <v>5</v>
      </c>
      <c r="K19" s="33" t="str">
        <f t="shared" si="1"/>
        <v>     Unearth  Control     Ambush   </v>
      </c>
      <c r="L19" s="33" t="str">
        <f>IFERROR(__xludf.DUMMYFUNCTION("IF(IF(L$1="""","""",REGEXMATCH(LOWER($E19),XLOOKUP(L$1,Metadata!$A$2:$A1000,Metadata!$B$2:$B1000))),L$1,"""")"),"")</f>
        <v/>
      </c>
      <c r="M19" s="33" t="str">
        <f>IFERROR(__xludf.DUMMYFUNCTION("IF(IF(M$1="""","""",REGEXMATCH(LOWER($E19),XLOOKUP(M$1,Metadata!$A$2:$A1000,Metadata!$B$2:$B1000))),M$1,"""")"),"")</f>
        <v/>
      </c>
      <c r="N19" s="33" t="str">
        <f>IFERROR(__xludf.DUMMYFUNCTION("IF(IF(N$1="""","""",REGEXMATCH(LOWER($E19),XLOOKUP(N$1,Metadata!$A$2:$A1000,Metadata!$B$2:$B1000))),N$1,"""")"),"")</f>
        <v/>
      </c>
      <c r="O19" s="33" t="str">
        <f>IFERROR(__xludf.DUMMYFUNCTION("IF(IF(O$1="""","""",REGEXMATCH(LOWER($E19),XLOOKUP(O$1,Metadata!$A$2:$A1000,Metadata!$B$2:$B1000))),O$1,"""")"),"")</f>
        <v/>
      </c>
      <c r="P19" s="33" t="str">
        <f>IFERROR(__xludf.DUMMYFUNCTION("IF(IF(P$1="""","""",REGEXMATCH(LOWER($E19),XLOOKUP(P$1,Metadata!$A$2:$A1000,Metadata!$B$2:$B1000))),P$1,"""")"),"")</f>
        <v/>
      </c>
      <c r="Q19" s="33" t="str">
        <f>IFERROR(__xludf.DUMMYFUNCTION("IF(IF(Q$1="""","""",REGEXMATCH(LOWER($E19),XLOOKUP(Q$1,Metadata!$A$2:$A1000,Metadata!$B$2:$B1000))),Q$1,"""")"),"Unearth")</f>
        <v>Unearth</v>
      </c>
      <c r="R19" s="33" t="str">
        <f>IFERROR(__xludf.DUMMYFUNCTION("IF(IF(R$1="""","""",REGEXMATCH(LOWER($E19),XLOOKUP(R$1,Metadata!$A$2:$A1000,Metadata!$B$2:$B1000))),R$1,"""")"),"")</f>
        <v/>
      </c>
      <c r="S19" s="33" t="str">
        <f>IFERROR(__xludf.DUMMYFUNCTION("IF(IF(S$1="""","""",REGEXMATCH(LOWER($E19),XLOOKUP(S$1,Metadata!$A$2:$A1000,Metadata!$B$2:$B1000))),S$1,"""")"),"Control")</f>
        <v>Control</v>
      </c>
      <c r="T19" s="33" t="str">
        <f>IFERROR(__xludf.DUMMYFUNCTION("IF(IF(T$1="""","""",REGEXMATCH(LOWER($E19),XLOOKUP(T$1,Metadata!$A$2:$A1000,Metadata!$B$2:$B1000))),T$1,"""")"),"")</f>
        <v/>
      </c>
      <c r="U19" s="33" t="str">
        <f>IFERROR(__xludf.DUMMYFUNCTION("IF(IF(U$1="""","""",REGEXMATCH(LOWER($E19),XLOOKUP(U$1,Metadata!$A$2:$A1000,Metadata!$B$2:$B1000))),U$1,"""")"),"")</f>
        <v/>
      </c>
      <c r="V19" s="33" t="str">
        <f>IFERROR(__xludf.DUMMYFUNCTION("IF(IF(V$1="""","""",REGEXMATCH(LOWER($E19),XLOOKUP(V$1,Metadata!$A$2:$A1000,Metadata!$B$2:$B1000))),V$1,"""")"),"")</f>
        <v/>
      </c>
      <c r="W19" s="33" t="str">
        <f>IFERROR(__xludf.DUMMYFUNCTION("IF(IF(W$1="""","""",REGEXMATCH(LOWER($E19),XLOOKUP(W$1,Metadata!$A$2:$A1000,Metadata!$B$2:$B1000))),W$1,"""")"),"")</f>
        <v/>
      </c>
      <c r="X19" s="33" t="str">
        <f>IFERROR(__xludf.DUMMYFUNCTION("IF(IF(X$1="""","""",REGEXMATCH(LOWER($E19),XLOOKUP(X$1,Metadata!$A$2:$A1000,Metadata!$B$2:$B1000))),X$1,"""")"),"Ambush")</f>
        <v>Ambush</v>
      </c>
      <c r="Y19" s="33" t="str">
        <f>IFERROR(__xludf.DUMMYFUNCTION("IF(IF(Y$1="""","""",REGEXMATCH(LOWER($E19),XLOOKUP(Y$1,Metadata!$A$2:$A1000,Metadata!$B$2:$B1000))),Y$1,"""")"),"")</f>
        <v/>
      </c>
      <c r="Z19" s="33" t="str">
        <f>IFERROR(__xludf.DUMMYFUNCTION("IF(IF(Z$1="""","""",REGEXMATCH(LOWER($E19),XLOOKUP(Z$1,Metadata!$A$2:$A1000,Metadata!$B$2:$B1000))),Z$1,"""")"),"")</f>
        <v/>
      </c>
      <c r="AA19" s="33" t="str">
        <f>IFERROR(__xludf.DUMMYFUNCTION("IF(AA$1="""","""",REGEXMATCH(LOWER($E19),XLOOKUP(AA$1,Metadata!$A$2:$A1000,Metadata!$B$2:$B1000)))"),"")</f>
        <v/>
      </c>
    </row>
    <row r="20">
      <c r="A20" s="33" t="str">
        <f>IFERROR(__xludf.DUMMYFUNCTION("""COMPUTED_VALUE"""),"Hallowed Exorcist")</f>
        <v>Hallowed Exorcist</v>
      </c>
      <c r="B20" s="33" t="str">
        <f t="array" ref="B20:I20">XLOOKUP($A20,Cards!$A$2:$A1000,Cards!$B$2:$I1000,"")</f>
        <v>Divine</v>
      </c>
      <c r="C20" s="33">
        <v>1.0</v>
      </c>
      <c r="D20" s="33" t="s">
        <v>128</v>
      </c>
      <c r="E20" s="33" t="s">
        <v>129</v>
      </c>
      <c r="F20" s="33" t="s">
        <v>130</v>
      </c>
      <c r="G20" s="33">
        <v>2.0</v>
      </c>
      <c r="H20" s="33" t="s">
        <v>92</v>
      </c>
      <c r="I20" s="33" t="s">
        <v>26</v>
      </c>
      <c r="J20" s="33">
        <f>IFERROR(__xludf.DUMMYFUNCTION("LEN(REGEXREPLACE(XLOOKUP($A20,Cards!$A$2:$A1000,Cards!$H$2:$H1000,""""),"",\s"",""""))"),2.0)</f>
        <v>2</v>
      </c>
      <c r="K20" s="33" t="str">
        <f t="shared" si="1"/>
        <v>               </v>
      </c>
      <c r="L20" s="33" t="str">
        <f>IFERROR(__xludf.DUMMYFUNCTION("IF(IF(L$1="""","""",REGEXMATCH(LOWER($E20),XLOOKUP(L$1,Metadata!$A$2:$A1000,Metadata!$B$2:$B1000))),L$1,"""")"),"")</f>
        <v/>
      </c>
      <c r="M20" s="33" t="str">
        <f>IFERROR(__xludf.DUMMYFUNCTION("IF(IF(M$1="""","""",REGEXMATCH(LOWER($E20),XLOOKUP(M$1,Metadata!$A$2:$A1000,Metadata!$B$2:$B1000))),M$1,"""")"),"")</f>
        <v/>
      </c>
      <c r="N20" s="33" t="str">
        <f>IFERROR(__xludf.DUMMYFUNCTION("IF(IF(N$1="""","""",REGEXMATCH(LOWER($E20),XLOOKUP(N$1,Metadata!$A$2:$A1000,Metadata!$B$2:$B1000))),N$1,"""")"),"")</f>
        <v/>
      </c>
      <c r="O20" s="33" t="str">
        <f>IFERROR(__xludf.DUMMYFUNCTION("IF(IF(O$1="""","""",REGEXMATCH(LOWER($E20),XLOOKUP(O$1,Metadata!$A$2:$A1000,Metadata!$B$2:$B1000))),O$1,"""")"),"")</f>
        <v/>
      </c>
      <c r="P20" s="33" t="str">
        <f>IFERROR(__xludf.DUMMYFUNCTION("IF(IF(P$1="""","""",REGEXMATCH(LOWER($E20),XLOOKUP(P$1,Metadata!$A$2:$A1000,Metadata!$B$2:$B1000))),P$1,"""")"),"")</f>
        <v/>
      </c>
      <c r="Q20" s="33" t="str">
        <f>IFERROR(__xludf.DUMMYFUNCTION("IF(IF(Q$1="""","""",REGEXMATCH(LOWER($E20),XLOOKUP(Q$1,Metadata!$A$2:$A1000,Metadata!$B$2:$B1000))),Q$1,"""")"),"")</f>
        <v/>
      </c>
      <c r="R20" s="33" t="str">
        <f>IFERROR(__xludf.DUMMYFUNCTION("IF(IF(R$1="""","""",REGEXMATCH(LOWER($E20),XLOOKUP(R$1,Metadata!$A$2:$A1000,Metadata!$B$2:$B1000))),R$1,"""")"),"")</f>
        <v/>
      </c>
      <c r="S20" s="33" t="str">
        <f>IFERROR(__xludf.DUMMYFUNCTION("IF(IF(S$1="""","""",REGEXMATCH(LOWER($E20),XLOOKUP(S$1,Metadata!$A$2:$A1000,Metadata!$B$2:$B1000))),S$1,"""")"),"")</f>
        <v/>
      </c>
      <c r="T20" s="33" t="str">
        <f>IFERROR(__xludf.DUMMYFUNCTION("IF(IF(T$1="""","""",REGEXMATCH(LOWER($E20),XLOOKUP(T$1,Metadata!$A$2:$A1000,Metadata!$B$2:$B1000))),T$1,"""")"),"")</f>
        <v/>
      </c>
      <c r="U20" s="33" t="str">
        <f>IFERROR(__xludf.DUMMYFUNCTION("IF(IF(U$1="""","""",REGEXMATCH(LOWER($E20),XLOOKUP(U$1,Metadata!$A$2:$A1000,Metadata!$B$2:$B1000))),U$1,"""")"),"")</f>
        <v/>
      </c>
      <c r="V20" s="33" t="str">
        <f>IFERROR(__xludf.DUMMYFUNCTION("IF(IF(V$1="""","""",REGEXMATCH(LOWER($E20),XLOOKUP(V$1,Metadata!$A$2:$A1000,Metadata!$B$2:$B1000))),V$1,"""")"),"")</f>
        <v/>
      </c>
      <c r="W20" s="33" t="str">
        <f>IFERROR(__xludf.DUMMYFUNCTION("IF(IF(W$1="""","""",REGEXMATCH(LOWER($E20),XLOOKUP(W$1,Metadata!$A$2:$A1000,Metadata!$B$2:$B1000))),W$1,"""")"),"")</f>
        <v/>
      </c>
      <c r="X20" s="33" t="str">
        <f>IFERROR(__xludf.DUMMYFUNCTION("IF(IF(X$1="""","""",REGEXMATCH(LOWER($E20),XLOOKUP(X$1,Metadata!$A$2:$A1000,Metadata!$B$2:$B1000))),X$1,"""")"),"")</f>
        <v/>
      </c>
      <c r="Y20" s="33" t="str">
        <f>IFERROR(__xludf.DUMMYFUNCTION("IF(IF(Y$1="""","""",REGEXMATCH(LOWER($E20),XLOOKUP(Y$1,Metadata!$A$2:$A1000,Metadata!$B$2:$B1000))),Y$1,"""")"),"")</f>
        <v/>
      </c>
      <c r="Z20" s="33" t="str">
        <f>IFERROR(__xludf.DUMMYFUNCTION("IF(IF(Z$1="""","""",REGEXMATCH(LOWER($E20),XLOOKUP(Z$1,Metadata!$A$2:$A1000,Metadata!$B$2:$B1000))),Z$1,"""")"),"")</f>
        <v/>
      </c>
      <c r="AA20" s="33" t="str">
        <f>IFERROR(__xludf.DUMMYFUNCTION("IF(AA$1="""","""",REGEXMATCH(LOWER($E20),XLOOKUP(AA$1,Metadata!$A$2:$A1000,Metadata!$B$2:$B1000)))"),"")</f>
        <v/>
      </c>
    </row>
    <row r="21">
      <c r="A21" s="33" t="str">
        <f>IFERROR(__xludf.DUMMYFUNCTION("""COMPUTED_VALUE"""),"Harmonic Echo")</f>
        <v>Harmonic Echo</v>
      </c>
      <c r="B21" s="33" t="str">
        <f t="array" ref="B21:I21">XLOOKUP($A21,Cards!$A$2:$A1000,Cards!$B$2:$I1000,"")</f>
        <v>Divine</v>
      </c>
      <c r="C21" s="33">
        <v>1.0</v>
      </c>
      <c r="D21" s="33" t="s">
        <v>134</v>
      </c>
      <c r="E21" s="33" t="s">
        <v>135</v>
      </c>
      <c r="F21" s="33" t="s">
        <v>136</v>
      </c>
      <c r="G21" s="33">
        <v>4.0</v>
      </c>
      <c r="H21" s="33" t="s">
        <v>137</v>
      </c>
      <c r="I21" s="33" t="s">
        <v>62</v>
      </c>
      <c r="J21" s="33">
        <f>IFERROR(__xludf.DUMMYFUNCTION("LEN(REGEXREPLACE(XLOOKUP($A21,Cards!$A$2:$A1000,Cards!$H$2:$H1000,""""),"",\s"",""""))"),4.0)</f>
        <v>4</v>
      </c>
      <c r="K21" s="33" t="str">
        <f t="shared" si="1"/>
        <v>               </v>
      </c>
      <c r="L21" s="33" t="str">
        <f>IFERROR(__xludf.DUMMYFUNCTION("IF(IF(L$1="""","""",REGEXMATCH(LOWER($E21),XLOOKUP(L$1,Metadata!$A$2:$A1000,Metadata!$B$2:$B1000))),L$1,"""")"),"")</f>
        <v/>
      </c>
      <c r="M21" s="33" t="str">
        <f>IFERROR(__xludf.DUMMYFUNCTION("IF(IF(M$1="""","""",REGEXMATCH(LOWER($E21),XLOOKUP(M$1,Metadata!$A$2:$A1000,Metadata!$B$2:$B1000))),M$1,"""")"),"")</f>
        <v/>
      </c>
      <c r="N21" s="33" t="str">
        <f>IFERROR(__xludf.DUMMYFUNCTION("IF(IF(N$1="""","""",REGEXMATCH(LOWER($E21),XLOOKUP(N$1,Metadata!$A$2:$A1000,Metadata!$B$2:$B1000))),N$1,"""")"),"")</f>
        <v/>
      </c>
      <c r="O21" s="33" t="str">
        <f>IFERROR(__xludf.DUMMYFUNCTION("IF(IF(O$1="""","""",REGEXMATCH(LOWER($E21),XLOOKUP(O$1,Metadata!$A$2:$A1000,Metadata!$B$2:$B1000))),O$1,"""")"),"")</f>
        <v/>
      </c>
      <c r="P21" s="33" t="str">
        <f>IFERROR(__xludf.DUMMYFUNCTION("IF(IF(P$1="""","""",REGEXMATCH(LOWER($E21),XLOOKUP(P$1,Metadata!$A$2:$A1000,Metadata!$B$2:$B1000))),P$1,"""")"),"")</f>
        <v/>
      </c>
      <c r="Q21" s="33" t="str">
        <f>IFERROR(__xludf.DUMMYFUNCTION("IF(IF(Q$1="""","""",REGEXMATCH(LOWER($E21),XLOOKUP(Q$1,Metadata!$A$2:$A1000,Metadata!$B$2:$B1000))),Q$1,"""")"),"")</f>
        <v/>
      </c>
      <c r="R21" s="33" t="str">
        <f>IFERROR(__xludf.DUMMYFUNCTION("IF(IF(R$1="""","""",REGEXMATCH(LOWER($E21),XLOOKUP(R$1,Metadata!$A$2:$A1000,Metadata!$B$2:$B1000))),R$1,"""")"),"")</f>
        <v/>
      </c>
      <c r="S21" s="33" t="str">
        <f>IFERROR(__xludf.DUMMYFUNCTION("IF(IF(S$1="""","""",REGEXMATCH(LOWER($E21),XLOOKUP(S$1,Metadata!$A$2:$A1000,Metadata!$B$2:$B1000))),S$1,"""")"),"")</f>
        <v/>
      </c>
      <c r="T21" s="33" t="str">
        <f>IFERROR(__xludf.DUMMYFUNCTION("IF(IF(T$1="""","""",REGEXMATCH(LOWER($E21),XLOOKUP(T$1,Metadata!$A$2:$A1000,Metadata!$B$2:$B1000))),T$1,"""")"),"")</f>
        <v/>
      </c>
      <c r="U21" s="33" t="str">
        <f>IFERROR(__xludf.DUMMYFUNCTION("IF(IF(U$1="""","""",REGEXMATCH(LOWER($E21),XLOOKUP(U$1,Metadata!$A$2:$A1000,Metadata!$B$2:$B1000))),U$1,"""")"),"")</f>
        <v/>
      </c>
      <c r="V21" s="33" t="str">
        <f>IFERROR(__xludf.DUMMYFUNCTION("IF(IF(V$1="""","""",REGEXMATCH(LOWER($E21),XLOOKUP(V$1,Metadata!$A$2:$A1000,Metadata!$B$2:$B1000))),V$1,"""")"),"")</f>
        <v/>
      </c>
      <c r="W21" s="33" t="str">
        <f>IFERROR(__xludf.DUMMYFUNCTION("IF(IF(W$1="""","""",REGEXMATCH(LOWER($E21),XLOOKUP(W$1,Metadata!$A$2:$A1000,Metadata!$B$2:$B1000))),W$1,"""")"),"")</f>
        <v/>
      </c>
      <c r="X21" s="33" t="str">
        <f>IFERROR(__xludf.DUMMYFUNCTION("IF(IF(X$1="""","""",REGEXMATCH(LOWER($E21),XLOOKUP(X$1,Metadata!$A$2:$A1000,Metadata!$B$2:$B1000))),X$1,"""")"),"")</f>
        <v/>
      </c>
      <c r="Y21" s="33" t="str">
        <f>IFERROR(__xludf.DUMMYFUNCTION("IF(IF(Y$1="""","""",REGEXMATCH(LOWER($E21),XLOOKUP(Y$1,Metadata!$A$2:$A1000,Metadata!$B$2:$B1000))),Y$1,"""")"),"")</f>
        <v/>
      </c>
      <c r="Z21" s="33" t="str">
        <f>IFERROR(__xludf.DUMMYFUNCTION("IF(IF(Z$1="""","""",REGEXMATCH(LOWER($E21),XLOOKUP(Z$1,Metadata!$A$2:$A1000,Metadata!$B$2:$B1000))),Z$1,"""")"),"")</f>
        <v/>
      </c>
      <c r="AA21" s="33" t="str">
        <f>IFERROR(__xludf.DUMMYFUNCTION("IF(AA$1="""","""",REGEXMATCH(LOWER($E21),XLOOKUP(AA$1,Metadata!$A$2:$A1000,Metadata!$B$2:$B1000)))"),"")</f>
        <v/>
      </c>
    </row>
    <row r="22">
      <c r="A22" s="33" t="str">
        <f>IFERROR(__xludf.DUMMYFUNCTION("""COMPUTED_VALUE"""),"Ibis Ushabti")</f>
        <v>Ibis Ushabti</v>
      </c>
      <c r="B22" s="33" t="str">
        <f t="array" ref="B22:I22">XLOOKUP($A22,Cards!$A$2:$A1000,Cards!$B$2:$I1000,"")</f>
        <v>Divine</v>
      </c>
      <c r="C22" s="33">
        <v>1.0</v>
      </c>
      <c r="D22" s="33" t="s">
        <v>114</v>
      </c>
      <c r="E22" s="33" t="s">
        <v>141</v>
      </c>
      <c r="F22" s="33" t="s">
        <v>142</v>
      </c>
      <c r="G22" s="33">
        <v>3.0</v>
      </c>
      <c r="H22" s="33" t="s">
        <v>85</v>
      </c>
      <c r="I22" s="33" t="s">
        <v>62</v>
      </c>
      <c r="J22" s="33">
        <f>IFERROR(__xludf.DUMMYFUNCTION("LEN(REGEXREPLACE(XLOOKUP($A22,Cards!$A$2:$A1000,Cards!$H$2:$H1000,""""),"",\s"",""""))"),3.0)</f>
        <v>3</v>
      </c>
      <c r="K22" s="33" t="str">
        <f t="shared" si="1"/>
        <v>      Ramp Control     Ambush   </v>
      </c>
      <c r="L22" s="33" t="str">
        <f>IFERROR(__xludf.DUMMYFUNCTION("IF(IF(L$1="""","""",REGEXMATCH(LOWER($E22),XLOOKUP(L$1,Metadata!$A$2:$A1000,Metadata!$B$2:$B1000))),L$1,"""")"),"")</f>
        <v/>
      </c>
      <c r="M22" s="33" t="str">
        <f>IFERROR(__xludf.DUMMYFUNCTION("IF(IF(M$1="""","""",REGEXMATCH(LOWER($E22),XLOOKUP(M$1,Metadata!$A$2:$A1000,Metadata!$B$2:$B1000))),M$1,"""")"),"")</f>
        <v/>
      </c>
      <c r="N22" s="33" t="str">
        <f>IFERROR(__xludf.DUMMYFUNCTION("IF(IF(N$1="""","""",REGEXMATCH(LOWER($E22),XLOOKUP(N$1,Metadata!$A$2:$A1000,Metadata!$B$2:$B1000))),N$1,"""")"),"")</f>
        <v/>
      </c>
      <c r="O22" s="33" t="str">
        <f>IFERROR(__xludf.DUMMYFUNCTION("IF(IF(O$1="""","""",REGEXMATCH(LOWER($E22),XLOOKUP(O$1,Metadata!$A$2:$A1000,Metadata!$B$2:$B1000))),O$1,"""")"),"")</f>
        <v/>
      </c>
      <c r="P22" s="33" t="str">
        <f>IFERROR(__xludf.DUMMYFUNCTION("IF(IF(P$1="""","""",REGEXMATCH(LOWER($E22),XLOOKUP(P$1,Metadata!$A$2:$A1000,Metadata!$B$2:$B1000))),P$1,"""")"),"")</f>
        <v/>
      </c>
      <c r="Q22" s="33" t="str">
        <f>IFERROR(__xludf.DUMMYFUNCTION("IF(IF(Q$1="""","""",REGEXMATCH(LOWER($E22),XLOOKUP(Q$1,Metadata!$A$2:$A1000,Metadata!$B$2:$B1000))),Q$1,"""")"),"")</f>
        <v/>
      </c>
      <c r="R22" s="33" t="str">
        <f>IFERROR(__xludf.DUMMYFUNCTION("IF(IF(R$1="""","""",REGEXMATCH(LOWER($E22),XLOOKUP(R$1,Metadata!$A$2:$A1000,Metadata!$B$2:$B1000))),R$1,"""")"),"Ramp")</f>
        <v>Ramp</v>
      </c>
      <c r="S22" s="33" t="str">
        <f>IFERROR(__xludf.DUMMYFUNCTION("IF(IF(S$1="""","""",REGEXMATCH(LOWER($E22),XLOOKUP(S$1,Metadata!$A$2:$A1000,Metadata!$B$2:$B1000))),S$1,"""")"),"Control")</f>
        <v>Control</v>
      </c>
      <c r="T22" s="33" t="str">
        <f>IFERROR(__xludf.DUMMYFUNCTION("IF(IF(T$1="""","""",REGEXMATCH(LOWER($E22),XLOOKUP(T$1,Metadata!$A$2:$A1000,Metadata!$B$2:$B1000))),T$1,"""")"),"")</f>
        <v/>
      </c>
      <c r="U22" s="33" t="str">
        <f>IFERROR(__xludf.DUMMYFUNCTION("IF(IF(U$1="""","""",REGEXMATCH(LOWER($E22),XLOOKUP(U$1,Metadata!$A$2:$A1000,Metadata!$B$2:$B1000))),U$1,"""")"),"")</f>
        <v/>
      </c>
      <c r="V22" s="33" t="str">
        <f>IFERROR(__xludf.DUMMYFUNCTION("IF(IF(V$1="""","""",REGEXMATCH(LOWER($E22),XLOOKUP(V$1,Metadata!$A$2:$A1000,Metadata!$B$2:$B1000))),V$1,"""")"),"")</f>
        <v/>
      </c>
      <c r="W22" s="33" t="str">
        <f>IFERROR(__xludf.DUMMYFUNCTION("IF(IF(W$1="""","""",REGEXMATCH(LOWER($E22),XLOOKUP(W$1,Metadata!$A$2:$A1000,Metadata!$B$2:$B1000))),W$1,"""")"),"")</f>
        <v/>
      </c>
      <c r="X22" s="33" t="str">
        <f>IFERROR(__xludf.DUMMYFUNCTION("IF(IF(X$1="""","""",REGEXMATCH(LOWER($E22),XLOOKUP(X$1,Metadata!$A$2:$A1000,Metadata!$B$2:$B1000))),X$1,"""")"),"Ambush")</f>
        <v>Ambush</v>
      </c>
      <c r="Y22" s="33" t="str">
        <f>IFERROR(__xludf.DUMMYFUNCTION("IF(IF(Y$1="""","""",REGEXMATCH(LOWER($E22),XLOOKUP(Y$1,Metadata!$A$2:$A1000,Metadata!$B$2:$B1000))),Y$1,"""")"),"")</f>
        <v/>
      </c>
      <c r="Z22" s="33" t="str">
        <f>IFERROR(__xludf.DUMMYFUNCTION("IF(IF(Z$1="""","""",REGEXMATCH(LOWER($E22),XLOOKUP(Z$1,Metadata!$A$2:$A1000,Metadata!$B$2:$B1000))),Z$1,"""")"),"")</f>
        <v/>
      </c>
      <c r="AA22" s="33" t="str">
        <f>IFERROR(__xludf.DUMMYFUNCTION("IF(AA$1="""","""",REGEXMATCH(LOWER($E22),XLOOKUP(AA$1,Metadata!$A$2:$A1000,Metadata!$B$2:$B1000)))"),"")</f>
        <v/>
      </c>
    </row>
    <row r="23">
      <c r="A23" s="33" t="str">
        <f>IFERROR(__xludf.DUMMYFUNCTION("""COMPUTED_VALUE"""),"Herald of Eternal Grace")</f>
        <v>Herald of Eternal Grace</v>
      </c>
      <c r="B23" s="33" t="str">
        <f t="array" ref="B23:I23">XLOOKUP($A23,Cards!$A$2:$A1000,Cards!$B$2:$I1000,"")</f>
        <v>Divine</v>
      </c>
      <c r="C23" s="33">
        <v>0.0</v>
      </c>
      <c r="D23" s="33" t="s">
        <v>82</v>
      </c>
      <c r="E23" s="33" t="s">
        <v>146</v>
      </c>
      <c r="F23" s="33" t="s">
        <v>147</v>
      </c>
      <c r="G23" s="33">
        <v>4.0</v>
      </c>
      <c r="H23" s="33" t="s">
        <v>31</v>
      </c>
      <c r="I23" s="33" t="s">
        <v>62</v>
      </c>
      <c r="J23" s="33">
        <f>IFERROR(__xludf.DUMMYFUNCTION("LEN(REGEXREPLACE(XLOOKUP($A23,Cards!$A$2:$A1000,Cards!$H$2:$H1000,""""),"",\s"",""""))"),5.0)</f>
        <v>5</v>
      </c>
      <c r="K23" s="33" t="str">
        <f t="shared" si="1"/>
        <v>      Ramp         </v>
      </c>
      <c r="L23" s="33" t="str">
        <f>IFERROR(__xludf.DUMMYFUNCTION("IF(IF(L$1="""","""",REGEXMATCH(LOWER($E23),XLOOKUP(L$1,Metadata!$A$2:$A1000,Metadata!$B$2:$B1000))),L$1,"""")"),"")</f>
        <v/>
      </c>
      <c r="M23" s="33" t="str">
        <f>IFERROR(__xludf.DUMMYFUNCTION("IF(IF(M$1="""","""",REGEXMATCH(LOWER($E23),XLOOKUP(M$1,Metadata!$A$2:$A1000,Metadata!$B$2:$B1000))),M$1,"""")"),"")</f>
        <v/>
      </c>
      <c r="N23" s="33" t="str">
        <f>IFERROR(__xludf.DUMMYFUNCTION("IF(IF(N$1="""","""",REGEXMATCH(LOWER($E23),XLOOKUP(N$1,Metadata!$A$2:$A1000,Metadata!$B$2:$B1000))),N$1,"""")"),"")</f>
        <v/>
      </c>
      <c r="O23" s="33" t="str">
        <f>IFERROR(__xludf.DUMMYFUNCTION("IF(IF(O$1="""","""",REGEXMATCH(LOWER($E23),XLOOKUP(O$1,Metadata!$A$2:$A1000,Metadata!$B$2:$B1000))),O$1,"""")"),"")</f>
        <v/>
      </c>
      <c r="P23" s="33" t="str">
        <f>IFERROR(__xludf.DUMMYFUNCTION("IF(IF(P$1="""","""",REGEXMATCH(LOWER($E23),XLOOKUP(P$1,Metadata!$A$2:$A1000,Metadata!$B$2:$B1000))),P$1,"""")"),"")</f>
        <v/>
      </c>
      <c r="Q23" s="33" t="str">
        <f>IFERROR(__xludf.DUMMYFUNCTION("IF(IF(Q$1="""","""",REGEXMATCH(LOWER($E23),XLOOKUP(Q$1,Metadata!$A$2:$A1000,Metadata!$B$2:$B1000))),Q$1,"""")"),"")</f>
        <v/>
      </c>
      <c r="R23" s="33" t="str">
        <f>IFERROR(__xludf.DUMMYFUNCTION("IF(IF(R$1="""","""",REGEXMATCH(LOWER($E23),XLOOKUP(R$1,Metadata!$A$2:$A1000,Metadata!$B$2:$B1000))),R$1,"""")"),"Ramp")</f>
        <v>Ramp</v>
      </c>
      <c r="S23" s="33" t="str">
        <f>IFERROR(__xludf.DUMMYFUNCTION("IF(IF(S$1="""","""",REGEXMATCH(LOWER($E23),XLOOKUP(S$1,Metadata!$A$2:$A1000,Metadata!$B$2:$B1000))),S$1,"""")"),"")</f>
        <v/>
      </c>
      <c r="T23" s="33" t="str">
        <f>IFERROR(__xludf.DUMMYFUNCTION("IF(IF(T$1="""","""",REGEXMATCH(LOWER($E23),XLOOKUP(T$1,Metadata!$A$2:$A1000,Metadata!$B$2:$B1000))),T$1,"""")"),"")</f>
        <v/>
      </c>
      <c r="U23" s="33" t="str">
        <f>IFERROR(__xludf.DUMMYFUNCTION("IF(IF(U$1="""","""",REGEXMATCH(LOWER($E23),XLOOKUP(U$1,Metadata!$A$2:$A1000,Metadata!$B$2:$B1000))),U$1,"""")"),"")</f>
        <v/>
      </c>
      <c r="V23" s="33" t="str">
        <f>IFERROR(__xludf.DUMMYFUNCTION("IF(IF(V$1="""","""",REGEXMATCH(LOWER($E23),XLOOKUP(V$1,Metadata!$A$2:$A1000,Metadata!$B$2:$B1000))),V$1,"""")"),"")</f>
        <v/>
      </c>
      <c r="W23" s="33" t="str">
        <f>IFERROR(__xludf.DUMMYFUNCTION("IF(IF(W$1="""","""",REGEXMATCH(LOWER($E23),XLOOKUP(W$1,Metadata!$A$2:$A1000,Metadata!$B$2:$B1000))),W$1,"""")"),"")</f>
        <v/>
      </c>
      <c r="X23" s="33" t="str">
        <f>IFERROR(__xludf.DUMMYFUNCTION("IF(IF(X$1="""","""",REGEXMATCH(LOWER($E23),XLOOKUP(X$1,Metadata!$A$2:$A1000,Metadata!$B$2:$B1000))),X$1,"""")"),"")</f>
        <v/>
      </c>
      <c r="Y23" s="33" t="str">
        <f>IFERROR(__xludf.DUMMYFUNCTION("IF(IF(Y$1="""","""",REGEXMATCH(LOWER($E23),XLOOKUP(Y$1,Metadata!$A$2:$A1000,Metadata!$B$2:$B1000))),Y$1,"""")"),"")</f>
        <v/>
      </c>
      <c r="Z23" s="33" t="str">
        <f>IFERROR(__xludf.DUMMYFUNCTION("IF(IF(Z$1="""","""",REGEXMATCH(LOWER($E23),XLOOKUP(Z$1,Metadata!$A$2:$A1000,Metadata!$B$2:$B1000))),Z$1,"""")"),"")</f>
        <v/>
      </c>
      <c r="AA23" s="33" t="str">
        <f>IFERROR(__xludf.DUMMYFUNCTION("IF(AA$1="""","""",REGEXMATCH(LOWER($E23),XLOOKUP(AA$1,Metadata!$A$2:$A1000,Metadata!$B$2:$B1000)))"),"")</f>
        <v/>
      </c>
    </row>
    <row r="24">
      <c r="A24" s="33" t="str">
        <f>IFERROR(__xludf.DUMMYFUNCTION("""COMPUTED_VALUE"""),"Maze Master Sphinx")</f>
        <v>Maze Master Sphinx</v>
      </c>
      <c r="B24" s="33" t="str">
        <f t="array" ref="B24:I24">XLOOKUP($A24,Cards!$A$2:$A1000,Cards!$B$2:$I1000,"")</f>
        <v>Divine</v>
      </c>
      <c r="C24" s="33">
        <v>1.0</v>
      </c>
      <c r="D24" s="33" t="s">
        <v>70</v>
      </c>
      <c r="E24" s="33" t="s">
        <v>149</v>
      </c>
      <c r="F24" s="33" t="s">
        <v>150</v>
      </c>
      <c r="G24" s="33">
        <v>3.0</v>
      </c>
      <c r="H24" s="33" t="s">
        <v>137</v>
      </c>
      <c r="I24" s="33" t="s">
        <v>62</v>
      </c>
      <c r="J24" s="33">
        <f>IFERROR(__xludf.DUMMYFUNCTION("LEN(REGEXREPLACE(XLOOKUP($A24,Cards!$A$2:$A1000,Cards!$H$2:$H1000,""""),"",\s"",""""))"),4.0)</f>
        <v>4</v>
      </c>
      <c r="K24" s="33" t="str">
        <f t="shared" si="1"/>
        <v>      Ramp         </v>
      </c>
      <c r="L24" s="33" t="str">
        <f>IFERROR(__xludf.DUMMYFUNCTION("IF(IF(L$1="""","""",REGEXMATCH(LOWER($E24),XLOOKUP(L$1,Metadata!$A$2:$A1000,Metadata!$B$2:$B1000))),L$1,"""")"),"")</f>
        <v/>
      </c>
      <c r="M24" s="33" t="str">
        <f>IFERROR(__xludf.DUMMYFUNCTION("IF(IF(M$1="""","""",REGEXMATCH(LOWER($E24),XLOOKUP(M$1,Metadata!$A$2:$A1000,Metadata!$B$2:$B1000))),M$1,"""")"),"")</f>
        <v/>
      </c>
      <c r="N24" s="33" t="str">
        <f>IFERROR(__xludf.DUMMYFUNCTION("IF(IF(N$1="""","""",REGEXMATCH(LOWER($E24),XLOOKUP(N$1,Metadata!$A$2:$A1000,Metadata!$B$2:$B1000))),N$1,"""")"),"")</f>
        <v/>
      </c>
      <c r="O24" s="33" t="str">
        <f>IFERROR(__xludf.DUMMYFUNCTION("IF(IF(O$1="""","""",REGEXMATCH(LOWER($E24),XLOOKUP(O$1,Metadata!$A$2:$A1000,Metadata!$B$2:$B1000))),O$1,"""")"),"")</f>
        <v/>
      </c>
      <c r="P24" s="33" t="str">
        <f>IFERROR(__xludf.DUMMYFUNCTION("IF(IF(P$1="""","""",REGEXMATCH(LOWER($E24),XLOOKUP(P$1,Metadata!$A$2:$A1000,Metadata!$B$2:$B1000))),P$1,"""")"),"")</f>
        <v/>
      </c>
      <c r="Q24" s="33" t="str">
        <f>IFERROR(__xludf.DUMMYFUNCTION("IF(IF(Q$1="""","""",REGEXMATCH(LOWER($E24),XLOOKUP(Q$1,Metadata!$A$2:$A1000,Metadata!$B$2:$B1000))),Q$1,"""")"),"")</f>
        <v/>
      </c>
      <c r="R24" s="33" t="str">
        <f>IFERROR(__xludf.DUMMYFUNCTION("IF(IF(R$1="""","""",REGEXMATCH(LOWER($E24),XLOOKUP(R$1,Metadata!$A$2:$A1000,Metadata!$B$2:$B1000))),R$1,"""")"),"Ramp")</f>
        <v>Ramp</v>
      </c>
      <c r="S24" s="33" t="str">
        <f>IFERROR(__xludf.DUMMYFUNCTION("IF(IF(S$1="""","""",REGEXMATCH(LOWER($E24),XLOOKUP(S$1,Metadata!$A$2:$A1000,Metadata!$B$2:$B1000))),S$1,"""")"),"")</f>
        <v/>
      </c>
      <c r="T24" s="33" t="str">
        <f>IFERROR(__xludf.DUMMYFUNCTION("IF(IF(T$1="""","""",REGEXMATCH(LOWER($E24),XLOOKUP(T$1,Metadata!$A$2:$A1000,Metadata!$B$2:$B1000))),T$1,"""")"),"")</f>
        <v/>
      </c>
      <c r="U24" s="33" t="str">
        <f>IFERROR(__xludf.DUMMYFUNCTION("IF(IF(U$1="""","""",REGEXMATCH(LOWER($E24),XLOOKUP(U$1,Metadata!$A$2:$A1000,Metadata!$B$2:$B1000))),U$1,"""")"),"")</f>
        <v/>
      </c>
      <c r="V24" s="33" t="str">
        <f>IFERROR(__xludf.DUMMYFUNCTION("IF(IF(V$1="""","""",REGEXMATCH(LOWER($E24),XLOOKUP(V$1,Metadata!$A$2:$A1000,Metadata!$B$2:$B1000))),V$1,"""")"),"")</f>
        <v/>
      </c>
      <c r="W24" s="33" t="str">
        <f>IFERROR(__xludf.DUMMYFUNCTION("IF(IF(W$1="""","""",REGEXMATCH(LOWER($E24),XLOOKUP(W$1,Metadata!$A$2:$A1000,Metadata!$B$2:$B1000))),W$1,"""")"),"")</f>
        <v/>
      </c>
      <c r="X24" s="33" t="str">
        <f>IFERROR(__xludf.DUMMYFUNCTION("IF(IF(X$1="""","""",REGEXMATCH(LOWER($E24),XLOOKUP(X$1,Metadata!$A$2:$A1000,Metadata!$B$2:$B1000))),X$1,"""")"),"")</f>
        <v/>
      </c>
      <c r="Y24" s="33" t="str">
        <f>IFERROR(__xludf.DUMMYFUNCTION("IF(IF(Y$1="""","""",REGEXMATCH(LOWER($E24),XLOOKUP(Y$1,Metadata!$A$2:$A1000,Metadata!$B$2:$B1000))),Y$1,"""")"),"")</f>
        <v/>
      </c>
      <c r="Z24" s="33" t="str">
        <f>IFERROR(__xludf.DUMMYFUNCTION("IF(IF(Z$1="""","""",REGEXMATCH(LOWER($E24),XLOOKUP(Z$1,Metadata!$A$2:$A1000,Metadata!$B$2:$B1000))),Z$1,"""")"),"")</f>
        <v/>
      </c>
      <c r="AA24" s="33" t="str">
        <f>IFERROR(__xludf.DUMMYFUNCTION("IF(AA$1="""","""",REGEXMATCH(LOWER($E24),XLOOKUP(AA$1,Metadata!$A$2:$A1000,Metadata!$B$2:$B1000)))"),"")</f>
        <v/>
      </c>
    </row>
    <row r="25">
      <c r="A25" s="33" t="str">
        <f>IFERROR(__xludf.DUMMYFUNCTION("""COMPUTED_VALUE"""),"Ivoryscar Cursewing")</f>
        <v>Ivoryscar Cursewing</v>
      </c>
      <c r="B25" s="33" t="str">
        <f t="array" ref="B25:I25">XLOOKUP($A25,Cards!$A$2:$A1000,Cards!$B$2:$I1000,"")</f>
        <v>Divine</v>
      </c>
      <c r="C25" s="33">
        <v>2.0</v>
      </c>
      <c r="D25" s="33" t="s">
        <v>28</v>
      </c>
      <c r="E25" s="33" t="s">
        <v>154</v>
      </c>
      <c r="F25" s="33" t="s">
        <v>155</v>
      </c>
      <c r="G25" s="33">
        <v>4.0</v>
      </c>
      <c r="H25" s="33" t="s">
        <v>85</v>
      </c>
      <c r="I25" s="33" t="s">
        <v>62</v>
      </c>
      <c r="J25" s="33">
        <f>IFERROR(__xludf.DUMMYFUNCTION("LEN(REGEXREPLACE(XLOOKUP($A25,Cards!$A$2:$A1000,Cards!$H$2:$H1000,""""),"",\s"",""""))"),3.0)</f>
        <v>3</v>
      </c>
      <c r="K25" s="33" t="str">
        <f t="shared" si="1"/>
        <v>      Ramp         </v>
      </c>
      <c r="L25" s="33" t="str">
        <f>IFERROR(__xludf.DUMMYFUNCTION("IF(IF(L$1="""","""",REGEXMATCH(LOWER($E25),XLOOKUP(L$1,Metadata!$A$2:$A1000,Metadata!$B$2:$B1000))),L$1,"""")"),"")</f>
        <v/>
      </c>
      <c r="M25" s="33" t="str">
        <f>IFERROR(__xludf.DUMMYFUNCTION("IF(IF(M$1="""","""",REGEXMATCH(LOWER($E25),XLOOKUP(M$1,Metadata!$A$2:$A1000,Metadata!$B$2:$B1000))),M$1,"""")"),"")</f>
        <v/>
      </c>
      <c r="N25" s="33" t="str">
        <f>IFERROR(__xludf.DUMMYFUNCTION("IF(IF(N$1="""","""",REGEXMATCH(LOWER($E25),XLOOKUP(N$1,Metadata!$A$2:$A1000,Metadata!$B$2:$B1000))),N$1,"""")"),"")</f>
        <v/>
      </c>
      <c r="O25" s="33" t="str">
        <f>IFERROR(__xludf.DUMMYFUNCTION("IF(IF(O$1="""","""",REGEXMATCH(LOWER($E25),XLOOKUP(O$1,Metadata!$A$2:$A1000,Metadata!$B$2:$B1000))),O$1,"""")"),"")</f>
        <v/>
      </c>
      <c r="P25" s="33" t="str">
        <f>IFERROR(__xludf.DUMMYFUNCTION("IF(IF(P$1="""","""",REGEXMATCH(LOWER($E25),XLOOKUP(P$1,Metadata!$A$2:$A1000,Metadata!$B$2:$B1000))),P$1,"""")"),"")</f>
        <v/>
      </c>
      <c r="Q25" s="33" t="str">
        <f>IFERROR(__xludf.DUMMYFUNCTION("IF(IF(Q$1="""","""",REGEXMATCH(LOWER($E25),XLOOKUP(Q$1,Metadata!$A$2:$A1000,Metadata!$B$2:$B1000))),Q$1,"""")"),"")</f>
        <v/>
      </c>
      <c r="R25" s="33" t="str">
        <f>IFERROR(__xludf.DUMMYFUNCTION("IF(IF(R$1="""","""",REGEXMATCH(LOWER($E25),XLOOKUP(R$1,Metadata!$A$2:$A1000,Metadata!$B$2:$B1000))),R$1,"""")"),"Ramp")</f>
        <v>Ramp</v>
      </c>
      <c r="S25" s="33" t="str">
        <f>IFERROR(__xludf.DUMMYFUNCTION("IF(IF(S$1="""","""",REGEXMATCH(LOWER($E25),XLOOKUP(S$1,Metadata!$A$2:$A1000,Metadata!$B$2:$B1000))),S$1,"""")"),"")</f>
        <v/>
      </c>
      <c r="T25" s="33" t="str">
        <f>IFERROR(__xludf.DUMMYFUNCTION("IF(IF(T$1="""","""",REGEXMATCH(LOWER($E25),XLOOKUP(T$1,Metadata!$A$2:$A1000,Metadata!$B$2:$B1000))),T$1,"""")"),"")</f>
        <v/>
      </c>
      <c r="U25" s="33" t="str">
        <f>IFERROR(__xludf.DUMMYFUNCTION("IF(IF(U$1="""","""",REGEXMATCH(LOWER($E25),XLOOKUP(U$1,Metadata!$A$2:$A1000,Metadata!$B$2:$B1000))),U$1,"""")"),"")</f>
        <v/>
      </c>
      <c r="V25" s="33" t="str">
        <f>IFERROR(__xludf.DUMMYFUNCTION("IF(IF(V$1="""","""",REGEXMATCH(LOWER($E25),XLOOKUP(V$1,Metadata!$A$2:$A1000,Metadata!$B$2:$B1000))),V$1,"""")"),"")</f>
        <v/>
      </c>
      <c r="W25" s="33" t="str">
        <f>IFERROR(__xludf.DUMMYFUNCTION("IF(IF(W$1="""","""",REGEXMATCH(LOWER($E25),XLOOKUP(W$1,Metadata!$A$2:$A1000,Metadata!$B$2:$B1000))),W$1,"""")"),"")</f>
        <v/>
      </c>
      <c r="X25" s="33" t="str">
        <f>IFERROR(__xludf.DUMMYFUNCTION("IF(IF(X$1="""","""",REGEXMATCH(LOWER($E25),XLOOKUP(X$1,Metadata!$A$2:$A1000,Metadata!$B$2:$B1000))),X$1,"""")"),"")</f>
        <v/>
      </c>
      <c r="Y25" s="33" t="str">
        <f>IFERROR(__xludf.DUMMYFUNCTION("IF(IF(Y$1="""","""",REGEXMATCH(LOWER($E25),XLOOKUP(Y$1,Metadata!$A$2:$A1000,Metadata!$B$2:$B1000))),Y$1,"""")"),"")</f>
        <v/>
      </c>
      <c r="Z25" s="33" t="str">
        <f>IFERROR(__xludf.DUMMYFUNCTION("IF(IF(Z$1="""","""",REGEXMATCH(LOWER($E25),XLOOKUP(Z$1,Metadata!$A$2:$A1000,Metadata!$B$2:$B1000))),Z$1,"""")"),"")</f>
        <v/>
      </c>
      <c r="AA25" s="33" t="str">
        <f>IFERROR(__xludf.DUMMYFUNCTION("IF(AA$1="""","""",REGEXMATCH(LOWER($E25),XLOOKUP(AA$1,Metadata!$A$2:$A1000,Metadata!$B$2:$B1000)))"),"")</f>
        <v/>
      </c>
    </row>
    <row r="26">
      <c r="A26" s="33" t="str">
        <f>IFERROR(__xludf.DUMMYFUNCTION("""COMPUTED_VALUE"""),"Ivoryscar Magistrate")</f>
        <v>Ivoryscar Magistrate</v>
      </c>
      <c r="B26" s="33" t="str">
        <f t="array" ref="B26:I26">XLOOKUP($A26,Cards!$A$2:$A1000,Cards!$B$2:$I1000,"")</f>
        <v>Divine</v>
      </c>
      <c r="C26" s="33">
        <v>2.0</v>
      </c>
      <c r="D26" s="33" t="s">
        <v>40</v>
      </c>
      <c r="E26" s="33" t="s">
        <v>157</v>
      </c>
      <c r="F26" s="33" t="s">
        <v>158</v>
      </c>
      <c r="G26" s="33">
        <v>2.0</v>
      </c>
      <c r="H26" s="33" t="s">
        <v>49</v>
      </c>
      <c r="I26" s="33" t="s">
        <v>62</v>
      </c>
      <c r="J26" s="33">
        <f>IFERROR(__xludf.DUMMYFUNCTION("LEN(REGEXREPLACE(XLOOKUP($A26,Cards!$A$2:$A1000,Cards!$H$2:$H1000,""""),"",\s"",""""))"),3.0)</f>
        <v>3</v>
      </c>
      <c r="K26" s="33" t="str">
        <f t="shared" si="1"/>
        <v>       Control     Ambush   </v>
      </c>
      <c r="L26" s="33" t="str">
        <f>IFERROR(__xludf.DUMMYFUNCTION("IF(IF(L$1="""","""",REGEXMATCH(LOWER($E26),XLOOKUP(L$1,Metadata!$A$2:$A1000,Metadata!$B$2:$B1000))),L$1,"""")"),"")</f>
        <v/>
      </c>
      <c r="M26" s="33" t="str">
        <f>IFERROR(__xludf.DUMMYFUNCTION("IF(IF(M$1="""","""",REGEXMATCH(LOWER($E26),XLOOKUP(M$1,Metadata!$A$2:$A1000,Metadata!$B$2:$B1000))),M$1,"""")"),"")</f>
        <v/>
      </c>
      <c r="N26" s="33" t="str">
        <f>IFERROR(__xludf.DUMMYFUNCTION("IF(IF(N$1="""","""",REGEXMATCH(LOWER($E26),XLOOKUP(N$1,Metadata!$A$2:$A1000,Metadata!$B$2:$B1000))),N$1,"""")"),"")</f>
        <v/>
      </c>
      <c r="O26" s="33" t="str">
        <f>IFERROR(__xludf.DUMMYFUNCTION("IF(IF(O$1="""","""",REGEXMATCH(LOWER($E26),XLOOKUP(O$1,Metadata!$A$2:$A1000,Metadata!$B$2:$B1000))),O$1,"""")"),"")</f>
        <v/>
      </c>
      <c r="P26" s="33" t="str">
        <f>IFERROR(__xludf.DUMMYFUNCTION("IF(IF(P$1="""","""",REGEXMATCH(LOWER($E26),XLOOKUP(P$1,Metadata!$A$2:$A1000,Metadata!$B$2:$B1000))),P$1,"""")"),"")</f>
        <v/>
      </c>
      <c r="Q26" s="33" t="str">
        <f>IFERROR(__xludf.DUMMYFUNCTION("IF(IF(Q$1="""","""",REGEXMATCH(LOWER($E26),XLOOKUP(Q$1,Metadata!$A$2:$A1000,Metadata!$B$2:$B1000))),Q$1,"""")"),"")</f>
        <v/>
      </c>
      <c r="R26" s="33" t="str">
        <f>IFERROR(__xludf.DUMMYFUNCTION("IF(IF(R$1="""","""",REGEXMATCH(LOWER($E26),XLOOKUP(R$1,Metadata!$A$2:$A1000,Metadata!$B$2:$B1000))),R$1,"""")"),"")</f>
        <v/>
      </c>
      <c r="S26" s="33" t="str">
        <f>IFERROR(__xludf.DUMMYFUNCTION("IF(IF(S$1="""","""",REGEXMATCH(LOWER($E26),XLOOKUP(S$1,Metadata!$A$2:$A1000,Metadata!$B$2:$B1000))),S$1,"""")"),"Control")</f>
        <v>Control</v>
      </c>
      <c r="T26" s="33" t="str">
        <f>IFERROR(__xludf.DUMMYFUNCTION("IF(IF(T$1="""","""",REGEXMATCH(LOWER($E26),XLOOKUP(T$1,Metadata!$A$2:$A1000,Metadata!$B$2:$B1000))),T$1,"""")"),"")</f>
        <v/>
      </c>
      <c r="U26" s="33" t="str">
        <f>IFERROR(__xludf.DUMMYFUNCTION("IF(IF(U$1="""","""",REGEXMATCH(LOWER($E26),XLOOKUP(U$1,Metadata!$A$2:$A1000,Metadata!$B$2:$B1000))),U$1,"""")"),"")</f>
        <v/>
      </c>
      <c r="V26" s="33" t="str">
        <f>IFERROR(__xludf.DUMMYFUNCTION("IF(IF(V$1="""","""",REGEXMATCH(LOWER($E26),XLOOKUP(V$1,Metadata!$A$2:$A1000,Metadata!$B$2:$B1000))),V$1,"""")"),"")</f>
        <v/>
      </c>
      <c r="W26" s="33" t="str">
        <f>IFERROR(__xludf.DUMMYFUNCTION("IF(IF(W$1="""","""",REGEXMATCH(LOWER($E26),XLOOKUP(W$1,Metadata!$A$2:$A1000,Metadata!$B$2:$B1000))),W$1,"""")"),"")</f>
        <v/>
      </c>
      <c r="X26" s="33" t="str">
        <f>IFERROR(__xludf.DUMMYFUNCTION("IF(IF(X$1="""","""",REGEXMATCH(LOWER($E26),XLOOKUP(X$1,Metadata!$A$2:$A1000,Metadata!$B$2:$B1000))),X$1,"""")"),"Ambush")</f>
        <v>Ambush</v>
      </c>
      <c r="Y26" s="33" t="str">
        <f>IFERROR(__xludf.DUMMYFUNCTION("IF(IF(Y$1="""","""",REGEXMATCH(LOWER($E26),XLOOKUP(Y$1,Metadata!$A$2:$A1000,Metadata!$B$2:$B1000))),Y$1,"""")"),"")</f>
        <v/>
      </c>
      <c r="Z26" s="33" t="str">
        <f>IFERROR(__xludf.DUMMYFUNCTION("IF(IF(Z$1="""","""",REGEXMATCH(LOWER($E26),XLOOKUP(Z$1,Metadata!$A$2:$A1000,Metadata!$B$2:$B1000))),Z$1,"""")"),"")</f>
        <v/>
      </c>
      <c r="AA26" s="33" t="str">
        <f>IFERROR(__xludf.DUMMYFUNCTION("IF(AA$1="""","""",REGEXMATCH(LOWER($E26),XLOOKUP(AA$1,Metadata!$A$2:$A1000,Metadata!$B$2:$B1000)))"),"")</f>
        <v/>
      </c>
    </row>
    <row r="27">
      <c r="A27" s="33" t="str">
        <f>IFERROR(__xludf.DUMMYFUNCTION("""COMPUTED_VALUE"""),"Kylix of Excess")</f>
        <v>Kylix of Excess</v>
      </c>
      <c r="B27" s="33" t="str">
        <f t="array" ref="B27:I27">XLOOKUP($A27,Cards!$A$2:$A1000,Cards!$B$2:$I1000,"")</f>
        <v>Divine</v>
      </c>
      <c r="C27" s="33">
        <v>2.0</v>
      </c>
      <c r="D27" s="33" t="s">
        <v>160</v>
      </c>
      <c r="E27" s="33" t="s">
        <v>161</v>
      </c>
      <c r="F27" s="33" t="s">
        <v>162</v>
      </c>
      <c r="G27" s="33">
        <v>0.0</v>
      </c>
      <c r="H27" s="33" t="s">
        <v>49</v>
      </c>
      <c r="I27" s="33" t="s">
        <v>62</v>
      </c>
      <c r="J27" s="33">
        <f>IFERROR(__xludf.DUMMYFUNCTION("LEN(REGEXREPLACE(XLOOKUP($A27,Cards!$A$2:$A1000,Cards!$H$2:$H1000,""""),"",\s"",""""))"),3.0)</f>
        <v>3</v>
      </c>
      <c r="K27" s="33" t="str">
        <f t="shared" si="1"/>
        <v>    Void  Ramp         </v>
      </c>
      <c r="L27" s="33" t="str">
        <f>IFERROR(__xludf.DUMMYFUNCTION("IF(IF(L$1="""","""",REGEXMATCH(LOWER($E27),XLOOKUP(L$1,Metadata!$A$2:$A1000,Metadata!$B$2:$B1000))),L$1,"""")"),"")</f>
        <v/>
      </c>
      <c r="M27" s="33" t="str">
        <f>IFERROR(__xludf.DUMMYFUNCTION("IF(IF(M$1="""","""",REGEXMATCH(LOWER($E27),XLOOKUP(M$1,Metadata!$A$2:$A1000,Metadata!$B$2:$B1000))),M$1,"""")"),"")</f>
        <v/>
      </c>
      <c r="N27" s="33" t="str">
        <f>IFERROR(__xludf.DUMMYFUNCTION("IF(IF(N$1="""","""",REGEXMATCH(LOWER($E27),XLOOKUP(N$1,Metadata!$A$2:$A1000,Metadata!$B$2:$B1000))),N$1,"""")"),"")</f>
        <v/>
      </c>
      <c r="O27" s="33" t="str">
        <f>IFERROR(__xludf.DUMMYFUNCTION("IF(IF(O$1="""","""",REGEXMATCH(LOWER($E27),XLOOKUP(O$1,Metadata!$A$2:$A1000,Metadata!$B$2:$B1000))),O$1,"""")"),"")</f>
        <v/>
      </c>
      <c r="P27" s="33" t="str">
        <f>IFERROR(__xludf.DUMMYFUNCTION("IF(IF(P$1="""","""",REGEXMATCH(LOWER($E27),XLOOKUP(P$1,Metadata!$A$2:$A1000,Metadata!$B$2:$B1000))),P$1,"""")"),"Void")</f>
        <v>Void</v>
      </c>
      <c r="Q27" s="33" t="str">
        <f>IFERROR(__xludf.DUMMYFUNCTION("IF(IF(Q$1="""","""",REGEXMATCH(LOWER($E27),XLOOKUP(Q$1,Metadata!$A$2:$A1000,Metadata!$B$2:$B1000))),Q$1,"""")"),"")</f>
        <v/>
      </c>
      <c r="R27" s="33" t="str">
        <f>IFERROR(__xludf.DUMMYFUNCTION("IF(IF(R$1="""","""",REGEXMATCH(LOWER($E27),XLOOKUP(R$1,Metadata!$A$2:$A1000,Metadata!$B$2:$B1000))),R$1,"""")"),"Ramp")</f>
        <v>Ramp</v>
      </c>
      <c r="S27" s="33" t="str">
        <f>IFERROR(__xludf.DUMMYFUNCTION("IF(IF(S$1="""","""",REGEXMATCH(LOWER($E27),XLOOKUP(S$1,Metadata!$A$2:$A1000,Metadata!$B$2:$B1000))),S$1,"""")"),"")</f>
        <v/>
      </c>
      <c r="T27" s="33" t="str">
        <f>IFERROR(__xludf.DUMMYFUNCTION("IF(IF(T$1="""","""",REGEXMATCH(LOWER($E27),XLOOKUP(T$1,Metadata!$A$2:$A1000,Metadata!$B$2:$B1000))),T$1,"""")"),"")</f>
        <v/>
      </c>
      <c r="U27" s="33" t="str">
        <f>IFERROR(__xludf.DUMMYFUNCTION("IF(IF(U$1="""","""",REGEXMATCH(LOWER($E27),XLOOKUP(U$1,Metadata!$A$2:$A1000,Metadata!$B$2:$B1000))),U$1,"""")"),"")</f>
        <v/>
      </c>
      <c r="V27" s="33" t="str">
        <f>IFERROR(__xludf.DUMMYFUNCTION("IF(IF(V$1="""","""",REGEXMATCH(LOWER($E27),XLOOKUP(V$1,Metadata!$A$2:$A1000,Metadata!$B$2:$B1000))),V$1,"""")"),"")</f>
        <v/>
      </c>
      <c r="W27" s="33" t="str">
        <f>IFERROR(__xludf.DUMMYFUNCTION("IF(IF(W$1="""","""",REGEXMATCH(LOWER($E27),XLOOKUP(W$1,Metadata!$A$2:$A1000,Metadata!$B$2:$B1000))),W$1,"""")"),"")</f>
        <v/>
      </c>
      <c r="X27" s="33" t="str">
        <f>IFERROR(__xludf.DUMMYFUNCTION("IF(IF(X$1="""","""",REGEXMATCH(LOWER($E27),XLOOKUP(X$1,Metadata!$A$2:$A1000,Metadata!$B$2:$B1000))),X$1,"""")"),"")</f>
        <v/>
      </c>
      <c r="Y27" s="33" t="str">
        <f>IFERROR(__xludf.DUMMYFUNCTION("IF(IF(Y$1="""","""",REGEXMATCH(LOWER($E27),XLOOKUP(Y$1,Metadata!$A$2:$A1000,Metadata!$B$2:$B1000))),Y$1,"""")"),"")</f>
        <v/>
      </c>
      <c r="Z27" s="33" t="str">
        <f>IFERROR(__xludf.DUMMYFUNCTION("IF(IF(Z$1="""","""",REGEXMATCH(LOWER($E27),XLOOKUP(Z$1,Metadata!$A$2:$A1000,Metadata!$B$2:$B1000))),Z$1,"""")"),"")</f>
        <v/>
      </c>
      <c r="AA27" s="33" t="str">
        <f>IFERROR(__xludf.DUMMYFUNCTION("IF(AA$1="""","""",REGEXMATCH(LOWER($E27),XLOOKUP(AA$1,Metadata!$A$2:$A1000,Metadata!$B$2:$B1000)))"),"")</f>
        <v/>
      </c>
    </row>
    <row r="28">
      <c r="A28" s="33" t="str">
        <f>IFERROR(__xludf.DUMMYFUNCTION("""COMPUTED_VALUE"""),"Mystic Puzzle Box")</f>
        <v>Mystic Puzzle Box</v>
      </c>
      <c r="B28" s="33" t="str">
        <f t="array" ref="B28:I28">XLOOKUP($A28,Cards!$A$2:$A1000,Cards!$B$2:$I1000,"")</f>
        <v>Divine</v>
      </c>
      <c r="C28" s="33">
        <v>1.0</v>
      </c>
      <c r="D28" s="33" t="s">
        <v>70</v>
      </c>
      <c r="E28" s="33" t="s">
        <v>164</v>
      </c>
      <c r="F28" s="33" t="s">
        <v>165</v>
      </c>
      <c r="G28" s="33">
        <v>6.0</v>
      </c>
      <c r="H28" s="33" t="s">
        <v>166</v>
      </c>
      <c r="I28" s="33" t="s">
        <v>62</v>
      </c>
      <c r="J28" s="33">
        <f>IFERROR(__xludf.DUMMYFUNCTION("LEN(REGEXREPLACE(XLOOKUP($A28,Cards!$A$2:$A1000,Cards!$H$2:$H1000,""""),"",\s"",""""))"),7.0)</f>
        <v>7</v>
      </c>
      <c r="K28" s="33" t="str">
        <f t="shared" si="1"/>
        <v>      Ramp         </v>
      </c>
      <c r="L28" s="33" t="str">
        <f>IFERROR(__xludf.DUMMYFUNCTION("IF(IF(L$1="""","""",REGEXMATCH(LOWER($E28),XLOOKUP(L$1,Metadata!$A$2:$A1000,Metadata!$B$2:$B1000))),L$1,"""")"),"")</f>
        <v/>
      </c>
      <c r="M28" s="33" t="str">
        <f>IFERROR(__xludf.DUMMYFUNCTION("IF(IF(M$1="""","""",REGEXMATCH(LOWER($E28),XLOOKUP(M$1,Metadata!$A$2:$A1000,Metadata!$B$2:$B1000))),M$1,"""")"),"")</f>
        <v/>
      </c>
      <c r="N28" s="33" t="str">
        <f>IFERROR(__xludf.DUMMYFUNCTION("IF(IF(N$1="""","""",REGEXMATCH(LOWER($E28),XLOOKUP(N$1,Metadata!$A$2:$A1000,Metadata!$B$2:$B1000))),N$1,"""")"),"")</f>
        <v/>
      </c>
      <c r="O28" s="33" t="str">
        <f>IFERROR(__xludf.DUMMYFUNCTION("IF(IF(O$1="""","""",REGEXMATCH(LOWER($E28),XLOOKUP(O$1,Metadata!$A$2:$A1000,Metadata!$B$2:$B1000))),O$1,"""")"),"")</f>
        <v/>
      </c>
      <c r="P28" s="33" t="str">
        <f>IFERROR(__xludf.DUMMYFUNCTION("IF(IF(P$1="""","""",REGEXMATCH(LOWER($E28),XLOOKUP(P$1,Metadata!$A$2:$A1000,Metadata!$B$2:$B1000))),P$1,"""")"),"")</f>
        <v/>
      </c>
      <c r="Q28" s="33" t="str">
        <f>IFERROR(__xludf.DUMMYFUNCTION("IF(IF(Q$1="""","""",REGEXMATCH(LOWER($E28),XLOOKUP(Q$1,Metadata!$A$2:$A1000,Metadata!$B$2:$B1000))),Q$1,"""")"),"")</f>
        <v/>
      </c>
      <c r="R28" s="33" t="str">
        <f>IFERROR(__xludf.DUMMYFUNCTION("IF(IF(R$1="""","""",REGEXMATCH(LOWER($E28),XLOOKUP(R$1,Metadata!$A$2:$A1000,Metadata!$B$2:$B1000))),R$1,"""")"),"Ramp")</f>
        <v>Ramp</v>
      </c>
      <c r="S28" s="33" t="str">
        <f>IFERROR(__xludf.DUMMYFUNCTION("IF(IF(S$1="""","""",REGEXMATCH(LOWER($E28),XLOOKUP(S$1,Metadata!$A$2:$A1000,Metadata!$B$2:$B1000))),S$1,"""")"),"")</f>
        <v/>
      </c>
      <c r="T28" s="33" t="str">
        <f>IFERROR(__xludf.DUMMYFUNCTION("IF(IF(T$1="""","""",REGEXMATCH(LOWER($E28),XLOOKUP(T$1,Metadata!$A$2:$A1000,Metadata!$B$2:$B1000))),T$1,"""")"),"")</f>
        <v/>
      </c>
      <c r="U28" s="33" t="str">
        <f>IFERROR(__xludf.DUMMYFUNCTION("IF(IF(U$1="""","""",REGEXMATCH(LOWER($E28),XLOOKUP(U$1,Metadata!$A$2:$A1000,Metadata!$B$2:$B1000))),U$1,"""")"),"")</f>
        <v/>
      </c>
      <c r="V28" s="33" t="str">
        <f>IFERROR(__xludf.DUMMYFUNCTION("IF(IF(V$1="""","""",REGEXMATCH(LOWER($E28),XLOOKUP(V$1,Metadata!$A$2:$A1000,Metadata!$B$2:$B1000))),V$1,"""")"),"")</f>
        <v/>
      </c>
      <c r="W28" s="33" t="str">
        <f>IFERROR(__xludf.DUMMYFUNCTION("IF(IF(W$1="""","""",REGEXMATCH(LOWER($E28),XLOOKUP(W$1,Metadata!$A$2:$A1000,Metadata!$B$2:$B1000))),W$1,"""")"),"")</f>
        <v/>
      </c>
      <c r="X28" s="33" t="str">
        <f>IFERROR(__xludf.DUMMYFUNCTION("IF(IF(X$1="""","""",REGEXMATCH(LOWER($E28),XLOOKUP(X$1,Metadata!$A$2:$A1000,Metadata!$B$2:$B1000))),X$1,"""")"),"")</f>
        <v/>
      </c>
      <c r="Y28" s="33" t="str">
        <f>IFERROR(__xludf.DUMMYFUNCTION("IF(IF(Y$1="""","""",REGEXMATCH(LOWER($E28),XLOOKUP(Y$1,Metadata!$A$2:$A1000,Metadata!$B$2:$B1000))),Y$1,"""")"),"")</f>
        <v/>
      </c>
      <c r="Z28" s="33" t="str">
        <f>IFERROR(__xludf.DUMMYFUNCTION("IF(IF(Z$1="""","""",REGEXMATCH(LOWER($E28),XLOOKUP(Z$1,Metadata!$A$2:$A1000,Metadata!$B$2:$B1000))),Z$1,"""")"),"")</f>
        <v/>
      </c>
      <c r="AA28" s="33" t="str">
        <f>IFERROR(__xludf.DUMMYFUNCTION("IF(AA$1="""","""",REGEXMATCH(LOWER($E28),XLOOKUP(AA$1,Metadata!$A$2:$A1000,Metadata!$B$2:$B1000)))"),"")</f>
        <v/>
      </c>
    </row>
    <row r="29">
      <c r="A29" s="33" t="str">
        <f>IFERROR(__xludf.DUMMYFUNCTION("""COMPUTED_VALUE"""),"Monolith of Meditation")</f>
        <v>Monolith of Meditation</v>
      </c>
      <c r="B29" s="33" t="str">
        <f t="array" ref="B29:I29">XLOOKUP($A29,Cards!$A$2:$A1000,Cards!$B$2:$I1000,"")</f>
        <v>Divine</v>
      </c>
      <c r="C29" s="33">
        <v>2.0</v>
      </c>
      <c r="D29" s="33" t="s">
        <v>46</v>
      </c>
      <c r="E29" s="33" t="s">
        <v>170</v>
      </c>
      <c r="F29" s="33" t="s">
        <v>171</v>
      </c>
      <c r="G29" s="33">
        <v>4.0</v>
      </c>
      <c r="H29" s="33" t="s">
        <v>172</v>
      </c>
      <c r="I29" s="33" t="s">
        <v>62</v>
      </c>
      <c r="J29" s="33">
        <f>IFERROR(__xludf.DUMMYFUNCTION("LEN(REGEXREPLACE(XLOOKUP($A29,Cards!$A$2:$A1000,Cards!$H$2:$H1000,""""),"",\s"",""""))"),6.0)</f>
        <v>6</v>
      </c>
      <c r="K29" s="33" t="str">
        <f t="shared" si="1"/>
        <v>         Aggro      </v>
      </c>
      <c r="L29" s="33" t="str">
        <f>IFERROR(__xludf.DUMMYFUNCTION("IF(IF(L$1="""","""",REGEXMATCH(LOWER($E29),XLOOKUP(L$1,Metadata!$A$2:$A1000,Metadata!$B$2:$B1000))),L$1,"""")"),"")</f>
        <v/>
      </c>
      <c r="M29" s="33" t="str">
        <f>IFERROR(__xludf.DUMMYFUNCTION("IF(IF(M$1="""","""",REGEXMATCH(LOWER($E29),XLOOKUP(M$1,Metadata!$A$2:$A1000,Metadata!$B$2:$B1000))),M$1,"""")"),"")</f>
        <v/>
      </c>
      <c r="N29" s="33" t="str">
        <f>IFERROR(__xludf.DUMMYFUNCTION("IF(IF(N$1="""","""",REGEXMATCH(LOWER($E29),XLOOKUP(N$1,Metadata!$A$2:$A1000,Metadata!$B$2:$B1000))),N$1,"""")"),"")</f>
        <v/>
      </c>
      <c r="O29" s="33" t="str">
        <f>IFERROR(__xludf.DUMMYFUNCTION("IF(IF(O$1="""","""",REGEXMATCH(LOWER($E29),XLOOKUP(O$1,Metadata!$A$2:$A1000,Metadata!$B$2:$B1000))),O$1,"""")"),"")</f>
        <v/>
      </c>
      <c r="P29" s="33" t="str">
        <f>IFERROR(__xludf.DUMMYFUNCTION("IF(IF(P$1="""","""",REGEXMATCH(LOWER($E29),XLOOKUP(P$1,Metadata!$A$2:$A1000,Metadata!$B$2:$B1000))),P$1,"""")"),"")</f>
        <v/>
      </c>
      <c r="Q29" s="33" t="str">
        <f>IFERROR(__xludf.DUMMYFUNCTION("IF(IF(Q$1="""","""",REGEXMATCH(LOWER($E29),XLOOKUP(Q$1,Metadata!$A$2:$A1000,Metadata!$B$2:$B1000))),Q$1,"""")"),"")</f>
        <v/>
      </c>
      <c r="R29" s="33" t="str">
        <f>IFERROR(__xludf.DUMMYFUNCTION("IF(IF(R$1="""","""",REGEXMATCH(LOWER($E29),XLOOKUP(R$1,Metadata!$A$2:$A1000,Metadata!$B$2:$B1000))),R$1,"""")"),"")</f>
        <v/>
      </c>
      <c r="S29" s="33" t="str">
        <f>IFERROR(__xludf.DUMMYFUNCTION("IF(IF(S$1="""","""",REGEXMATCH(LOWER($E29),XLOOKUP(S$1,Metadata!$A$2:$A1000,Metadata!$B$2:$B1000))),S$1,"""")"),"")</f>
        <v/>
      </c>
      <c r="T29" s="33" t="str">
        <f>IFERROR(__xludf.DUMMYFUNCTION("IF(IF(T$1="""","""",REGEXMATCH(LOWER($E29),XLOOKUP(T$1,Metadata!$A$2:$A1000,Metadata!$B$2:$B1000))),T$1,"""")"),"")</f>
        <v/>
      </c>
      <c r="U29" s="33" t="str">
        <f>IFERROR(__xludf.DUMMYFUNCTION("IF(IF(U$1="""","""",REGEXMATCH(LOWER($E29),XLOOKUP(U$1,Metadata!$A$2:$A1000,Metadata!$B$2:$B1000))),U$1,"""")"),"Aggro")</f>
        <v>Aggro</v>
      </c>
      <c r="V29" s="33" t="str">
        <f>IFERROR(__xludf.DUMMYFUNCTION("IF(IF(V$1="""","""",REGEXMATCH(LOWER($E29),XLOOKUP(V$1,Metadata!$A$2:$A1000,Metadata!$B$2:$B1000))),V$1,"""")"),"")</f>
        <v/>
      </c>
      <c r="W29" s="33" t="str">
        <f>IFERROR(__xludf.DUMMYFUNCTION("IF(IF(W$1="""","""",REGEXMATCH(LOWER($E29),XLOOKUP(W$1,Metadata!$A$2:$A1000,Metadata!$B$2:$B1000))),W$1,"""")"),"")</f>
        <v/>
      </c>
      <c r="X29" s="33" t="str">
        <f>IFERROR(__xludf.DUMMYFUNCTION("IF(IF(X$1="""","""",REGEXMATCH(LOWER($E29),XLOOKUP(X$1,Metadata!$A$2:$A1000,Metadata!$B$2:$B1000))),X$1,"""")"),"")</f>
        <v/>
      </c>
      <c r="Y29" s="33" t="str">
        <f>IFERROR(__xludf.DUMMYFUNCTION("IF(IF(Y$1="""","""",REGEXMATCH(LOWER($E29),XLOOKUP(Y$1,Metadata!$A$2:$A1000,Metadata!$B$2:$B1000))),Y$1,"""")"),"")</f>
        <v/>
      </c>
      <c r="Z29" s="33" t="str">
        <f>IFERROR(__xludf.DUMMYFUNCTION("IF(IF(Z$1="""","""",REGEXMATCH(LOWER($E29),XLOOKUP(Z$1,Metadata!$A$2:$A1000,Metadata!$B$2:$B1000))),Z$1,"""")"),"")</f>
        <v/>
      </c>
      <c r="AA29" s="33" t="str">
        <f>IFERROR(__xludf.DUMMYFUNCTION("IF(AA$1="""","""",REGEXMATCH(LOWER($E29),XLOOKUP(AA$1,Metadata!$A$2:$A1000,Metadata!$B$2:$B1000)))"),"")</f>
        <v/>
      </c>
    </row>
    <row r="30">
      <c r="A30" s="33" t="str">
        <f>IFERROR(__xludf.DUMMYFUNCTION("""COMPUTED_VALUE"""),"Oasis Sprite")</f>
        <v>Oasis Sprite</v>
      </c>
      <c r="B30" s="33" t="str">
        <f t="array" ref="B30:I30">XLOOKUP($A30,Cards!$A$2:$A1000,Cards!$B$2:$I1000,"")</f>
        <v>Divine</v>
      </c>
      <c r="C30" s="33">
        <v>1.0</v>
      </c>
      <c r="D30" s="33" t="s">
        <v>174</v>
      </c>
      <c r="E30" s="33" t="s">
        <v>175</v>
      </c>
      <c r="F30" s="33" t="s">
        <v>176</v>
      </c>
      <c r="G30" s="33">
        <v>2.0</v>
      </c>
      <c r="H30" s="33" t="s">
        <v>137</v>
      </c>
      <c r="I30" s="33" t="s">
        <v>26</v>
      </c>
      <c r="J30" s="33">
        <f>IFERROR(__xludf.DUMMYFUNCTION("LEN(REGEXREPLACE(XLOOKUP($A30,Cards!$A$2:$A1000,Cards!$H$2:$H1000,""""),"",\s"",""""))"),4.0)</f>
        <v>4</v>
      </c>
      <c r="K30" s="33" t="str">
        <f t="shared" si="1"/>
        <v>      Ramp         </v>
      </c>
      <c r="L30" s="33" t="str">
        <f>IFERROR(__xludf.DUMMYFUNCTION("IF(IF(L$1="""","""",REGEXMATCH(LOWER($E30),XLOOKUP(L$1,Metadata!$A$2:$A1000,Metadata!$B$2:$B1000))),L$1,"""")"),"")</f>
        <v/>
      </c>
      <c r="M30" s="33" t="str">
        <f>IFERROR(__xludf.DUMMYFUNCTION("IF(IF(M$1="""","""",REGEXMATCH(LOWER($E30),XLOOKUP(M$1,Metadata!$A$2:$A1000,Metadata!$B$2:$B1000))),M$1,"""")"),"")</f>
        <v/>
      </c>
      <c r="N30" s="33" t="str">
        <f>IFERROR(__xludf.DUMMYFUNCTION("IF(IF(N$1="""","""",REGEXMATCH(LOWER($E30),XLOOKUP(N$1,Metadata!$A$2:$A1000,Metadata!$B$2:$B1000))),N$1,"""")"),"")</f>
        <v/>
      </c>
      <c r="O30" s="33" t="str">
        <f>IFERROR(__xludf.DUMMYFUNCTION("IF(IF(O$1="""","""",REGEXMATCH(LOWER($E30),XLOOKUP(O$1,Metadata!$A$2:$A1000,Metadata!$B$2:$B1000))),O$1,"""")"),"")</f>
        <v/>
      </c>
      <c r="P30" s="33" t="str">
        <f>IFERROR(__xludf.DUMMYFUNCTION("IF(IF(P$1="""","""",REGEXMATCH(LOWER($E30),XLOOKUP(P$1,Metadata!$A$2:$A1000,Metadata!$B$2:$B1000))),P$1,"""")"),"")</f>
        <v/>
      </c>
      <c r="Q30" s="33" t="str">
        <f>IFERROR(__xludf.DUMMYFUNCTION("IF(IF(Q$1="""","""",REGEXMATCH(LOWER($E30),XLOOKUP(Q$1,Metadata!$A$2:$A1000,Metadata!$B$2:$B1000))),Q$1,"""")"),"")</f>
        <v/>
      </c>
      <c r="R30" s="33" t="str">
        <f>IFERROR(__xludf.DUMMYFUNCTION("IF(IF(R$1="""","""",REGEXMATCH(LOWER($E30),XLOOKUP(R$1,Metadata!$A$2:$A1000,Metadata!$B$2:$B1000))),R$1,"""")"),"Ramp")</f>
        <v>Ramp</v>
      </c>
      <c r="S30" s="33" t="str">
        <f>IFERROR(__xludf.DUMMYFUNCTION("IF(IF(S$1="""","""",REGEXMATCH(LOWER($E30),XLOOKUP(S$1,Metadata!$A$2:$A1000,Metadata!$B$2:$B1000))),S$1,"""")"),"")</f>
        <v/>
      </c>
      <c r="T30" s="33" t="str">
        <f>IFERROR(__xludf.DUMMYFUNCTION("IF(IF(T$1="""","""",REGEXMATCH(LOWER($E30),XLOOKUP(T$1,Metadata!$A$2:$A1000,Metadata!$B$2:$B1000))),T$1,"""")"),"")</f>
        <v/>
      </c>
      <c r="U30" s="33" t="str">
        <f>IFERROR(__xludf.DUMMYFUNCTION("IF(IF(U$1="""","""",REGEXMATCH(LOWER($E30),XLOOKUP(U$1,Metadata!$A$2:$A1000,Metadata!$B$2:$B1000))),U$1,"""")"),"")</f>
        <v/>
      </c>
      <c r="V30" s="33" t="str">
        <f>IFERROR(__xludf.DUMMYFUNCTION("IF(IF(V$1="""","""",REGEXMATCH(LOWER($E30),XLOOKUP(V$1,Metadata!$A$2:$A1000,Metadata!$B$2:$B1000))),V$1,"""")"),"")</f>
        <v/>
      </c>
      <c r="W30" s="33" t="str">
        <f>IFERROR(__xludf.DUMMYFUNCTION("IF(IF(W$1="""","""",REGEXMATCH(LOWER($E30),XLOOKUP(W$1,Metadata!$A$2:$A1000,Metadata!$B$2:$B1000))),W$1,"""")"),"")</f>
        <v/>
      </c>
      <c r="X30" s="33" t="str">
        <f>IFERROR(__xludf.DUMMYFUNCTION("IF(IF(X$1="""","""",REGEXMATCH(LOWER($E30),XLOOKUP(X$1,Metadata!$A$2:$A1000,Metadata!$B$2:$B1000))),X$1,"""")"),"")</f>
        <v/>
      </c>
      <c r="Y30" s="33" t="str">
        <f>IFERROR(__xludf.DUMMYFUNCTION("IF(IF(Y$1="""","""",REGEXMATCH(LOWER($E30),XLOOKUP(Y$1,Metadata!$A$2:$A1000,Metadata!$B$2:$B1000))),Y$1,"""")"),"")</f>
        <v/>
      </c>
      <c r="Z30" s="33" t="str">
        <f>IFERROR(__xludf.DUMMYFUNCTION("IF(IF(Z$1="""","""",REGEXMATCH(LOWER($E30),XLOOKUP(Z$1,Metadata!$A$2:$A1000,Metadata!$B$2:$B1000))),Z$1,"""")"),"")</f>
        <v/>
      </c>
      <c r="AA30" s="33" t="str">
        <f>IFERROR(__xludf.DUMMYFUNCTION("IF(AA$1="""","""",REGEXMATCH(LOWER($E30),XLOOKUP(AA$1,Metadata!$A$2:$A1000,Metadata!$B$2:$B1000)))"),"")</f>
        <v/>
      </c>
    </row>
    <row r="31">
      <c r="A31" s="33" t="str">
        <f>IFERROR(__xludf.DUMMYFUNCTION("""COMPUTED_VALUE"""),"Pharaoh's Bodyguard")</f>
        <v>Pharaoh's Bodyguard</v>
      </c>
      <c r="B31" s="33" t="str">
        <f t="array" ref="B31:I31">XLOOKUP($A31,Cards!$A$2:$A1000,Cards!$B$2:$I1000,"")</f>
        <v>Divine</v>
      </c>
      <c r="C31" s="33">
        <v>1.0</v>
      </c>
      <c r="D31" s="33" t="s">
        <v>180</v>
      </c>
      <c r="E31" s="33" t="s">
        <v>181</v>
      </c>
      <c r="F31" s="33" t="s">
        <v>182</v>
      </c>
      <c r="G31" s="33">
        <v>2.0</v>
      </c>
      <c r="H31" s="33" t="s">
        <v>25</v>
      </c>
      <c r="I31" s="33" t="s">
        <v>26</v>
      </c>
      <c r="J31" s="33">
        <f>IFERROR(__xludf.DUMMYFUNCTION("LEN(REGEXREPLACE(XLOOKUP($A31,Cards!$A$2:$A1000,Cards!$H$2:$H1000,""""),"",\s"",""""))"),1.0)</f>
        <v>1</v>
      </c>
      <c r="K31" s="33" t="str">
        <f t="shared" si="1"/>
        <v>Divine               </v>
      </c>
      <c r="L31" s="33" t="str">
        <f>IFERROR(__xludf.DUMMYFUNCTION("IF(IF(L$1="""","""",REGEXMATCH(LOWER($E31),XLOOKUP(L$1,Metadata!$A$2:$A1000,Metadata!$B$2:$B1000))),L$1,"""")"),"Divine")</f>
        <v>Divine</v>
      </c>
      <c r="M31" s="33" t="str">
        <f>IFERROR(__xludf.DUMMYFUNCTION("IF(IF(M$1="""","""",REGEXMATCH(LOWER($E31),XLOOKUP(M$1,Metadata!$A$2:$A1000,Metadata!$B$2:$B1000))),M$1,"""")"),"")</f>
        <v/>
      </c>
      <c r="N31" s="33" t="str">
        <f>IFERROR(__xludf.DUMMYFUNCTION("IF(IF(N$1="""","""",REGEXMATCH(LOWER($E31),XLOOKUP(N$1,Metadata!$A$2:$A1000,Metadata!$B$2:$B1000))),N$1,"""")"),"")</f>
        <v/>
      </c>
      <c r="O31" s="33" t="str">
        <f>IFERROR(__xludf.DUMMYFUNCTION("IF(IF(O$1="""","""",REGEXMATCH(LOWER($E31),XLOOKUP(O$1,Metadata!$A$2:$A1000,Metadata!$B$2:$B1000))),O$1,"""")"),"")</f>
        <v/>
      </c>
      <c r="P31" s="33" t="str">
        <f>IFERROR(__xludf.DUMMYFUNCTION("IF(IF(P$1="""","""",REGEXMATCH(LOWER($E31),XLOOKUP(P$1,Metadata!$A$2:$A1000,Metadata!$B$2:$B1000))),P$1,"""")"),"")</f>
        <v/>
      </c>
      <c r="Q31" s="33" t="str">
        <f>IFERROR(__xludf.DUMMYFUNCTION("IF(IF(Q$1="""","""",REGEXMATCH(LOWER($E31),XLOOKUP(Q$1,Metadata!$A$2:$A1000,Metadata!$B$2:$B1000))),Q$1,"""")"),"")</f>
        <v/>
      </c>
      <c r="R31" s="33" t="str">
        <f>IFERROR(__xludf.DUMMYFUNCTION("IF(IF(R$1="""","""",REGEXMATCH(LOWER($E31),XLOOKUP(R$1,Metadata!$A$2:$A1000,Metadata!$B$2:$B1000))),R$1,"""")"),"")</f>
        <v/>
      </c>
      <c r="S31" s="33" t="str">
        <f>IFERROR(__xludf.DUMMYFUNCTION("IF(IF(S$1="""","""",REGEXMATCH(LOWER($E31),XLOOKUP(S$1,Metadata!$A$2:$A1000,Metadata!$B$2:$B1000))),S$1,"""")"),"")</f>
        <v/>
      </c>
      <c r="T31" s="33" t="str">
        <f>IFERROR(__xludf.DUMMYFUNCTION("IF(IF(T$1="""","""",REGEXMATCH(LOWER($E31),XLOOKUP(T$1,Metadata!$A$2:$A1000,Metadata!$B$2:$B1000))),T$1,"""")"),"")</f>
        <v/>
      </c>
      <c r="U31" s="33" t="str">
        <f>IFERROR(__xludf.DUMMYFUNCTION("IF(IF(U$1="""","""",REGEXMATCH(LOWER($E31),XLOOKUP(U$1,Metadata!$A$2:$A1000,Metadata!$B$2:$B1000))),U$1,"""")"),"")</f>
        <v/>
      </c>
      <c r="V31" s="33" t="str">
        <f>IFERROR(__xludf.DUMMYFUNCTION("IF(IF(V$1="""","""",REGEXMATCH(LOWER($E31),XLOOKUP(V$1,Metadata!$A$2:$A1000,Metadata!$B$2:$B1000))),V$1,"""")"),"")</f>
        <v/>
      </c>
      <c r="W31" s="33" t="str">
        <f>IFERROR(__xludf.DUMMYFUNCTION("IF(IF(W$1="""","""",REGEXMATCH(LOWER($E31),XLOOKUP(W$1,Metadata!$A$2:$A1000,Metadata!$B$2:$B1000))),W$1,"""")"),"")</f>
        <v/>
      </c>
      <c r="X31" s="33" t="str">
        <f>IFERROR(__xludf.DUMMYFUNCTION("IF(IF(X$1="""","""",REGEXMATCH(LOWER($E31),XLOOKUP(X$1,Metadata!$A$2:$A1000,Metadata!$B$2:$B1000))),X$1,"""")"),"")</f>
        <v/>
      </c>
      <c r="Y31" s="33" t="str">
        <f>IFERROR(__xludf.DUMMYFUNCTION("IF(IF(Y$1="""","""",REGEXMATCH(LOWER($E31),XLOOKUP(Y$1,Metadata!$A$2:$A1000,Metadata!$B$2:$B1000))),Y$1,"""")"),"")</f>
        <v/>
      </c>
      <c r="Z31" s="33" t="str">
        <f>IFERROR(__xludf.DUMMYFUNCTION("IF(IF(Z$1="""","""",REGEXMATCH(LOWER($E31),XLOOKUP(Z$1,Metadata!$A$2:$A1000,Metadata!$B$2:$B1000))),Z$1,"""")"),"")</f>
        <v/>
      </c>
      <c r="AA31" s="33" t="str">
        <f>IFERROR(__xludf.DUMMYFUNCTION("IF(AA$1="""","""",REGEXMATCH(LOWER($E31),XLOOKUP(AA$1,Metadata!$A$2:$A1000,Metadata!$B$2:$B1000)))"),"")</f>
        <v/>
      </c>
    </row>
    <row r="32">
      <c r="A32" s="33" t="str">
        <f>IFERROR(__xludf.DUMMYFUNCTION("""COMPUTED_VALUE"""),"Scripture Monkey")</f>
        <v>Scripture Monkey</v>
      </c>
      <c r="B32" s="33" t="str">
        <f t="array" ref="B32:I32">XLOOKUP($A32,Cards!$A$2:$A1000,Cards!$B$2:$I1000,"")</f>
        <v>Divine</v>
      </c>
      <c r="C32" s="33">
        <v>1.0</v>
      </c>
      <c r="D32" s="33" t="s">
        <v>97</v>
      </c>
      <c r="E32" s="33" t="s">
        <v>186</v>
      </c>
      <c r="F32" s="33" t="s">
        <v>187</v>
      </c>
      <c r="G32" s="33">
        <v>0.0</v>
      </c>
      <c r="H32" s="33" t="s">
        <v>49</v>
      </c>
      <c r="I32" s="33" t="s">
        <v>32</v>
      </c>
      <c r="J32" s="33">
        <f>IFERROR(__xludf.DUMMYFUNCTION("LEN(REGEXREPLACE(XLOOKUP($A32,Cards!$A$2:$A1000,Cards!$H$2:$H1000,""""),"",\s"",""""))"),3.0)</f>
        <v>3</v>
      </c>
      <c r="K32" s="33" t="str">
        <f t="shared" si="1"/>
        <v>               </v>
      </c>
      <c r="L32" s="33" t="str">
        <f>IFERROR(__xludf.DUMMYFUNCTION("IF(IF(L$1="""","""",REGEXMATCH(LOWER($E32),XLOOKUP(L$1,Metadata!$A$2:$A1000,Metadata!$B$2:$B1000))),L$1,"""")"),"")</f>
        <v/>
      </c>
      <c r="M32" s="33" t="str">
        <f>IFERROR(__xludf.DUMMYFUNCTION("IF(IF(M$1="""","""",REGEXMATCH(LOWER($E32),XLOOKUP(M$1,Metadata!$A$2:$A1000,Metadata!$B$2:$B1000))),M$1,"""")"),"")</f>
        <v/>
      </c>
      <c r="N32" s="33" t="str">
        <f>IFERROR(__xludf.DUMMYFUNCTION("IF(IF(N$1="""","""",REGEXMATCH(LOWER($E32),XLOOKUP(N$1,Metadata!$A$2:$A1000,Metadata!$B$2:$B1000))),N$1,"""")"),"")</f>
        <v/>
      </c>
      <c r="O32" s="33" t="str">
        <f>IFERROR(__xludf.DUMMYFUNCTION("IF(IF(O$1="""","""",REGEXMATCH(LOWER($E32),XLOOKUP(O$1,Metadata!$A$2:$A1000,Metadata!$B$2:$B1000))),O$1,"""")"),"")</f>
        <v/>
      </c>
      <c r="P32" s="33" t="str">
        <f>IFERROR(__xludf.DUMMYFUNCTION("IF(IF(P$1="""","""",REGEXMATCH(LOWER($E32),XLOOKUP(P$1,Metadata!$A$2:$A1000,Metadata!$B$2:$B1000))),P$1,"""")"),"")</f>
        <v/>
      </c>
      <c r="Q32" s="33" t="str">
        <f>IFERROR(__xludf.DUMMYFUNCTION("IF(IF(Q$1="""","""",REGEXMATCH(LOWER($E32),XLOOKUP(Q$1,Metadata!$A$2:$A1000,Metadata!$B$2:$B1000))),Q$1,"""")"),"")</f>
        <v/>
      </c>
      <c r="R32" s="33" t="str">
        <f>IFERROR(__xludf.DUMMYFUNCTION("IF(IF(R$1="""","""",REGEXMATCH(LOWER($E32),XLOOKUP(R$1,Metadata!$A$2:$A1000,Metadata!$B$2:$B1000))),R$1,"""")"),"")</f>
        <v/>
      </c>
      <c r="S32" s="33" t="str">
        <f>IFERROR(__xludf.DUMMYFUNCTION("IF(IF(S$1="""","""",REGEXMATCH(LOWER($E32),XLOOKUP(S$1,Metadata!$A$2:$A1000,Metadata!$B$2:$B1000))),S$1,"""")"),"")</f>
        <v/>
      </c>
      <c r="T32" s="33" t="str">
        <f>IFERROR(__xludf.DUMMYFUNCTION("IF(IF(T$1="""","""",REGEXMATCH(LOWER($E32),XLOOKUP(T$1,Metadata!$A$2:$A1000,Metadata!$B$2:$B1000))),T$1,"""")"),"")</f>
        <v/>
      </c>
      <c r="U32" s="33" t="str">
        <f>IFERROR(__xludf.DUMMYFUNCTION("IF(IF(U$1="""","""",REGEXMATCH(LOWER($E32),XLOOKUP(U$1,Metadata!$A$2:$A1000,Metadata!$B$2:$B1000))),U$1,"""")"),"")</f>
        <v/>
      </c>
      <c r="V32" s="33" t="str">
        <f>IFERROR(__xludf.DUMMYFUNCTION("IF(IF(V$1="""","""",REGEXMATCH(LOWER($E32),XLOOKUP(V$1,Metadata!$A$2:$A1000,Metadata!$B$2:$B1000))),V$1,"""")"),"")</f>
        <v/>
      </c>
      <c r="W32" s="33" t="str">
        <f>IFERROR(__xludf.DUMMYFUNCTION("IF(IF(W$1="""","""",REGEXMATCH(LOWER($E32),XLOOKUP(W$1,Metadata!$A$2:$A1000,Metadata!$B$2:$B1000))),W$1,"""")"),"")</f>
        <v/>
      </c>
      <c r="X32" s="33" t="str">
        <f>IFERROR(__xludf.DUMMYFUNCTION("IF(IF(X$1="""","""",REGEXMATCH(LOWER($E32),XLOOKUP(X$1,Metadata!$A$2:$A1000,Metadata!$B$2:$B1000))),X$1,"""")"),"")</f>
        <v/>
      </c>
      <c r="Y32" s="33" t="str">
        <f>IFERROR(__xludf.DUMMYFUNCTION("IF(IF(Y$1="""","""",REGEXMATCH(LOWER($E32),XLOOKUP(Y$1,Metadata!$A$2:$A1000,Metadata!$B$2:$B1000))),Y$1,"""")"),"")</f>
        <v/>
      </c>
      <c r="Z32" s="33" t="str">
        <f>IFERROR(__xludf.DUMMYFUNCTION("IF(IF(Z$1="""","""",REGEXMATCH(LOWER($E32),XLOOKUP(Z$1,Metadata!$A$2:$A1000,Metadata!$B$2:$B1000))),Z$1,"""")"),"")</f>
        <v/>
      </c>
      <c r="AA32" s="33" t="str">
        <f>IFERROR(__xludf.DUMMYFUNCTION("IF(AA$1="""","""",REGEXMATCH(LOWER($E32),XLOOKUP(AA$1,Metadata!$A$2:$A1000,Metadata!$B$2:$B1000)))"),"")</f>
        <v/>
      </c>
    </row>
    <row r="33">
      <c r="A33" s="33" t="str">
        <f>IFERROR(__xludf.DUMMYFUNCTION("""COMPUTED_VALUE"""),"Pyramidion")</f>
        <v>Pyramidion</v>
      </c>
      <c r="B33" s="33" t="str">
        <f t="array" ref="B33:I33">XLOOKUP($A33,Cards!$A$2:$A1000,Cards!$B$2:$I1000,"")</f>
        <v>Divine</v>
      </c>
      <c r="C33" s="33">
        <v>2.0</v>
      </c>
      <c r="D33" s="33" t="s">
        <v>70</v>
      </c>
      <c r="E33" s="33" t="s">
        <v>191</v>
      </c>
      <c r="F33" s="33" t="s">
        <v>192</v>
      </c>
      <c r="G33" s="33">
        <v>1.0</v>
      </c>
      <c r="H33" s="33" t="s">
        <v>25</v>
      </c>
      <c r="I33" s="33" t="s">
        <v>62</v>
      </c>
      <c r="J33" s="33">
        <f>IFERROR(__xludf.DUMMYFUNCTION("LEN(REGEXREPLACE(XLOOKUP($A33,Cards!$A$2:$A1000,Cards!$H$2:$H1000,""""),"",\s"",""""))"),1.0)</f>
        <v>1</v>
      </c>
      <c r="K33" s="33" t="str">
        <f t="shared" si="1"/>
        <v>               </v>
      </c>
      <c r="L33" s="33" t="str">
        <f>IFERROR(__xludf.DUMMYFUNCTION("IF(IF(L$1="""","""",REGEXMATCH(LOWER($E33),XLOOKUP(L$1,Metadata!$A$2:$A1000,Metadata!$B$2:$B1000))),L$1,"""")"),"")</f>
        <v/>
      </c>
      <c r="M33" s="33" t="str">
        <f>IFERROR(__xludf.DUMMYFUNCTION("IF(IF(M$1="""","""",REGEXMATCH(LOWER($E33),XLOOKUP(M$1,Metadata!$A$2:$A1000,Metadata!$B$2:$B1000))),M$1,"""")"),"")</f>
        <v/>
      </c>
      <c r="N33" s="33" t="str">
        <f>IFERROR(__xludf.DUMMYFUNCTION("IF(IF(N$1="""","""",REGEXMATCH(LOWER($E33),XLOOKUP(N$1,Metadata!$A$2:$A1000,Metadata!$B$2:$B1000))),N$1,"""")"),"")</f>
        <v/>
      </c>
      <c r="O33" s="33" t="str">
        <f>IFERROR(__xludf.DUMMYFUNCTION("IF(IF(O$1="""","""",REGEXMATCH(LOWER($E33),XLOOKUP(O$1,Metadata!$A$2:$A1000,Metadata!$B$2:$B1000))),O$1,"""")"),"")</f>
        <v/>
      </c>
      <c r="P33" s="33" t="str">
        <f>IFERROR(__xludf.DUMMYFUNCTION("IF(IF(P$1="""","""",REGEXMATCH(LOWER($E33),XLOOKUP(P$1,Metadata!$A$2:$A1000,Metadata!$B$2:$B1000))),P$1,"""")"),"")</f>
        <v/>
      </c>
      <c r="Q33" s="33" t="str">
        <f>IFERROR(__xludf.DUMMYFUNCTION("IF(IF(Q$1="""","""",REGEXMATCH(LOWER($E33),XLOOKUP(Q$1,Metadata!$A$2:$A1000,Metadata!$B$2:$B1000))),Q$1,"""")"),"")</f>
        <v/>
      </c>
      <c r="R33" s="33" t="str">
        <f>IFERROR(__xludf.DUMMYFUNCTION("IF(IF(R$1="""","""",REGEXMATCH(LOWER($E33),XLOOKUP(R$1,Metadata!$A$2:$A1000,Metadata!$B$2:$B1000))),R$1,"""")"),"")</f>
        <v/>
      </c>
      <c r="S33" s="33" t="str">
        <f>IFERROR(__xludf.DUMMYFUNCTION("IF(IF(S$1="""","""",REGEXMATCH(LOWER($E33),XLOOKUP(S$1,Metadata!$A$2:$A1000,Metadata!$B$2:$B1000))),S$1,"""")"),"")</f>
        <v/>
      </c>
      <c r="T33" s="33" t="str">
        <f>IFERROR(__xludf.DUMMYFUNCTION("IF(IF(T$1="""","""",REGEXMATCH(LOWER($E33),XLOOKUP(T$1,Metadata!$A$2:$A1000,Metadata!$B$2:$B1000))),T$1,"""")"),"")</f>
        <v/>
      </c>
      <c r="U33" s="33" t="str">
        <f>IFERROR(__xludf.DUMMYFUNCTION("IF(IF(U$1="""","""",REGEXMATCH(LOWER($E33),XLOOKUP(U$1,Metadata!$A$2:$A1000,Metadata!$B$2:$B1000))),U$1,"""")"),"")</f>
        <v/>
      </c>
      <c r="V33" s="33" t="str">
        <f>IFERROR(__xludf.DUMMYFUNCTION("IF(IF(V$1="""","""",REGEXMATCH(LOWER($E33),XLOOKUP(V$1,Metadata!$A$2:$A1000,Metadata!$B$2:$B1000))),V$1,"""")"),"")</f>
        <v/>
      </c>
      <c r="W33" s="33" t="str">
        <f>IFERROR(__xludf.DUMMYFUNCTION("IF(IF(W$1="""","""",REGEXMATCH(LOWER($E33),XLOOKUP(W$1,Metadata!$A$2:$A1000,Metadata!$B$2:$B1000))),W$1,"""")"),"")</f>
        <v/>
      </c>
      <c r="X33" s="33" t="str">
        <f>IFERROR(__xludf.DUMMYFUNCTION("IF(IF(X$1="""","""",REGEXMATCH(LOWER($E33),XLOOKUP(X$1,Metadata!$A$2:$A1000,Metadata!$B$2:$B1000))),X$1,"""")"),"")</f>
        <v/>
      </c>
      <c r="Y33" s="33" t="str">
        <f>IFERROR(__xludf.DUMMYFUNCTION("IF(IF(Y$1="""","""",REGEXMATCH(LOWER($E33),XLOOKUP(Y$1,Metadata!$A$2:$A1000,Metadata!$B$2:$B1000))),Y$1,"""")"),"")</f>
        <v/>
      </c>
      <c r="Z33" s="33" t="str">
        <f>IFERROR(__xludf.DUMMYFUNCTION("IF(IF(Z$1="""","""",REGEXMATCH(LOWER($E33),XLOOKUP(Z$1,Metadata!$A$2:$A1000,Metadata!$B$2:$B1000))),Z$1,"""")"),"")</f>
        <v/>
      </c>
      <c r="AA33" s="33" t="str">
        <f>IFERROR(__xludf.DUMMYFUNCTION("IF(AA$1="""","""",REGEXMATCH(LOWER($E33),XLOOKUP(AA$1,Metadata!$A$2:$A1000,Metadata!$B$2:$B1000)))"),"")</f>
        <v/>
      </c>
    </row>
    <row r="34">
      <c r="A34" s="33" t="str">
        <f>IFERROR(__xludf.DUMMYFUNCTION("""COMPUTED_VALUE"""),"Sekhem Chariot")</f>
        <v>Sekhem Chariot</v>
      </c>
      <c r="B34" s="33" t="str">
        <f t="array" ref="B34:I34">XLOOKUP($A34,Cards!$A$2:$A1000,Cards!$B$2:$I1000,"")</f>
        <v>Divine</v>
      </c>
      <c r="C34" s="33">
        <v>1.0</v>
      </c>
      <c r="D34" s="33" t="s">
        <v>114</v>
      </c>
      <c r="E34" s="33" t="s">
        <v>194</v>
      </c>
      <c r="F34" s="33" t="s">
        <v>195</v>
      </c>
      <c r="G34" s="33">
        <v>4.0</v>
      </c>
      <c r="H34" s="33" t="s">
        <v>137</v>
      </c>
      <c r="I34" s="33" t="s">
        <v>26</v>
      </c>
      <c r="J34" s="33">
        <f>IFERROR(__xludf.DUMMYFUNCTION("LEN(REGEXREPLACE(XLOOKUP($A34,Cards!$A$2:$A1000,Cards!$H$2:$H1000,""""),"",\s"",""""))"),4.0)</f>
        <v>4</v>
      </c>
      <c r="K34" s="33" t="str">
        <f t="shared" si="1"/>
        <v>               </v>
      </c>
      <c r="L34" s="33" t="str">
        <f>IFERROR(__xludf.DUMMYFUNCTION("IF(IF(L$1="""","""",REGEXMATCH(LOWER($E34),XLOOKUP(L$1,Metadata!$A$2:$A1000,Metadata!$B$2:$B1000))),L$1,"""")"),"")</f>
        <v/>
      </c>
      <c r="M34" s="33" t="str">
        <f>IFERROR(__xludf.DUMMYFUNCTION("IF(IF(M$1="""","""",REGEXMATCH(LOWER($E34),XLOOKUP(M$1,Metadata!$A$2:$A1000,Metadata!$B$2:$B1000))),M$1,"""")"),"")</f>
        <v/>
      </c>
      <c r="N34" s="33" t="str">
        <f>IFERROR(__xludf.DUMMYFUNCTION("IF(IF(N$1="""","""",REGEXMATCH(LOWER($E34),XLOOKUP(N$1,Metadata!$A$2:$A1000,Metadata!$B$2:$B1000))),N$1,"""")"),"")</f>
        <v/>
      </c>
      <c r="O34" s="33" t="str">
        <f>IFERROR(__xludf.DUMMYFUNCTION("IF(IF(O$1="""","""",REGEXMATCH(LOWER($E34),XLOOKUP(O$1,Metadata!$A$2:$A1000,Metadata!$B$2:$B1000))),O$1,"""")"),"")</f>
        <v/>
      </c>
      <c r="P34" s="33" t="str">
        <f>IFERROR(__xludf.DUMMYFUNCTION("IF(IF(P$1="""","""",REGEXMATCH(LOWER($E34),XLOOKUP(P$1,Metadata!$A$2:$A1000,Metadata!$B$2:$B1000))),P$1,"""")"),"")</f>
        <v/>
      </c>
      <c r="Q34" s="33" t="str">
        <f>IFERROR(__xludf.DUMMYFUNCTION("IF(IF(Q$1="""","""",REGEXMATCH(LOWER($E34),XLOOKUP(Q$1,Metadata!$A$2:$A1000,Metadata!$B$2:$B1000))),Q$1,"""")"),"")</f>
        <v/>
      </c>
      <c r="R34" s="33" t="str">
        <f>IFERROR(__xludf.DUMMYFUNCTION("IF(IF(R$1="""","""",REGEXMATCH(LOWER($E34),XLOOKUP(R$1,Metadata!$A$2:$A1000,Metadata!$B$2:$B1000))),R$1,"""")"),"")</f>
        <v/>
      </c>
      <c r="S34" s="33" t="str">
        <f>IFERROR(__xludf.DUMMYFUNCTION("IF(IF(S$1="""","""",REGEXMATCH(LOWER($E34),XLOOKUP(S$1,Metadata!$A$2:$A1000,Metadata!$B$2:$B1000))),S$1,"""")"),"")</f>
        <v/>
      </c>
      <c r="T34" s="33" t="str">
        <f>IFERROR(__xludf.DUMMYFUNCTION("IF(IF(T$1="""","""",REGEXMATCH(LOWER($E34),XLOOKUP(T$1,Metadata!$A$2:$A1000,Metadata!$B$2:$B1000))),T$1,"""")"),"")</f>
        <v/>
      </c>
      <c r="U34" s="33" t="str">
        <f>IFERROR(__xludf.DUMMYFUNCTION("IF(IF(U$1="""","""",REGEXMATCH(LOWER($E34),XLOOKUP(U$1,Metadata!$A$2:$A1000,Metadata!$B$2:$B1000))),U$1,"""")"),"")</f>
        <v/>
      </c>
      <c r="V34" s="33" t="str">
        <f>IFERROR(__xludf.DUMMYFUNCTION("IF(IF(V$1="""","""",REGEXMATCH(LOWER($E34),XLOOKUP(V$1,Metadata!$A$2:$A1000,Metadata!$B$2:$B1000))),V$1,"""")"),"")</f>
        <v/>
      </c>
      <c r="W34" s="33" t="str">
        <f>IFERROR(__xludf.DUMMYFUNCTION("IF(IF(W$1="""","""",REGEXMATCH(LOWER($E34),XLOOKUP(W$1,Metadata!$A$2:$A1000,Metadata!$B$2:$B1000))),W$1,"""")"),"")</f>
        <v/>
      </c>
      <c r="X34" s="33" t="str">
        <f>IFERROR(__xludf.DUMMYFUNCTION("IF(IF(X$1="""","""",REGEXMATCH(LOWER($E34),XLOOKUP(X$1,Metadata!$A$2:$A1000,Metadata!$B$2:$B1000))),X$1,"""")"),"")</f>
        <v/>
      </c>
      <c r="Y34" s="33" t="str">
        <f>IFERROR(__xludf.DUMMYFUNCTION("IF(IF(Y$1="""","""",REGEXMATCH(LOWER($E34),XLOOKUP(Y$1,Metadata!$A$2:$A1000,Metadata!$B$2:$B1000))),Y$1,"""")"),"")</f>
        <v/>
      </c>
      <c r="Z34" s="33" t="str">
        <f>IFERROR(__xludf.DUMMYFUNCTION("IF(IF(Z$1="""","""",REGEXMATCH(LOWER($E34),XLOOKUP(Z$1,Metadata!$A$2:$A1000,Metadata!$B$2:$B1000))),Z$1,"""")"),"")</f>
        <v/>
      </c>
      <c r="AA34" s="33" t="str">
        <f>IFERROR(__xludf.DUMMYFUNCTION("IF(AA$1="""","""",REGEXMATCH(LOWER($E34),XLOOKUP(AA$1,Metadata!$A$2:$A1000,Metadata!$B$2:$B1000)))"),"")</f>
        <v/>
      </c>
    </row>
    <row r="35">
      <c r="A35" s="33" t="str">
        <f>IFERROR(__xludf.DUMMYFUNCTION("""COMPUTED_VALUE"""),"Obsidian Scarab")</f>
        <v>Obsidian Scarab</v>
      </c>
      <c r="B35" s="33" t="str">
        <f t="array" ref="B35:I35">XLOOKUP($A35,Cards!$A$2:$A1000,Cards!$B$2:$I1000,"")</f>
        <v>Divine</v>
      </c>
      <c r="C35" s="33">
        <v>1.0</v>
      </c>
      <c r="D35" s="33" t="s">
        <v>199</v>
      </c>
      <c r="E35" s="33"/>
      <c r="F35" s="33" t="s">
        <v>200</v>
      </c>
      <c r="G35" s="33">
        <v>3.0</v>
      </c>
      <c r="H35" s="33" t="s">
        <v>25</v>
      </c>
      <c r="I35" s="33" t="s">
        <v>62</v>
      </c>
      <c r="J35" s="33">
        <f>IFERROR(__xludf.DUMMYFUNCTION("LEN(REGEXREPLACE(XLOOKUP($A35,Cards!$A$2:$A1000,Cards!$H$2:$H1000,""""),"",\s"",""""))"),1.0)</f>
        <v>1</v>
      </c>
      <c r="K35" s="33" t="str">
        <f t="shared" si="1"/>
        <v>               </v>
      </c>
      <c r="L35" s="33" t="str">
        <f>IFERROR(__xludf.DUMMYFUNCTION("IF(IF(L$1="""","""",REGEXMATCH(LOWER($E35),XLOOKUP(L$1,Metadata!$A$2:$A1000,Metadata!$B$2:$B1000))),L$1,"""")"),"")</f>
        <v/>
      </c>
      <c r="M35" s="33" t="str">
        <f>IFERROR(__xludf.DUMMYFUNCTION("IF(IF(M$1="""","""",REGEXMATCH(LOWER($E35),XLOOKUP(M$1,Metadata!$A$2:$A1000,Metadata!$B$2:$B1000))),M$1,"""")"),"")</f>
        <v/>
      </c>
      <c r="N35" s="33" t="str">
        <f>IFERROR(__xludf.DUMMYFUNCTION("IF(IF(N$1="""","""",REGEXMATCH(LOWER($E35),XLOOKUP(N$1,Metadata!$A$2:$A1000,Metadata!$B$2:$B1000))),N$1,"""")"),"")</f>
        <v/>
      </c>
      <c r="O35" s="33" t="str">
        <f>IFERROR(__xludf.DUMMYFUNCTION("IF(IF(O$1="""","""",REGEXMATCH(LOWER($E35),XLOOKUP(O$1,Metadata!$A$2:$A1000,Metadata!$B$2:$B1000))),O$1,"""")"),"")</f>
        <v/>
      </c>
      <c r="P35" s="33" t="str">
        <f>IFERROR(__xludf.DUMMYFUNCTION("IF(IF(P$1="""","""",REGEXMATCH(LOWER($E35),XLOOKUP(P$1,Metadata!$A$2:$A1000,Metadata!$B$2:$B1000))),P$1,"""")"),"")</f>
        <v/>
      </c>
      <c r="Q35" s="33" t="str">
        <f>IFERROR(__xludf.DUMMYFUNCTION("IF(IF(Q$1="""","""",REGEXMATCH(LOWER($E35),XLOOKUP(Q$1,Metadata!$A$2:$A1000,Metadata!$B$2:$B1000))),Q$1,"""")"),"")</f>
        <v/>
      </c>
      <c r="R35" s="33" t="str">
        <f>IFERROR(__xludf.DUMMYFUNCTION("IF(IF(R$1="""","""",REGEXMATCH(LOWER($E35),XLOOKUP(R$1,Metadata!$A$2:$A1000,Metadata!$B$2:$B1000))),R$1,"""")"),"")</f>
        <v/>
      </c>
      <c r="S35" s="33" t="str">
        <f>IFERROR(__xludf.DUMMYFUNCTION("IF(IF(S$1="""","""",REGEXMATCH(LOWER($E35),XLOOKUP(S$1,Metadata!$A$2:$A1000,Metadata!$B$2:$B1000))),S$1,"""")"),"")</f>
        <v/>
      </c>
      <c r="T35" s="33" t="str">
        <f>IFERROR(__xludf.DUMMYFUNCTION("IF(IF(T$1="""","""",REGEXMATCH(LOWER($E35),XLOOKUP(T$1,Metadata!$A$2:$A1000,Metadata!$B$2:$B1000))),T$1,"""")"),"")</f>
        <v/>
      </c>
      <c r="U35" s="33" t="str">
        <f>IFERROR(__xludf.DUMMYFUNCTION("IF(IF(U$1="""","""",REGEXMATCH(LOWER($E35),XLOOKUP(U$1,Metadata!$A$2:$A1000,Metadata!$B$2:$B1000))),U$1,"""")"),"")</f>
        <v/>
      </c>
      <c r="V35" s="33" t="str">
        <f>IFERROR(__xludf.DUMMYFUNCTION("IF(IF(V$1="""","""",REGEXMATCH(LOWER($E35),XLOOKUP(V$1,Metadata!$A$2:$A1000,Metadata!$B$2:$B1000))),V$1,"""")"),"")</f>
        <v/>
      </c>
      <c r="W35" s="33" t="str">
        <f>IFERROR(__xludf.DUMMYFUNCTION("IF(IF(W$1="""","""",REGEXMATCH(LOWER($E35),XLOOKUP(W$1,Metadata!$A$2:$A1000,Metadata!$B$2:$B1000))),W$1,"""")"),"")</f>
        <v/>
      </c>
      <c r="X35" s="33" t="str">
        <f>IFERROR(__xludf.DUMMYFUNCTION("IF(IF(X$1="""","""",REGEXMATCH(LOWER($E35),XLOOKUP(X$1,Metadata!$A$2:$A1000,Metadata!$B$2:$B1000))),X$1,"""")"),"")</f>
        <v/>
      </c>
      <c r="Y35" s="33" t="str">
        <f>IFERROR(__xludf.DUMMYFUNCTION("IF(IF(Y$1="""","""",REGEXMATCH(LOWER($E35),XLOOKUP(Y$1,Metadata!$A$2:$A1000,Metadata!$B$2:$B1000))),Y$1,"""")"),"")</f>
        <v/>
      </c>
      <c r="Z35" s="33" t="str">
        <f>IFERROR(__xludf.DUMMYFUNCTION("IF(IF(Z$1="""","""",REGEXMATCH(LOWER($E35),XLOOKUP(Z$1,Metadata!$A$2:$A1000,Metadata!$B$2:$B1000))),Z$1,"""")"),"")</f>
        <v/>
      </c>
      <c r="AA35" s="33" t="str">
        <f>IFERROR(__xludf.DUMMYFUNCTION("IF(AA$1="""","""",REGEXMATCH(LOWER($E35),XLOOKUP(AA$1,Metadata!$A$2:$A1000,Metadata!$B$2:$B1000)))"),"")</f>
        <v/>
      </c>
    </row>
    <row r="36">
      <c r="A36" s="33" t="str">
        <f>IFERROR(__xludf.DUMMYFUNCTION("""COMPUTED_VALUE"""),"Solarsteel Prodigy")</f>
        <v>Solarsteel Prodigy</v>
      </c>
      <c r="B36" s="33" t="str">
        <f t="array" ref="B36:I36">XLOOKUP($A36,Cards!$A$2:$A1000,Cards!$B$2:$I1000,"")</f>
        <v>Divine</v>
      </c>
      <c r="C36" s="33">
        <v>2.0</v>
      </c>
      <c r="D36" s="33" t="s">
        <v>37</v>
      </c>
      <c r="E36" s="33" t="s">
        <v>208</v>
      </c>
      <c r="F36" s="33" t="s">
        <v>24</v>
      </c>
      <c r="G36" s="33">
        <v>0.0</v>
      </c>
      <c r="H36" s="33" t="s">
        <v>85</v>
      </c>
      <c r="I36" s="33" t="s">
        <v>26</v>
      </c>
      <c r="J36" s="33">
        <f>IFERROR(__xludf.DUMMYFUNCTION("LEN(REGEXREPLACE(XLOOKUP($A36,Cards!$A$2:$A1000,Cards!$H$2:$H1000,""""),"",\s"",""""))"),3.0)</f>
        <v>3</v>
      </c>
      <c r="K36" s="33" t="str">
        <f t="shared" si="1"/>
        <v>               </v>
      </c>
      <c r="L36" s="33" t="str">
        <f>IFERROR(__xludf.DUMMYFUNCTION("IF(IF(L$1="""","""",REGEXMATCH(LOWER($E36),XLOOKUP(L$1,Metadata!$A$2:$A1000,Metadata!$B$2:$B1000))),L$1,"""")"),"")</f>
        <v/>
      </c>
      <c r="M36" s="33" t="str">
        <f>IFERROR(__xludf.DUMMYFUNCTION("IF(IF(M$1="""","""",REGEXMATCH(LOWER($E36),XLOOKUP(M$1,Metadata!$A$2:$A1000,Metadata!$B$2:$B1000))),M$1,"""")"),"")</f>
        <v/>
      </c>
      <c r="N36" s="33" t="str">
        <f>IFERROR(__xludf.DUMMYFUNCTION("IF(IF(N$1="""","""",REGEXMATCH(LOWER($E36),XLOOKUP(N$1,Metadata!$A$2:$A1000,Metadata!$B$2:$B1000))),N$1,"""")"),"")</f>
        <v/>
      </c>
      <c r="O36" s="33" t="str">
        <f>IFERROR(__xludf.DUMMYFUNCTION("IF(IF(O$1="""","""",REGEXMATCH(LOWER($E36),XLOOKUP(O$1,Metadata!$A$2:$A1000,Metadata!$B$2:$B1000))),O$1,"""")"),"")</f>
        <v/>
      </c>
      <c r="P36" s="33" t="str">
        <f>IFERROR(__xludf.DUMMYFUNCTION("IF(IF(P$1="""","""",REGEXMATCH(LOWER($E36),XLOOKUP(P$1,Metadata!$A$2:$A1000,Metadata!$B$2:$B1000))),P$1,"""")"),"")</f>
        <v/>
      </c>
      <c r="Q36" s="33" t="str">
        <f>IFERROR(__xludf.DUMMYFUNCTION("IF(IF(Q$1="""","""",REGEXMATCH(LOWER($E36),XLOOKUP(Q$1,Metadata!$A$2:$A1000,Metadata!$B$2:$B1000))),Q$1,"""")"),"")</f>
        <v/>
      </c>
      <c r="R36" s="33" t="str">
        <f>IFERROR(__xludf.DUMMYFUNCTION("IF(IF(R$1="""","""",REGEXMATCH(LOWER($E36),XLOOKUP(R$1,Metadata!$A$2:$A1000,Metadata!$B$2:$B1000))),R$1,"""")"),"")</f>
        <v/>
      </c>
      <c r="S36" s="33" t="str">
        <f>IFERROR(__xludf.DUMMYFUNCTION("IF(IF(S$1="""","""",REGEXMATCH(LOWER($E36),XLOOKUP(S$1,Metadata!$A$2:$A1000,Metadata!$B$2:$B1000))),S$1,"""")"),"")</f>
        <v/>
      </c>
      <c r="T36" s="33" t="str">
        <f>IFERROR(__xludf.DUMMYFUNCTION("IF(IF(T$1="""","""",REGEXMATCH(LOWER($E36),XLOOKUP(T$1,Metadata!$A$2:$A1000,Metadata!$B$2:$B1000))),T$1,"""")"),"")</f>
        <v/>
      </c>
      <c r="U36" s="33" t="str">
        <f>IFERROR(__xludf.DUMMYFUNCTION("IF(IF(U$1="""","""",REGEXMATCH(LOWER($E36),XLOOKUP(U$1,Metadata!$A$2:$A1000,Metadata!$B$2:$B1000))),U$1,"""")"),"")</f>
        <v/>
      </c>
      <c r="V36" s="33" t="str">
        <f>IFERROR(__xludf.DUMMYFUNCTION("IF(IF(V$1="""","""",REGEXMATCH(LOWER($E36),XLOOKUP(V$1,Metadata!$A$2:$A1000,Metadata!$B$2:$B1000))),V$1,"""")"),"")</f>
        <v/>
      </c>
      <c r="W36" s="33" t="str">
        <f>IFERROR(__xludf.DUMMYFUNCTION("IF(IF(W$1="""","""",REGEXMATCH(LOWER($E36),XLOOKUP(W$1,Metadata!$A$2:$A1000,Metadata!$B$2:$B1000))),W$1,"""")"),"")</f>
        <v/>
      </c>
      <c r="X36" s="33" t="str">
        <f>IFERROR(__xludf.DUMMYFUNCTION("IF(IF(X$1="""","""",REGEXMATCH(LOWER($E36),XLOOKUP(X$1,Metadata!$A$2:$A1000,Metadata!$B$2:$B1000))),X$1,"""")"),"")</f>
        <v/>
      </c>
      <c r="Y36" s="33" t="str">
        <f>IFERROR(__xludf.DUMMYFUNCTION("IF(IF(Y$1="""","""",REGEXMATCH(LOWER($E36),XLOOKUP(Y$1,Metadata!$A$2:$A1000,Metadata!$B$2:$B1000))),Y$1,"""")"),"")</f>
        <v/>
      </c>
      <c r="Z36" s="33" t="str">
        <f>IFERROR(__xludf.DUMMYFUNCTION("IF(IF(Z$1="""","""",REGEXMATCH(LOWER($E36),XLOOKUP(Z$1,Metadata!$A$2:$A1000,Metadata!$B$2:$B1000))),Z$1,"""")"),"")</f>
        <v/>
      </c>
      <c r="AA36" s="33" t="str">
        <f>IFERROR(__xludf.DUMMYFUNCTION("IF(AA$1="""","""",REGEXMATCH(LOWER($E36),XLOOKUP(AA$1,Metadata!$A$2:$A1000,Metadata!$B$2:$B1000)))"),"")</f>
        <v/>
      </c>
    </row>
    <row r="37">
      <c r="A37" s="33" t="str">
        <f>IFERROR(__xludf.DUMMYFUNCTION("""COMPUTED_VALUE"""),"Starforger")</f>
        <v>Starforger</v>
      </c>
      <c r="B37" s="33" t="str">
        <f t="array" ref="B37:I37">XLOOKUP($A37,Cards!$A$2:$A1000,Cards!$B$2:$I1000,"")</f>
        <v>Divine</v>
      </c>
      <c r="C37" s="33">
        <v>2.0</v>
      </c>
      <c r="D37" s="33" t="s">
        <v>46</v>
      </c>
      <c r="E37" s="33" t="s">
        <v>210</v>
      </c>
      <c r="F37" s="33" t="s">
        <v>211</v>
      </c>
      <c r="G37" s="33">
        <v>8.0</v>
      </c>
      <c r="H37" s="33" t="s">
        <v>212</v>
      </c>
      <c r="I37" s="33" t="s">
        <v>32</v>
      </c>
      <c r="J37" s="33">
        <f>IFERROR(__xludf.DUMMYFUNCTION("LEN(REGEXREPLACE(XLOOKUP($A37,Cards!$A$2:$A1000,Cards!$H$2:$H1000,""""),"",\s"",""""))"),7.0)</f>
        <v>7</v>
      </c>
      <c r="K37" s="33" t="str">
        <f t="shared" si="1"/>
        <v>      Ramp         </v>
      </c>
      <c r="L37" s="33" t="str">
        <f>IFERROR(__xludf.DUMMYFUNCTION("IF(IF(L$1="""","""",REGEXMATCH(LOWER($E37),XLOOKUP(L$1,Metadata!$A$2:$A1000,Metadata!$B$2:$B1000))),L$1,"""")"),"")</f>
        <v/>
      </c>
      <c r="M37" s="33" t="str">
        <f>IFERROR(__xludf.DUMMYFUNCTION("IF(IF(M$1="""","""",REGEXMATCH(LOWER($E37),XLOOKUP(M$1,Metadata!$A$2:$A1000,Metadata!$B$2:$B1000))),M$1,"""")"),"")</f>
        <v/>
      </c>
      <c r="N37" s="33" t="str">
        <f>IFERROR(__xludf.DUMMYFUNCTION("IF(IF(N$1="""","""",REGEXMATCH(LOWER($E37),XLOOKUP(N$1,Metadata!$A$2:$A1000,Metadata!$B$2:$B1000))),N$1,"""")"),"")</f>
        <v/>
      </c>
      <c r="O37" s="33" t="str">
        <f>IFERROR(__xludf.DUMMYFUNCTION("IF(IF(O$1="""","""",REGEXMATCH(LOWER($E37),XLOOKUP(O$1,Metadata!$A$2:$A1000,Metadata!$B$2:$B1000))),O$1,"""")"),"")</f>
        <v/>
      </c>
      <c r="P37" s="33" t="str">
        <f>IFERROR(__xludf.DUMMYFUNCTION("IF(IF(P$1="""","""",REGEXMATCH(LOWER($E37),XLOOKUP(P$1,Metadata!$A$2:$A1000,Metadata!$B$2:$B1000))),P$1,"""")"),"")</f>
        <v/>
      </c>
      <c r="Q37" s="33" t="str">
        <f>IFERROR(__xludf.DUMMYFUNCTION("IF(IF(Q$1="""","""",REGEXMATCH(LOWER($E37),XLOOKUP(Q$1,Metadata!$A$2:$A1000,Metadata!$B$2:$B1000))),Q$1,"""")"),"")</f>
        <v/>
      </c>
      <c r="R37" s="33" t="str">
        <f>IFERROR(__xludf.DUMMYFUNCTION("IF(IF(R$1="""","""",REGEXMATCH(LOWER($E37),XLOOKUP(R$1,Metadata!$A$2:$A1000,Metadata!$B$2:$B1000))),R$1,"""")"),"Ramp")</f>
        <v>Ramp</v>
      </c>
      <c r="S37" s="33" t="str">
        <f>IFERROR(__xludf.DUMMYFUNCTION("IF(IF(S$1="""","""",REGEXMATCH(LOWER($E37),XLOOKUP(S$1,Metadata!$A$2:$A1000,Metadata!$B$2:$B1000))),S$1,"""")"),"")</f>
        <v/>
      </c>
      <c r="T37" s="33" t="str">
        <f>IFERROR(__xludf.DUMMYFUNCTION("IF(IF(T$1="""","""",REGEXMATCH(LOWER($E37),XLOOKUP(T$1,Metadata!$A$2:$A1000,Metadata!$B$2:$B1000))),T$1,"""")"),"")</f>
        <v/>
      </c>
      <c r="U37" s="33" t="str">
        <f>IFERROR(__xludf.DUMMYFUNCTION("IF(IF(U$1="""","""",REGEXMATCH(LOWER($E37),XLOOKUP(U$1,Metadata!$A$2:$A1000,Metadata!$B$2:$B1000))),U$1,"""")"),"")</f>
        <v/>
      </c>
      <c r="V37" s="33" t="str">
        <f>IFERROR(__xludf.DUMMYFUNCTION("IF(IF(V$1="""","""",REGEXMATCH(LOWER($E37),XLOOKUP(V$1,Metadata!$A$2:$A1000,Metadata!$B$2:$B1000))),V$1,"""")"),"")</f>
        <v/>
      </c>
      <c r="W37" s="33" t="str">
        <f>IFERROR(__xludf.DUMMYFUNCTION("IF(IF(W$1="""","""",REGEXMATCH(LOWER($E37),XLOOKUP(W$1,Metadata!$A$2:$A1000,Metadata!$B$2:$B1000))),W$1,"""")"),"")</f>
        <v/>
      </c>
      <c r="X37" s="33" t="str">
        <f>IFERROR(__xludf.DUMMYFUNCTION("IF(IF(X$1="""","""",REGEXMATCH(LOWER($E37),XLOOKUP(X$1,Metadata!$A$2:$A1000,Metadata!$B$2:$B1000))),X$1,"""")"),"")</f>
        <v/>
      </c>
      <c r="Y37" s="33" t="str">
        <f>IFERROR(__xludf.DUMMYFUNCTION("IF(IF(Y$1="""","""",REGEXMATCH(LOWER($E37),XLOOKUP(Y$1,Metadata!$A$2:$A1000,Metadata!$B$2:$B1000))),Y$1,"""")"),"")</f>
        <v/>
      </c>
      <c r="Z37" s="33" t="str">
        <f>IFERROR(__xludf.DUMMYFUNCTION("IF(IF(Z$1="""","""",REGEXMATCH(LOWER($E37),XLOOKUP(Z$1,Metadata!$A$2:$A1000,Metadata!$B$2:$B1000))),Z$1,"""")"),"")</f>
        <v/>
      </c>
      <c r="AA37" s="33" t="str">
        <f>IFERROR(__xludf.DUMMYFUNCTION("IF(AA$1="""","""",REGEXMATCH(LOWER($E37),XLOOKUP(AA$1,Metadata!$A$2:$A1000,Metadata!$B$2:$B1000)))"),"")</f>
        <v/>
      </c>
    </row>
    <row r="38">
      <c r="A38" s="33" t="str">
        <f>IFERROR(__xludf.DUMMYFUNCTION("""COMPUTED_VALUE"""),"Swiftblade Revenger")</f>
        <v>Swiftblade Revenger</v>
      </c>
      <c r="B38" s="33" t="str">
        <f t="array" ref="B38:I38">XLOOKUP($A38,Cards!$A$2:$A1000,Cards!$B$2:$I1000,"")</f>
        <v>Divine</v>
      </c>
      <c r="C38" s="33">
        <v>2.0</v>
      </c>
      <c r="D38" s="33" t="s">
        <v>40</v>
      </c>
      <c r="E38" s="33" t="s">
        <v>214</v>
      </c>
      <c r="F38" s="33" t="s">
        <v>215</v>
      </c>
      <c r="G38" s="33">
        <v>5.0</v>
      </c>
      <c r="H38" s="33" t="s">
        <v>31</v>
      </c>
      <c r="I38" s="33" t="s">
        <v>62</v>
      </c>
      <c r="J38" s="33">
        <f>IFERROR(__xludf.DUMMYFUNCTION("LEN(REGEXREPLACE(XLOOKUP($A38,Cards!$A$2:$A1000,Cards!$H$2:$H1000,""""),"",\s"",""""))"),5.0)</f>
        <v>5</v>
      </c>
      <c r="K38" s="33" t="str">
        <f t="shared" si="1"/>
        <v>           Move    </v>
      </c>
      <c r="L38" s="33" t="str">
        <f>IFERROR(__xludf.DUMMYFUNCTION("IF(IF(L$1="""","""",REGEXMATCH(LOWER($E38),XLOOKUP(L$1,Metadata!$A$2:$A1000,Metadata!$B$2:$B1000))),L$1,"""")"),"")</f>
        <v/>
      </c>
      <c r="M38" s="33" t="str">
        <f>IFERROR(__xludf.DUMMYFUNCTION("IF(IF(M$1="""","""",REGEXMATCH(LOWER($E38),XLOOKUP(M$1,Metadata!$A$2:$A1000,Metadata!$B$2:$B1000))),M$1,"""")"),"")</f>
        <v/>
      </c>
      <c r="N38" s="33" t="str">
        <f>IFERROR(__xludf.DUMMYFUNCTION("IF(IF(N$1="""","""",REGEXMATCH(LOWER($E38),XLOOKUP(N$1,Metadata!$A$2:$A1000,Metadata!$B$2:$B1000))),N$1,"""")"),"")</f>
        <v/>
      </c>
      <c r="O38" s="33" t="str">
        <f>IFERROR(__xludf.DUMMYFUNCTION("IF(IF(O$1="""","""",REGEXMATCH(LOWER($E38),XLOOKUP(O$1,Metadata!$A$2:$A1000,Metadata!$B$2:$B1000))),O$1,"""")"),"")</f>
        <v/>
      </c>
      <c r="P38" s="33" t="str">
        <f>IFERROR(__xludf.DUMMYFUNCTION("IF(IF(P$1="""","""",REGEXMATCH(LOWER($E38),XLOOKUP(P$1,Metadata!$A$2:$A1000,Metadata!$B$2:$B1000))),P$1,"""")"),"")</f>
        <v/>
      </c>
      <c r="Q38" s="33" t="str">
        <f>IFERROR(__xludf.DUMMYFUNCTION("IF(IF(Q$1="""","""",REGEXMATCH(LOWER($E38),XLOOKUP(Q$1,Metadata!$A$2:$A1000,Metadata!$B$2:$B1000))),Q$1,"""")"),"")</f>
        <v/>
      </c>
      <c r="R38" s="33" t="str">
        <f>IFERROR(__xludf.DUMMYFUNCTION("IF(IF(R$1="""","""",REGEXMATCH(LOWER($E38),XLOOKUP(R$1,Metadata!$A$2:$A1000,Metadata!$B$2:$B1000))),R$1,"""")"),"")</f>
        <v/>
      </c>
      <c r="S38" s="33" t="str">
        <f>IFERROR(__xludf.DUMMYFUNCTION("IF(IF(S$1="""","""",REGEXMATCH(LOWER($E38),XLOOKUP(S$1,Metadata!$A$2:$A1000,Metadata!$B$2:$B1000))),S$1,"""")"),"")</f>
        <v/>
      </c>
      <c r="T38" s="33" t="str">
        <f>IFERROR(__xludf.DUMMYFUNCTION("IF(IF(T$1="""","""",REGEXMATCH(LOWER($E38),XLOOKUP(T$1,Metadata!$A$2:$A1000,Metadata!$B$2:$B1000))),T$1,"""")"),"")</f>
        <v/>
      </c>
      <c r="U38" s="33" t="str">
        <f>IFERROR(__xludf.DUMMYFUNCTION("IF(IF(U$1="""","""",REGEXMATCH(LOWER($E38),XLOOKUP(U$1,Metadata!$A$2:$A1000,Metadata!$B$2:$B1000))),U$1,"""")"),"")</f>
        <v/>
      </c>
      <c r="V38" s="33" t="str">
        <f>IFERROR(__xludf.DUMMYFUNCTION("IF(IF(V$1="""","""",REGEXMATCH(LOWER($E38),XLOOKUP(V$1,Metadata!$A$2:$A1000,Metadata!$B$2:$B1000))),V$1,"""")"),"")</f>
        <v/>
      </c>
      <c r="W38" s="33" t="str">
        <f>IFERROR(__xludf.DUMMYFUNCTION("IF(IF(W$1="""","""",REGEXMATCH(LOWER($E38),XLOOKUP(W$1,Metadata!$A$2:$A1000,Metadata!$B$2:$B1000))),W$1,"""")"),"Move")</f>
        <v>Move</v>
      </c>
      <c r="X38" s="33" t="str">
        <f>IFERROR(__xludf.DUMMYFUNCTION("IF(IF(X$1="""","""",REGEXMATCH(LOWER($E38),XLOOKUP(X$1,Metadata!$A$2:$A1000,Metadata!$B$2:$B1000))),X$1,"""")"),"")</f>
        <v/>
      </c>
      <c r="Y38" s="33" t="str">
        <f>IFERROR(__xludf.DUMMYFUNCTION("IF(IF(Y$1="""","""",REGEXMATCH(LOWER($E38),XLOOKUP(Y$1,Metadata!$A$2:$A1000,Metadata!$B$2:$B1000))),Y$1,"""")"),"")</f>
        <v/>
      </c>
      <c r="Z38" s="33" t="str">
        <f>IFERROR(__xludf.DUMMYFUNCTION("IF(IF(Z$1="""","""",REGEXMATCH(LOWER($E38),XLOOKUP(Z$1,Metadata!$A$2:$A1000,Metadata!$B$2:$B1000))),Z$1,"""")"),"")</f>
        <v/>
      </c>
      <c r="AA38" s="33" t="str">
        <f>IFERROR(__xludf.DUMMYFUNCTION("IF(AA$1="""","""",REGEXMATCH(LOWER($E38),XLOOKUP(AA$1,Metadata!$A$2:$A1000,Metadata!$B$2:$B1000)))"),"")</f>
        <v/>
      </c>
    </row>
    <row r="39">
      <c r="A39" s="33" t="str">
        <f>IFERROR(__xludf.DUMMYFUNCTION("""COMPUTED_VALUE"""),"The Kitty of Thamiel")</f>
        <v>The Kitty of Thamiel</v>
      </c>
      <c r="B39" s="33" t="str">
        <f t="array" ref="B39:I39">XLOOKUP($A39,Cards!$A$2:$A1000,Cards!$B$2:$I1000,"")</f>
        <v>Divine</v>
      </c>
      <c r="C39" s="33">
        <v>2.0</v>
      </c>
      <c r="D39" s="33" t="s">
        <v>217</v>
      </c>
      <c r="E39" s="33" t="s">
        <v>218</v>
      </c>
      <c r="F39" s="33" t="s">
        <v>219</v>
      </c>
      <c r="G39" s="33">
        <v>2.0</v>
      </c>
      <c r="H39" s="33" t="s">
        <v>92</v>
      </c>
      <c r="I39" s="33" t="s">
        <v>62</v>
      </c>
      <c r="J39" s="33">
        <f>IFERROR(__xludf.DUMMYFUNCTION("LEN(REGEXREPLACE(XLOOKUP($A39,Cards!$A$2:$A1000,Cards!$H$2:$H1000,""""),"",\s"",""""))"),2.0)</f>
        <v>2</v>
      </c>
      <c r="K39" s="33" t="str">
        <f t="shared" si="1"/>
        <v>               </v>
      </c>
      <c r="L39" s="33" t="str">
        <f>IFERROR(__xludf.DUMMYFUNCTION("IF(IF(L$1="""","""",REGEXMATCH(LOWER($E39),XLOOKUP(L$1,Metadata!$A$2:$A1000,Metadata!$B$2:$B1000))),L$1,"""")"),"")</f>
        <v/>
      </c>
      <c r="M39" s="33" t="str">
        <f>IFERROR(__xludf.DUMMYFUNCTION("IF(IF(M$1="""","""",REGEXMATCH(LOWER($E39),XLOOKUP(M$1,Metadata!$A$2:$A1000,Metadata!$B$2:$B1000))),M$1,"""")"),"")</f>
        <v/>
      </c>
      <c r="N39" s="33" t="str">
        <f>IFERROR(__xludf.DUMMYFUNCTION("IF(IF(N$1="""","""",REGEXMATCH(LOWER($E39),XLOOKUP(N$1,Metadata!$A$2:$A1000,Metadata!$B$2:$B1000))),N$1,"""")"),"")</f>
        <v/>
      </c>
      <c r="O39" s="33" t="str">
        <f>IFERROR(__xludf.DUMMYFUNCTION("IF(IF(O$1="""","""",REGEXMATCH(LOWER($E39),XLOOKUP(O$1,Metadata!$A$2:$A1000,Metadata!$B$2:$B1000))),O$1,"""")"),"")</f>
        <v/>
      </c>
      <c r="P39" s="33" t="str">
        <f>IFERROR(__xludf.DUMMYFUNCTION("IF(IF(P$1="""","""",REGEXMATCH(LOWER($E39),XLOOKUP(P$1,Metadata!$A$2:$A1000,Metadata!$B$2:$B1000))),P$1,"""")"),"")</f>
        <v/>
      </c>
      <c r="Q39" s="33" t="str">
        <f>IFERROR(__xludf.DUMMYFUNCTION("IF(IF(Q$1="""","""",REGEXMATCH(LOWER($E39),XLOOKUP(Q$1,Metadata!$A$2:$A1000,Metadata!$B$2:$B1000))),Q$1,"""")"),"")</f>
        <v/>
      </c>
      <c r="R39" s="33" t="str">
        <f>IFERROR(__xludf.DUMMYFUNCTION("IF(IF(R$1="""","""",REGEXMATCH(LOWER($E39),XLOOKUP(R$1,Metadata!$A$2:$A1000,Metadata!$B$2:$B1000))),R$1,"""")"),"")</f>
        <v/>
      </c>
      <c r="S39" s="33" t="str">
        <f>IFERROR(__xludf.DUMMYFUNCTION("IF(IF(S$1="""","""",REGEXMATCH(LOWER($E39),XLOOKUP(S$1,Metadata!$A$2:$A1000,Metadata!$B$2:$B1000))),S$1,"""")"),"")</f>
        <v/>
      </c>
      <c r="T39" s="33" t="str">
        <f>IFERROR(__xludf.DUMMYFUNCTION("IF(IF(T$1="""","""",REGEXMATCH(LOWER($E39),XLOOKUP(T$1,Metadata!$A$2:$A1000,Metadata!$B$2:$B1000))),T$1,"""")"),"")</f>
        <v/>
      </c>
      <c r="U39" s="33" t="str">
        <f>IFERROR(__xludf.DUMMYFUNCTION("IF(IF(U$1="""","""",REGEXMATCH(LOWER($E39),XLOOKUP(U$1,Metadata!$A$2:$A1000,Metadata!$B$2:$B1000))),U$1,"""")"),"")</f>
        <v/>
      </c>
      <c r="V39" s="33" t="str">
        <f>IFERROR(__xludf.DUMMYFUNCTION("IF(IF(V$1="""","""",REGEXMATCH(LOWER($E39),XLOOKUP(V$1,Metadata!$A$2:$A1000,Metadata!$B$2:$B1000))),V$1,"""")"),"")</f>
        <v/>
      </c>
      <c r="W39" s="33" t="str">
        <f>IFERROR(__xludf.DUMMYFUNCTION("IF(IF(W$1="""","""",REGEXMATCH(LOWER($E39),XLOOKUP(W$1,Metadata!$A$2:$A1000,Metadata!$B$2:$B1000))),W$1,"""")"),"")</f>
        <v/>
      </c>
      <c r="X39" s="33" t="str">
        <f>IFERROR(__xludf.DUMMYFUNCTION("IF(IF(X$1="""","""",REGEXMATCH(LOWER($E39),XLOOKUP(X$1,Metadata!$A$2:$A1000,Metadata!$B$2:$B1000))),X$1,"""")"),"")</f>
        <v/>
      </c>
      <c r="Y39" s="33" t="str">
        <f>IFERROR(__xludf.DUMMYFUNCTION("IF(IF(Y$1="""","""",REGEXMATCH(LOWER($E39),XLOOKUP(Y$1,Metadata!$A$2:$A1000,Metadata!$B$2:$B1000))),Y$1,"""")"),"")</f>
        <v/>
      </c>
      <c r="Z39" s="33" t="str">
        <f>IFERROR(__xludf.DUMMYFUNCTION("IF(IF(Z$1="""","""",REGEXMATCH(LOWER($E39),XLOOKUP(Z$1,Metadata!$A$2:$A1000,Metadata!$B$2:$B1000))),Z$1,"""")"),"")</f>
        <v/>
      </c>
      <c r="AA39" s="33" t="str">
        <f>IFERROR(__xludf.DUMMYFUNCTION("IF(AA$1="""","""",REGEXMATCH(LOWER($E39),XLOOKUP(AA$1,Metadata!$A$2:$A1000,Metadata!$B$2:$B1000)))"),"")</f>
        <v/>
      </c>
    </row>
    <row r="40">
      <c r="A40" s="33" t="str">
        <f>IFERROR(__xludf.DUMMYFUNCTION("""COMPUTED_VALUE"""),"Thunderswarm Skirmisher")</f>
        <v>Thunderswarm Skirmisher</v>
      </c>
      <c r="B40" s="33" t="str">
        <f t="array" ref="B40:I40">XLOOKUP($A40,Cards!$A$2:$A1000,Cards!$B$2:$I1000,"")</f>
        <v>Divine</v>
      </c>
      <c r="C40" s="33">
        <v>1.0</v>
      </c>
      <c r="D40" s="33" t="s">
        <v>221</v>
      </c>
      <c r="E40" s="33" t="s">
        <v>222</v>
      </c>
      <c r="F40" s="33" t="s">
        <v>223</v>
      </c>
      <c r="G40" s="33">
        <v>3.0</v>
      </c>
      <c r="H40" s="33" t="s">
        <v>224</v>
      </c>
      <c r="I40" s="33" t="s">
        <v>62</v>
      </c>
      <c r="J40" s="33">
        <f>IFERROR(__xludf.DUMMYFUNCTION("LEN(REGEXREPLACE(XLOOKUP($A40,Cards!$A$2:$A1000,Cards!$H$2:$H1000,""""),"",\s"",""""))"),4.0)</f>
        <v>4</v>
      </c>
      <c r="K40" s="33" t="str">
        <f t="shared" si="1"/>
        <v>               </v>
      </c>
      <c r="L40" s="33" t="str">
        <f>IFERROR(__xludf.DUMMYFUNCTION("IF(IF(L$1="""","""",REGEXMATCH(LOWER($E40),XLOOKUP(L$1,Metadata!$A$2:$A1000,Metadata!$B$2:$B1000))),L$1,"""")"),"")</f>
        <v/>
      </c>
      <c r="M40" s="33" t="str">
        <f>IFERROR(__xludf.DUMMYFUNCTION("IF(IF(M$1="""","""",REGEXMATCH(LOWER($E40),XLOOKUP(M$1,Metadata!$A$2:$A1000,Metadata!$B$2:$B1000))),M$1,"""")"),"")</f>
        <v/>
      </c>
      <c r="N40" s="33" t="str">
        <f>IFERROR(__xludf.DUMMYFUNCTION("IF(IF(N$1="""","""",REGEXMATCH(LOWER($E40),XLOOKUP(N$1,Metadata!$A$2:$A1000,Metadata!$B$2:$B1000))),N$1,"""")"),"")</f>
        <v/>
      </c>
      <c r="O40" s="33" t="str">
        <f>IFERROR(__xludf.DUMMYFUNCTION("IF(IF(O$1="""","""",REGEXMATCH(LOWER($E40),XLOOKUP(O$1,Metadata!$A$2:$A1000,Metadata!$B$2:$B1000))),O$1,"""")"),"")</f>
        <v/>
      </c>
      <c r="P40" s="33" t="str">
        <f>IFERROR(__xludf.DUMMYFUNCTION("IF(IF(P$1="""","""",REGEXMATCH(LOWER($E40),XLOOKUP(P$1,Metadata!$A$2:$A1000,Metadata!$B$2:$B1000))),P$1,"""")"),"")</f>
        <v/>
      </c>
      <c r="Q40" s="33" t="str">
        <f>IFERROR(__xludf.DUMMYFUNCTION("IF(IF(Q$1="""","""",REGEXMATCH(LOWER($E40),XLOOKUP(Q$1,Metadata!$A$2:$A1000,Metadata!$B$2:$B1000))),Q$1,"""")"),"")</f>
        <v/>
      </c>
      <c r="R40" s="33" t="str">
        <f>IFERROR(__xludf.DUMMYFUNCTION("IF(IF(R$1="""","""",REGEXMATCH(LOWER($E40),XLOOKUP(R$1,Metadata!$A$2:$A1000,Metadata!$B$2:$B1000))),R$1,"""")"),"")</f>
        <v/>
      </c>
      <c r="S40" s="33" t="str">
        <f>IFERROR(__xludf.DUMMYFUNCTION("IF(IF(S$1="""","""",REGEXMATCH(LOWER($E40),XLOOKUP(S$1,Metadata!$A$2:$A1000,Metadata!$B$2:$B1000))),S$1,"""")"),"")</f>
        <v/>
      </c>
      <c r="T40" s="33" t="str">
        <f>IFERROR(__xludf.DUMMYFUNCTION("IF(IF(T$1="""","""",REGEXMATCH(LOWER($E40),XLOOKUP(T$1,Metadata!$A$2:$A1000,Metadata!$B$2:$B1000))),T$1,"""")"),"")</f>
        <v/>
      </c>
      <c r="U40" s="33" t="str">
        <f>IFERROR(__xludf.DUMMYFUNCTION("IF(IF(U$1="""","""",REGEXMATCH(LOWER($E40),XLOOKUP(U$1,Metadata!$A$2:$A1000,Metadata!$B$2:$B1000))),U$1,"""")"),"")</f>
        <v/>
      </c>
      <c r="V40" s="33" t="str">
        <f>IFERROR(__xludf.DUMMYFUNCTION("IF(IF(V$1="""","""",REGEXMATCH(LOWER($E40),XLOOKUP(V$1,Metadata!$A$2:$A1000,Metadata!$B$2:$B1000))),V$1,"""")"),"")</f>
        <v/>
      </c>
      <c r="W40" s="33" t="str">
        <f>IFERROR(__xludf.DUMMYFUNCTION("IF(IF(W$1="""","""",REGEXMATCH(LOWER($E40),XLOOKUP(W$1,Metadata!$A$2:$A1000,Metadata!$B$2:$B1000))),W$1,"""")"),"")</f>
        <v/>
      </c>
      <c r="X40" s="33" t="str">
        <f>IFERROR(__xludf.DUMMYFUNCTION("IF(IF(X$1="""","""",REGEXMATCH(LOWER($E40),XLOOKUP(X$1,Metadata!$A$2:$A1000,Metadata!$B$2:$B1000))),X$1,"""")"),"")</f>
        <v/>
      </c>
      <c r="Y40" s="33" t="str">
        <f>IFERROR(__xludf.DUMMYFUNCTION("IF(IF(Y$1="""","""",REGEXMATCH(LOWER($E40),XLOOKUP(Y$1,Metadata!$A$2:$A1000,Metadata!$B$2:$B1000))),Y$1,"""")"),"")</f>
        <v/>
      </c>
      <c r="Z40" s="33" t="str">
        <f>IFERROR(__xludf.DUMMYFUNCTION("IF(IF(Z$1="""","""",REGEXMATCH(LOWER($E40),XLOOKUP(Z$1,Metadata!$A$2:$A1000,Metadata!$B$2:$B1000))),Z$1,"""")"),"")</f>
        <v/>
      </c>
      <c r="AA40" s="33" t="str">
        <f>IFERROR(__xludf.DUMMYFUNCTION("IF(AA$1="""","""",REGEXMATCH(LOWER($E40),XLOOKUP(AA$1,Metadata!$A$2:$A1000,Metadata!$B$2:$B1000)))"),"")</f>
        <v/>
      </c>
    </row>
    <row r="41">
      <c r="A41" s="33" t="str">
        <f>IFERROR(__xludf.DUMMYFUNCTION("""COMPUTED_VALUE"""),"Tranquil Herd Gem Titan")</f>
        <v>Tranquil Herd Gem Titan</v>
      </c>
      <c r="B41" s="33" t="str">
        <f t="array" ref="B41:I41">XLOOKUP($A41,Cards!$A$2:$A1000,Cards!$B$2:$I1000,"")</f>
        <v>Divine</v>
      </c>
      <c r="C41" s="33">
        <v>1.0</v>
      </c>
      <c r="D41" s="33" t="s">
        <v>229</v>
      </c>
      <c r="E41" s="33" t="s">
        <v>230</v>
      </c>
      <c r="F41" s="33" t="s">
        <v>231</v>
      </c>
      <c r="G41" s="33">
        <v>6.0</v>
      </c>
      <c r="H41" s="33" t="s">
        <v>56</v>
      </c>
      <c r="I41" s="33" t="s">
        <v>26</v>
      </c>
      <c r="J41" s="33">
        <f>IFERROR(__xludf.DUMMYFUNCTION("LEN(REGEXREPLACE(XLOOKUP($A41,Cards!$A$2:$A1000,Cards!$H$2:$H1000,""""),"",\s"",""""))"),6.0)</f>
        <v>6</v>
      </c>
      <c r="K41" s="33" t="str">
        <f t="shared" si="1"/>
        <v>Divine               </v>
      </c>
      <c r="L41" s="33" t="str">
        <f>IFERROR(__xludf.DUMMYFUNCTION("IF(IF(L$1="""","""",REGEXMATCH(LOWER($E41),XLOOKUP(L$1,Metadata!$A$2:$A1000,Metadata!$B$2:$B1000))),L$1,"""")"),"Divine")</f>
        <v>Divine</v>
      </c>
      <c r="M41" s="33" t="str">
        <f>IFERROR(__xludf.DUMMYFUNCTION("IF(IF(M$1="""","""",REGEXMATCH(LOWER($E41),XLOOKUP(M$1,Metadata!$A$2:$A1000,Metadata!$B$2:$B1000))),M$1,"""")"),"")</f>
        <v/>
      </c>
      <c r="N41" s="33" t="str">
        <f>IFERROR(__xludf.DUMMYFUNCTION("IF(IF(N$1="""","""",REGEXMATCH(LOWER($E41),XLOOKUP(N$1,Metadata!$A$2:$A1000,Metadata!$B$2:$B1000))),N$1,"""")"),"")</f>
        <v/>
      </c>
      <c r="O41" s="33" t="str">
        <f>IFERROR(__xludf.DUMMYFUNCTION("IF(IF(O$1="""","""",REGEXMATCH(LOWER($E41),XLOOKUP(O$1,Metadata!$A$2:$A1000,Metadata!$B$2:$B1000))),O$1,"""")"),"")</f>
        <v/>
      </c>
      <c r="P41" s="33" t="str">
        <f>IFERROR(__xludf.DUMMYFUNCTION("IF(IF(P$1="""","""",REGEXMATCH(LOWER($E41),XLOOKUP(P$1,Metadata!$A$2:$A1000,Metadata!$B$2:$B1000))),P$1,"""")"),"")</f>
        <v/>
      </c>
      <c r="Q41" s="33" t="str">
        <f>IFERROR(__xludf.DUMMYFUNCTION("IF(IF(Q$1="""","""",REGEXMATCH(LOWER($E41),XLOOKUP(Q$1,Metadata!$A$2:$A1000,Metadata!$B$2:$B1000))),Q$1,"""")"),"")</f>
        <v/>
      </c>
      <c r="R41" s="33" t="str">
        <f>IFERROR(__xludf.DUMMYFUNCTION("IF(IF(R$1="""","""",REGEXMATCH(LOWER($E41),XLOOKUP(R$1,Metadata!$A$2:$A1000,Metadata!$B$2:$B1000))),R$1,"""")"),"")</f>
        <v/>
      </c>
      <c r="S41" s="33" t="str">
        <f>IFERROR(__xludf.DUMMYFUNCTION("IF(IF(S$1="""","""",REGEXMATCH(LOWER($E41),XLOOKUP(S$1,Metadata!$A$2:$A1000,Metadata!$B$2:$B1000))),S$1,"""")"),"")</f>
        <v/>
      </c>
      <c r="T41" s="33" t="str">
        <f>IFERROR(__xludf.DUMMYFUNCTION("IF(IF(T$1="""","""",REGEXMATCH(LOWER($E41),XLOOKUP(T$1,Metadata!$A$2:$A1000,Metadata!$B$2:$B1000))),T$1,"""")"),"")</f>
        <v/>
      </c>
      <c r="U41" s="33" t="str">
        <f>IFERROR(__xludf.DUMMYFUNCTION("IF(IF(U$1="""","""",REGEXMATCH(LOWER($E41),XLOOKUP(U$1,Metadata!$A$2:$A1000,Metadata!$B$2:$B1000))),U$1,"""")"),"")</f>
        <v/>
      </c>
      <c r="V41" s="33" t="str">
        <f>IFERROR(__xludf.DUMMYFUNCTION("IF(IF(V$1="""","""",REGEXMATCH(LOWER($E41),XLOOKUP(V$1,Metadata!$A$2:$A1000,Metadata!$B$2:$B1000))),V$1,"""")"),"")</f>
        <v/>
      </c>
      <c r="W41" s="33" t="str">
        <f>IFERROR(__xludf.DUMMYFUNCTION("IF(IF(W$1="""","""",REGEXMATCH(LOWER($E41),XLOOKUP(W$1,Metadata!$A$2:$A1000,Metadata!$B$2:$B1000))),W$1,"""")"),"")</f>
        <v/>
      </c>
      <c r="X41" s="33" t="str">
        <f>IFERROR(__xludf.DUMMYFUNCTION("IF(IF(X$1="""","""",REGEXMATCH(LOWER($E41),XLOOKUP(X$1,Metadata!$A$2:$A1000,Metadata!$B$2:$B1000))),X$1,"""")"),"")</f>
        <v/>
      </c>
      <c r="Y41" s="33" t="str">
        <f>IFERROR(__xludf.DUMMYFUNCTION("IF(IF(Y$1="""","""",REGEXMATCH(LOWER($E41),XLOOKUP(Y$1,Metadata!$A$2:$A1000,Metadata!$B$2:$B1000))),Y$1,"""")"),"")</f>
        <v/>
      </c>
      <c r="Z41" s="33" t="str">
        <f>IFERROR(__xludf.DUMMYFUNCTION("IF(IF(Z$1="""","""",REGEXMATCH(LOWER($E41),XLOOKUP(Z$1,Metadata!$A$2:$A1000,Metadata!$B$2:$B1000))),Z$1,"""")"),"")</f>
        <v/>
      </c>
      <c r="AA41" s="33" t="str">
        <f>IFERROR(__xludf.DUMMYFUNCTION("IF(AA$1="""","""",REGEXMATCH(LOWER($E41),XLOOKUP(AA$1,Metadata!$A$2:$A1000,Metadata!$B$2:$B1000)))"),"")</f>
        <v/>
      </c>
    </row>
    <row r="42">
      <c r="A42" s="33" t="str">
        <f>IFERROR(__xludf.DUMMYFUNCTION("""COMPUTED_VALUE"""),"Towering Obelisk of Xi")</f>
        <v>Towering Obelisk of Xi</v>
      </c>
      <c r="B42" s="33" t="str">
        <f t="array" ref="B42:I42">XLOOKUP($A42,Cards!$A$2:$A1000,Cards!$B$2:$I1000,"")</f>
        <v>Divine</v>
      </c>
      <c r="C42" s="33">
        <v>2.0</v>
      </c>
      <c r="D42" s="33" t="s">
        <v>70</v>
      </c>
      <c r="E42" s="33" t="s">
        <v>235</v>
      </c>
      <c r="F42" s="33" t="s">
        <v>24</v>
      </c>
      <c r="G42" s="33">
        <v>3.0</v>
      </c>
      <c r="H42" s="33" t="s">
        <v>137</v>
      </c>
      <c r="I42" s="33" t="s">
        <v>62</v>
      </c>
      <c r="J42" s="33">
        <f>IFERROR(__xludf.DUMMYFUNCTION("LEN(REGEXREPLACE(XLOOKUP($A42,Cards!$A$2:$A1000,Cards!$H$2:$H1000,""""),"",\s"",""""))"),4.0)</f>
        <v>4</v>
      </c>
      <c r="K42" s="33" t="str">
        <f t="shared" si="1"/>
        <v>               </v>
      </c>
      <c r="L42" s="33" t="str">
        <f>IFERROR(__xludf.DUMMYFUNCTION("IF(IF(L$1="""","""",REGEXMATCH(LOWER($E42),XLOOKUP(L$1,Metadata!$A$2:$A1000,Metadata!$B$2:$B1000))),L$1,"""")"),"")</f>
        <v/>
      </c>
      <c r="M42" s="33" t="str">
        <f>IFERROR(__xludf.DUMMYFUNCTION("IF(IF(M$1="""","""",REGEXMATCH(LOWER($E42),XLOOKUP(M$1,Metadata!$A$2:$A1000,Metadata!$B$2:$B1000))),M$1,"""")"),"")</f>
        <v/>
      </c>
      <c r="N42" s="33" t="str">
        <f>IFERROR(__xludf.DUMMYFUNCTION("IF(IF(N$1="""","""",REGEXMATCH(LOWER($E42),XLOOKUP(N$1,Metadata!$A$2:$A1000,Metadata!$B$2:$B1000))),N$1,"""")"),"")</f>
        <v/>
      </c>
      <c r="O42" s="33" t="str">
        <f>IFERROR(__xludf.DUMMYFUNCTION("IF(IF(O$1="""","""",REGEXMATCH(LOWER($E42),XLOOKUP(O$1,Metadata!$A$2:$A1000,Metadata!$B$2:$B1000))),O$1,"""")"),"")</f>
        <v/>
      </c>
      <c r="P42" s="33" t="str">
        <f>IFERROR(__xludf.DUMMYFUNCTION("IF(IF(P$1="""","""",REGEXMATCH(LOWER($E42),XLOOKUP(P$1,Metadata!$A$2:$A1000,Metadata!$B$2:$B1000))),P$1,"""")"),"")</f>
        <v/>
      </c>
      <c r="Q42" s="33" t="str">
        <f>IFERROR(__xludf.DUMMYFUNCTION("IF(IF(Q$1="""","""",REGEXMATCH(LOWER($E42),XLOOKUP(Q$1,Metadata!$A$2:$A1000,Metadata!$B$2:$B1000))),Q$1,"""")"),"")</f>
        <v/>
      </c>
      <c r="R42" s="33" t="str">
        <f>IFERROR(__xludf.DUMMYFUNCTION("IF(IF(R$1="""","""",REGEXMATCH(LOWER($E42),XLOOKUP(R$1,Metadata!$A$2:$A1000,Metadata!$B$2:$B1000))),R$1,"""")"),"")</f>
        <v/>
      </c>
      <c r="S42" s="33" t="str">
        <f>IFERROR(__xludf.DUMMYFUNCTION("IF(IF(S$1="""","""",REGEXMATCH(LOWER($E42),XLOOKUP(S$1,Metadata!$A$2:$A1000,Metadata!$B$2:$B1000))),S$1,"""")"),"")</f>
        <v/>
      </c>
      <c r="T42" s="33" t="str">
        <f>IFERROR(__xludf.DUMMYFUNCTION("IF(IF(T$1="""","""",REGEXMATCH(LOWER($E42),XLOOKUP(T$1,Metadata!$A$2:$A1000,Metadata!$B$2:$B1000))),T$1,"""")"),"")</f>
        <v/>
      </c>
      <c r="U42" s="33" t="str">
        <f>IFERROR(__xludf.DUMMYFUNCTION("IF(IF(U$1="""","""",REGEXMATCH(LOWER($E42),XLOOKUP(U$1,Metadata!$A$2:$A1000,Metadata!$B$2:$B1000))),U$1,"""")"),"")</f>
        <v/>
      </c>
      <c r="V42" s="33" t="str">
        <f>IFERROR(__xludf.DUMMYFUNCTION("IF(IF(V$1="""","""",REGEXMATCH(LOWER($E42),XLOOKUP(V$1,Metadata!$A$2:$A1000,Metadata!$B$2:$B1000))),V$1,"""")"),"")</f>
        <v/>
      </c>
      <c r="W42" s="33" t="str">
        <f>IFERROR(__xludf.DUMMYFUNCTION("IF(IF(W$1="""","""",REGEXMATCH(LOWER($E42),XLOOKUP(W$1,Metadata!$A$2:$A1000,Metadata!$B$2:$B1000))),W$1,"""")"),"")</f>
        <v/>
      </c>
      <c r="X42" s="33" t="str">
        <f>IFERROR(__xludf.DUMMYFUNCTION("IF(IF(X$1="""","""",REGEXMATCH(LOWER($E42),XLOOKUP(X$1,Metadata!$A$2:$A1000,Metadata!$B$2:$B1000))),X$1,"""")"),"")</f>
        <v/>
      </c>
      <c r="Y42" s="33" t="str">
        <f>IFERROR(__xludf.DUMMYFUNCTION("IF(IF(Y$1="""","""",REGEXMATCH(LOWER($E42),XLOOKUP(Y$1,Metadata!$A$2:$A1000,Metadata!$B$2:$B1000))),Y$1,"""")"),"")</f>
        <v/>
      </c>
      <c r="Z42" s="33" t="str">
        <f>IFERROR(__xludf.DUMMYFUNCTION("IF(IF(Z$1="""","""",REGEXMATCH(LOWER($E42),XLOOKUP(Z$1,Metadata!$A$2:$A1000,Metadata!$B$2:$B1000))),Z$1,"""")"),"")</f>
        <v/>
      </c>
      <c r="AA42" s="33" t="str">
        <f>IFERROR(__xludf.DUMMYFUNCTION("IF(AA$1="""","""",REGEXMATCH(LOWER($E42),XLOOKUP(AA$1,Metadata!$A$2:$A1000,Metadata!$B$2:$B1000)))"),"")</f>
        <v/>
      </c>
    </row>
    <row r="43">
      <c r="A43" s="33" t="str">
        <f>IFERROR(__xludf.DUMMYFUNCTION("""COMPUTED_VALUE"""),"Thunderswarm Pegasus")</f>
        <v>Thunderswarm Pegasus</v>
      </c>
      <c r="B43" s="33" t="str">
        <f t="array" ref="B43:I43">XLOOKUP($A43,Cards!$A$2:$A1000,Cards!$B$2:$I1000,"")</f>
        <v>Divine</v>
      </c>
      <c r="C43" s="33">
        <v>1.0</v>
      </c>
      <c r="D43" s="33" t="s">
        <v>237</v>
      </c>
      <c r="E43" s="33"/>
      <c r="F43" s="33" t="s">
        <v>238</v>
      </c>
      <c r="G43" s="33">
        <v>4.0</v>
      </c>
      <c r="H43" s="33" t="s">
        <v>224</v>
      </c>
      <c r="I43" s="33" t="s">
        <v>26</v>
      </c>
      <c r="J43" s="33">
        <f>IFERROR(__xludf.DUMMYFUNCTION("LEN(REGEXREPLACE(XLOOKUP($A43,Cards!$A$2:$A1000,Cards!$H$2:$H1000,""""),"",\s"",""""))"),4.0)</f>
        <v>4</v>
      </c>
      <c r="K43" s="33" t="str">
        <f t="shared" si="1"/>
        <v>               </v>
      </c>
      <c r="L43" s="33" t="str">
        <f>IFERROR(__xludf.DUMMYFUNCTION("IF(IF(L$1="""","""",REGEXMATCH(LOWER($E43),XLOOKUP(L$1,Metadata!$A$2:$A1000,Metadata!$B$2:$B1000))),L$1,"""")"),"")</f>
        <v/>
      </c>
      <c r="M43" s="33" t="str">
        <f>IFERROR(__xludf.DUMMYFUNCTION("IF(IF(M$1="""","""",REGEXMATCH(LOWER($E43),XLOOKUP(M$1,Metadata!$A$2:$A1000,Metadata!$B$2:$B1000))),M$1,"""")"),"")</f>
        <v/>
      </c>
      <c r="N43" s="33" t="str">
        <f>IFERROR(__xludf.DUMMYFUNCTION("IF(IF(N$1="""","""",REGEXMATCH(LOWER($E43),XLOOKUP(N$1,Metadata!$A$2:$A1000,Metadata!$B$2:$B1000))),N$1,"""")"),"")</f>
        <v/>
      </c>
      <c r="O43" s="33" t="str">
        <f>IFERROR(__xludf.DUMMYFUNCTION("IF(IF(O$1="""","""",REGEXMATCH(LOWER($E43),XLOOKUP(O$1,Metadata!$A$2:$A1000,Metadata!$B$2:$B1000))),O$1,"""")"),"")</f>
        <v/>
      </c>
      <c r="P43" s="33" t="str">
        <f>IFERROR(__xludf.DUMMYFUNCTION("IF(IF(P$1="""","""",REGEXMATCH(LOWER($E43),XLOOKUP(P$1,Metadata!$A$2:$A1000,Metadata!$B$2:$B1000))),P$1,"""")"),"")</f>
        <v/>
      </c>
      <c r="Q43" s="33" t="str">
        <f>IFERROR(__xludf.DUMMYFUNCTION("IF(IF(Q$1="""","""",REGEXMATCH(LOWER($E43),XLOOKUP(Q$1,Metadata!$A$2:$A1000,Metadata!$B$2:$B1000))),Q$1,"""")"),"")</f>
        <v/>
      </c>
      <c r="R43" s="33" t="str">
        <f>IFERROR(__xludf.DUMMYFUNCTION("IF(IF(R$1="""","""",REGEXMATCH(LOWER($E43),XLOOKUP(R$1,Metadata!$A$2:$A1000,Metadata!$B$2:$B1000))),R$1,"""")"),"")</f>
        <v/>
      </c>
      <c r="S43" s="33" t="str">
        <f>IFERROR(__xludf.DUMMYFUNCTION("IF(IF(S$1="""","""",REGEXMATCH(LOWER($E43),XLOOKUP(S$1,Metadata!$A$2:$A1000,Metadata!$B$2:$B1000))),S$1,"""")"),"")</f>
        <v/>
      </c>
      <c r="T43" s="33" t="str">
        <f>IFERROR(__xludf.DUMMYFUNCTION("IF(IF(T$1="""","""",REGEXMATCH(LOWER($E43),XLOOKUP(T$1,Metadata!$A$2:$A1000,Metadata!$B$2:$B1000))),T$1,"""")"),"")</f>
        <v/>
      </c>
      <c r="U43" s="33" t="str">
        <f>IFERROR(__xludf.DUMMYFUNCTION("IF(IF(U$1="""","""",REGEXMATCH(LOWER($E43),XLOOKUP(U$1,Metadata!$A$2:$A1000,Metadata!$B$2:$B1000))),U$1,"""")"),"")</f>
        <v/>
      </c>
      <c r="V43" s="33" t="str">
        <f>IFERROR(__xludf.DUMMYFUNCTION("IF(IF(V$1="""","""",REGEXMATCH(LOWER($E43),XLOOKUP(V$1,Metadata!$A$2:$A1000,Metadata!$B$2:$B1000))),V$1,"""")"),"")</f>
        <v/>
      </c>
      <c r="W43" s="33" t="str">
        <f>IFERROR(__xludf.DUMMYFUNCTION("IF(IF(W$1="""","""",REGEXMATCH(LOWER($E43),XLOOKUP(W$1,Metadata!$A$2:$A1000,Metadata!$B$2:$B1000))),W$1,"""")"),"")</f>
        <v/>
      </c>
      <c r="X43" s="33" t="str">
        <f>IFERROR(__xludf.DUMMYFUNCTION("IF(IF(X$1="""","""",REGEXMATCH(LOWER($E43),XLOOKUP(X$1,Metadata!$A$2:$A1000,Metadata!$B$2:$B1000))),X$1,"""")"),"")</f>
        <v/>
      </c>
      <c r="Y43" s="33" t="str">
        <f>IFERROR(__xludf.DUMMYFUNCTION("IF(IF(Y$1="""","""",REGEXMATCH(LOWER($E43),XLOOKUP(Y$1,Metadata!$A$2:$A1000,Metadata!$B$2:$B1000))),Y$1,"""")"),"")</f>
        <v/>
      </c>
      <c r="Z43" s="33" t="str">
        <f>IFERROR(__xludf.DUMMYFUNCTION("IF(IF(Z$1="""","""",REGEXMATCH(LOWER($E43),XLOOKUP(Z$1,Metadata!$A$2:$A1000,Metadata!$B$2:$B1000))),Z$1,"""")"),"")</f>
        <v/>
      </c>
      <c r="AA43" s="33" t="str">
        <f>IFERROR(__xludf.DUMMYFUNCTION("IF(AA$1="""","""",REGEXMATCH(LOWER($E43),XLOOKUP(AA$1,Metadata!$A$2:$A1000,Metadata!$B$2:$B1000)))"),"")</f>
        <v/>
      </c>
    </row>
    <row r="44">
      <c r="A44" s="33" t="str">
        <f>IFERROR(__xludf.DUMMYFUNCTION("""COMPUTED_VALUE"""),"Winged Ushabti")</f>
        <v>Winged Ushabti</v>
      </c>
      <c r="B44" s="33" t="str">
        <f t="array" ref="B44:I44">XLOOKUP($A44,Cards!$A$2:$A1000,Cards!$B$2:$I1000,"")</f>
        <v>Divine</v>
      </c>
      <c r="C44" s="33">
        <v>2.0</v>
      </c>
      <c r="D44" s="33" t="s">
        <v>199</v>
      </c>
      <c r="E44" s="33" t="s">
        <v>242</v>
      </c>
      <c r="F44" s="33" t="s">
        <v>243</v>
      </c>
      <c r="G44" s="33">
        <v>5.0</v>
      </c>
      <c r="H44" s="33" t="s">
        <v>31</v>
      </c>
      <c r="I44" s="33" t="s">
        <v>62</v>
      </c>
      <c r="J44" s="33">
        <f>IFERROR(__xludf.DUMMYFUNCTION("LEN(REGEXREPLACE(XLOOKUP($A44,Cards!$A$2:$A1000,Cards!$H$2:$H1000,""""),"",\s"",""""))"),5.0)</f>
        <v>5</v>
      </c>
      <c r="K44" s="33" t="str">
        <f t="shared" si="1"/>
        <v>      Ramp Control     Ambush   </v>
      </c>
      <c r="L44" s="33" t="str">
        <f>IFERROR(__xludf.DUMMYFUNCTION("IF(IF(L$1="""","""",REGEXMATCH(LOWER($E44),XLOOKUP(L$1,Metadata!$A$2:$A1000,Metadata!$B$2:$B1000))),L$1,"""")"),"")</f>
        <v/>
      </c>
      <c r="M44" s="33" t="str">
        <f>IFERROR(__xludf.DUMMYFUNCTION("IF(IF(M$1="""","""",REGEXMATCH(LOWER($E44),XLOOKUP(M$1,Metadata!$A$2:$A1000,Metadata!$B$2:$B1000))),M$1,"""")"),"")</f>
        <v/>
      </c>
      <c r="N44" s="33" t="str">
        <f>IFERROR(__xludf.DUMMYFUNCTION("IF(IF(N$1="""","""",REGEXMATCH(LOWER($E44),XLOOKUP(N$1,Metadata!$A$2:$A1000,Metadata!$B$2:$B1000))),N$1,"""")"),"")</f>
        <v/>
      </c>
      <c r="O44" s="33" t="str">
        <f>IFERROR(__xludf.DUMMYFUNCTION("IF(IF(O$1="""","""",REGEXMATCH(LOWER($E44),XLOOKUP(O$1,Metadata!$A$2:$A1000,Metadata!$B$2:$B1000))),O$1,"""")"),"")</f>
        <v/>
      </c>
      <c r="P44" s="33" t="str">
        <f>IFERROR(__xludf.DUMMYFUNCTION("IF(IF(P$1="""","""",REGEXMATCH(LOWER($E44),XLOOKUP(P$1,Metadata!$A$2:$A1000,Metadata!$B$2:$B1000))),P$1,"""")"),"")</f>
        <v/>
      </c>
      <c r="Q44" s="33" t="str">
        <f>IFERROR(__xludf.DUMMYFUNCTION("IF(IF(Q$1="""","""",REGEXMATCH(LOWER($E44),XLOOKUP(Q$1,Metadata!$A$2:$A1000,Metadata!$B$2:$B1000))),Q$1,"""")"),"")</f>
        <v/>
      </c>
      <c r="R44" s="33" t="str">
        <f>IFERROR(__xludf.DUMMYFUNCTION("IF(IF(R$1="""","""",REGEXMATCH(LOWER($E44),XLOOKUP(R$1,Metadata!$A$2:$A1000,Metadata!$B$2:$B1000))),R$1,"""")"),"Ramp")</f>
        <v>Ramp</v>
      </c>
      <c r="S44" s="33" t="str">
        <f>IFERROR(__xludf.DUMMYFUNCTION("IF(IF(S$1="""","""",REGEXMATCH(LOWER($E44),XLOOKUP(S$1,Metadata!$A$2:$A1000,Metadata!$B$2:$B1000))),S$1,"""")"),"Control")</f>
        <v>Control</v>
      </c>
      <c r="T44" s="33" t="str">
        <f>IFERROR(__xludf.DUMMYFUNCTION("IF(IF(T$1="""","""",REGEXMATCH(LOWER($E44),XLOOKUP(T$1,Metadata!$A$2:$A1000,Metadata!$B$2:$B1000))),T$1,"""")"),"")</f>
        <v/>
      </c>
      <c r="U44" s="33" t="str">
        <f>IFERROR(__xludf.DUMMYFUNCTION("IF(IF(U$1="""","""",REGEXMATCH(LOWER($E44),XLOOKUP(U$1,Metadata!$A$2:$A1000,Metadata!$B$2:$B1000))),U$1,"""")"),"")</f>
        <v/>
      </c>
      <c r="V44" s="33" t="str">
        <f>IFERROR(__xludf.DUMMYFUNCTION("IF(IF(V$1="""","""",REGEXMATCH(LOWER($E44),XLOOKUP(V$1,Metadata!$A$2:$A1000,Metadata!$B$2:$B1000))),V$1,"""")"),"")</f>
        <v/>
      </c>
      <c r="W44" s="33" t="str">
        <f>IFERROR(__xludf.DUMMYFUNCTION("IF(IF(W$1="""","""",REGEXMATCH(LOWER($E44),XLOOKUP(W$1,Metadata!$A$2:$A1000,Metadata!$B$2:$B1000))),W$1,"""")"),"")</f>
        <v/>
      </c>
      <c r="X44" s="33" t="str">
        <f>IFERROR(__xludf.DUMMYFUNCTION("IF(IF(X$1="""","""",REGEXMATCH(LOWER($E44),XLOOKUP(X$1,Metadata!$A$2:$A1000,Metadata!$B$2:$B1000))),X$1,"""")"),"Ambush")</f>
        <v>Ambush</v>
      </c>
      <c r="Y44" s="33" t="str">
        <f>IFERROR(__xludf.DUMMYFUNCTION("IF(IF(Y$1="""","""",REGEXMATCH(LOWER($E44),XLOOKUP(Y$1,Metadata!$A$2:$A1000,Metadata!$B$2:$B1000))),Y$1,"""")"),"")</f>
        <v/>
      </c>
      <c r="Z44" s="33" t="str">
        <f>IFERROR(__xludf.DUMMYFUNCTION("IF(IF(Z$1="""","""",REGEXMATCH(LOWER($E44),XLOOKUP(Z$1,Metadata!$A$2:$A1000,Metadata!$B$2:$B1000))),Z$1,"""")"),"")</f>
        <v/>
      </c>
      <c r="AA44" s="33" t="str">
        <f>IFERROR(__xludf.DUMMYFUNCTION("IF(AA$1="""","""",REGEXMATCH(LOWER($E44),XLOOKUP(AA$1,Metadata!$A$2:$A1000,Metadata!$B$2:$B1000)))"),"")</f>
        <v/>
      </c>
    </row>
    <row r="45">
      <c r="A45" s="33" t="str">
        <f>IFERROR(__xludf.DUMMYFUNCTION("""COMPUTED_VALUE"""),"Ghostfire Basilisk")</f>
        <v>Ghostfire Basilisk</v>
      </c>
      <c r="B45" s="33" t="str">
        <f t="array" ref="B45:I45">XLOOKUP($A45,Cards!$A$2:$A1000,Cards!$B$2:$I1000,"")</f>
        <v>Divine</v>
      </c>
      <c r="C45" s="33">
        <v>1.0</v>
      </c>
      <c r="D45" s="33" t="s">
        <v>245</v>
      </c>
      <c r="E45" s="33"/>
      <c r="F45" s="33"/>
      <c r="G45" s="33">
        <v>5.0</v>
      </c>
      <c r="H45" s="33" t="s">
        <v>246</v>
      </c>
      <c r="I45" s="33" t="s">
        <v>26</v>
      </c>
      <c r="J45" s="33">
        <f>IFERROR(__xludf.DUMMYFUNCTION("LEN(REGEXREPLACE(XLOOKUP($A45,Cards!$A$2:$A1000,Cards!$H$2:$H1000,""""),"",\s"",""""))"),5.0)</f>
        <v>5</v>
      </c>
      <c r="K45" s="33" t="str">
        <f t="shared" si="1"/>
        <v>               </v>
      </c>
      <c r="L45" s="33" t="str">
        <f>IFERROR(__xludf.DUMMYFUNCTION("IF(IF(L$1="""","""",REGEXMATCH(LOWER($E45),XLOOKUP(L$1,Metadata!$A$2:$A1000,Metadata!$B$2:$B1000))),L$1,"""")"),"")</f>
        <v/>
      </c>
      <c r="M45" s="33" t="str">
        <f>IFERROR(__xludf.DUMMYFUNCTION("IF(IF(M$1="""","""",REGEXMATCH(LOWER($E45),XLOOKUP(M$1,Metadata!$A$2:$A1000,Metadata!$B$2:$B1000))),M$1,"""")"),"")</f>
        <v/>
      </c>
      <c r="N45" s="33" t="str">
        <f>IFERROR(__xludf.DUMMYFUNCTION("IF(IF(N$1="""","""",REGEXMATCH(LOWER($E45),XLOOKUP(N$1,Metadata!$A$2:$A1000,Metadata!$B$2:$B1000))),N$1,"""")"),"")</f>
        <v/>
      </c>
      <c r="O45" s="33" t="str">
        <f>IFERROR(__xludf.DUMMYFUNCTION("IF(IF(O$1="""","""",REGEXMATCH(LOWER($E45),XLOOKUP(O$1,Metadata!$A$2:$A1000,Metadata!$B$2:$B1000))),O$1,"""")"),"")</f>
        <v/>
      </c>
      <c r="P45" s="33" t="str">
        <f>IFERROR(__xludf.DUMMYFUNCTION("IF(IF(P$1="""","""",REGEXMATCH(LOWER($E45),XLOOKUP(P$1,Metadata!$A$2:$A1000,Metadata!$B$2:$B1000))),P$1,"""")"),"")</f>
        <v/>
      </c>
      <c r="Q45" s="33" t="str">
        <f>IFERROR(__xludf.DUMMYFUNCTION("IF(IF(Q$1="""","""",REGEXMATCH(LOWER($E45),XLOOKUP(Q$1,Metadata!$A$2:$A1000,Metadata!$B$2:$B1000))),Q$1,"""")"),"")</f>
        <v/>
      </c>
      <c r="R45" s="33" t="str">
        <f>IFERROR(__xludf.DUMMYFUNCTION("IF(IF(R$1="""","""",REGEXMATCH(LOWER($E45),XLOOKUP(R$1,Metadata!$A$2:$A1000,Metadata!$B$2:$B1000))),R$1,"""")"),"")</f>
        <v/>
      </c>
      <c r="S45" s="33" t="str">
        <f>IFERROR(__xludf.DUMMYFUNCTION("IF(IF(S$1="""","""",REGEXMATCH(LOWER($E45),XLOOKUP(S$1,Metadata!$A$2:$A1000,Metadata!$B$2:$B1000))),S$1,"""")"),"")</f>
        <v/>
      </c>
      <c r="T45" s="33" t="str">
        <f>IFERROR(__xludf.DUMMYFUNCTION("IF(IF(T$1="""","""",REGEXMATCH(LOWER($E45),XLOOKUP(T$1,Metadata!$A$2:$A1000,Metadata!$B$2:$B1000))),T$1,"""")"),"")</f>
        <v/>
      </c>
      <c r="U45" s="33" t="str">
        <f>IFERROR(__xludf.DUMMYFUNCTION("IF(IF(U$1="""","""",REGEXMATCH(LOWER($E45),XLOOKUP(U$1,Metadata!$A$2:$A1000,Metadata!$B$2:$B1000))),U$1,"""")"),"")</f>
        <v/>
      </c>
      <c r="V45" s="33" t="str">
        <f>IFERROR(__xludf.DUMMYFUNCTION("IF(IF(V$1="""","""",REGEXMATCH(LOWER($E45),XLOOKUP(V$1,Metadata!$A$2:$A1000,Metadata!$B$2:$B1000))),V$1,"""")"),"")</f>
        <v/>
      </c>
      <c r="W45" s="33" t="str">
        <f>IFERROR(__xludf.DUMMYFUNCTION("IF(IF(W$1="""","""",REGEXMATCH(LOWER($E45),XLOOKUP(W$1,Metadata!$A$2:$A1000,Metadata!$B$2:$B1000))),W$1,"""")"),"")</f>
        <v/>
      </c>
      <c r="X45" s="33" t="str">
        <f>IFERROR(__xludf.DUMMYFUNCTION("IF(IF(X$1="""","""",REGEXMATCH(LOWER($E45),XLOOKUP(X$1,Metadata!$A$2:$A1000,Metadata!$B$2:$B1000))),X$1,"""")"),"")</f>
        <v/>
      </c>
      <c r="Y45" s="33" t="str">
        <f>IFERROR(__xludf.DUMMYFUNCTION("IF(IF(Y$1="""","""",REGEXMATCH(LOWER($E45),XLOOKUP(Y$1,Metadata!$A$2:$A1000,Metadata!$B$2:$B1000))),Y$1,"""")"),"")</f>
        <v/>
      </c>
      <c r="Z45" s="33" t="str">
        <f>IFERROR(__xludf.DUMMYFUNCTION("IF(IF(Z$1="""","""",REGEXMATCH(LOWER($E45),XLOOKUP(Z$1,Metadata!$A$2:$A1000,Metadata!$B$2:$B1000))),Z$1,"""")"),"")</f>
        <v/>
      </c>
      <c r="AA45" s="33" t="str">
        <f>IFERROR(__xludf.DUMMYFUNCTION("IF(AA$1="""","""",REGEXMATCH(LOWER($E45),XLOOKUP(AA$1,Metadata!$A$2:$A1000,Metadata!$B$2:$B1000)))"),"")</f>
        <v/>
      </c>
    </row>
    <row r="46">
      <c r="A46" s="33" t="str">
        <f>IFERROR(__xludf.DUMMYFUNCTION("""COMPUTED_VALUE"""),"Yellow Crusader")</f>
        <v>Yellow Crusader</v>
      </c>
      <c r="B46" s="33" t="str">
        <f t="array" ref="B46:I46">XLOOKUP($A46,Cards!$A$2:$A1000,Cards!$B$2:$I1000,"")</f>
        <v>Divine</v>
      </c>
      <c r="C46" s="33">
        <v>2.0</v>
      </c>
      <c r="D46" s="33" t="s">
        <v>248</v>
      </c>
      <c r="E46" s="33" t="s">
        <v>249</v>
      </c>
      <c r="F46" s="33" t="s">
        <v>250</v>
      </c>
      <c r="G46" s="33">
        <v>2.0</v>
      </c>
      <c r="H46" s="33" t="s">
        <v>92</v>
      </c>
      <c r="I46" s="33" t="s">
        <v>26</v>
      </c>
      <c r="J46" s="33">
        <f>IFERROR(__xludf.DUMMYFUNCTION("LEN(REGEXREPLACE(XLOOKUP($A46,Cards!$A$2:$A1000,Cards!$H$2:$H1000,""""),"",\s"",""""))"),2.0)</f>
        <v>2</v>
      </c>
      <c r="K46" s="33" t="str">
        <f t="shared" si="1"/>
        <v>               </v>
      </c>
      <c r="L46" s="33" t="str">
        <f>IFERROR(__xludf.DUMMYFUNCTION("IF(IF(L$1="""","""",REGEXMATCH(LOWER($E46),XLOOKUP(L$1,Metadata!$A$2:$A1000,Metadata!$B$2:$B1000))),L$1,"""")"),"")</f>
        <v/>
      </c>
      <c r="M46" s="33" t="str">
        <f>IFERROR(__xludf.DUMMYFUNCTION("IF(IF(M$1="""","""",REGEXMATCH(LOWER($E46),XLOOKUP(M$1,Metadata!$A$2:$A1000,Metadata!$B$2:$B1000))),M$1,"""")"),"")</f>
        <v/>
      </c>
      <c r="N46" s="33" t="str">
        <f>IFERROR(__xludf.DUMMYFUNCTION("IF(IF(N$1="""","""",REGEXMATCH(LOWER($E46),XLOOKUP(N$1,Metadata!$A$2:$A1000,Metadata!$B$2:$B1000))),N$1,"""")"),"")</f>
        <v/>
      </c>
      <c r="O46" s="33" t="str">
        <f>IFERROR(__xludf.DUMMYFUNCTION("IF(IF(O$1="""","""",REGEXMATCH(LOWER($E46),XLOOKUP(O$1,Metadata!$A$2:$A1000,Metadata!$B$2:$B1000))),O$1,"""")"),"")</f>
        <v/>
      </c>
      <c r="P46" s="33" t="str">
        <f>IFERROR(__xludf.DUMMYFUNCTION("IF(IF(P$1="""","""",REGEXMATCH(LOWER($E46),XLOOKUP(P$1,Metadata!$A$2:$A1000,Metadata!$B$2:$B1000))),P$1,"""")"),"")</f>
        <v/>
      </c>
      <c r="Q46" s="33" t="str">
        <f>IFERROR(__xludf.DUMMYFUNCTION("IF(IF(Q$1="""","""",REGEXMATCH(LOWER($E46),XLOOKUP(Q$1,Metadata!$A$2:$A1000,Metadata!$B$2:$B1000))),Q$1,"""")"),"")</f>
        <v/>
      </c>
      <c r="R46" s="33" t="str">
        <f>IFERROR(__xludf.DUMMYFUNCTION("IF(IF(R$1="""","""",REGEXMATCH(LOWER($E46),XLOOKUP(R$1,Metadata!$A$2:$A1000,Metadata!$B$2:$B1000))),R$1,"""")"),"")</f>
        <v/>
      </c>
      <c r="S46" s="33" t="str">
        <f>IFERROR(__xludf.DUMMYFUNCTION("IF(IF(S$1="""","""",REGEXMATCH(LOWER($E46),XLOOKUP(S$1,Metadata!$A$2:$A1000,Metadata!$B$2:$B1000))),S$1,"""")"),"")</f>
        <v/>
      </c>
      <c r="T46" s="33" t="str">
        <f>IFERROR(__xludf.DUMMYFUNCTION("IF(IF(T$1="""","""",REGEXMATCH(LOWER($E46),XLOOKUP(T$1,Metadata!$A$2:$A1000,Metadata!$B$2:$B1000))),T$1,"""")"),"")</f>
        <v/>
      </c>
      <c r="U46" s="33" t="str">
        <f>IFERROR(__xludf.DUMMYFUNCTION("IF(IF(U$1="""","""",REGEXMATCH(LOWER($E46),XLOOKUP(U$1,Metadata!$A$2:$A1000,Metadata!$B$2:$B1000))),U$1,"""")"),"")</f>
        <v/>
      </c>
      <c r="V46" s="33" t="str">
        <f>IFERROR(__xludf.DUMMYFUNCTION("IF(IF(V$1="""","""",REGEXMATCH(LOWER($E46),XLOOKUP(V$1,Metadata!$A$2:$A1000,Metadata!$B$2:$B1000))),V$1,"""")"),"")</f>
        <v/>
      </c>
      <c r="W46" s="33" t="str">
        <f>IFERROR(__xludf.DUMMYFUNCTION("IF(IF(W$1="""","""",REGEXMATCH(LOWER($E46),XLOOKUP(W$1,Metadata!$A$2:$A1000,Metadata!$B$2:$B1000))),W$1,"""")"),"")</f>
        <v/>
      </c>
      <c r="X46" s="33" t="str">
        <f>IFERROR(__xludf.DUMMYFUNCTION("IF(IF(X$1="""","""",REGEXMATCH(LOWER($E46),XLOOKUP(X$1,Metadata!$A$2:$A1000,Metadata!$B$2:$B1000))),X$1,"""")"),"")</f>
        <v/>
      </c>
      <c r="Y46" s="33" t="str">
        <f>IFERROR(__xludf.DUMMYFUNCTION("IF(IF(Y$1="""","""",REGEXMATCH(LOWER($E46),XLOOKUP(Y$1,Metadata!$A$2:$A1000,Metadata!$B$2:$B1000))),Y$1,"""")"),"")</f>
        <v/>
      </c>
      <c r="Z46" s="33" t="str">
        <f>IFERROR(__xludf.DUMMYFUNCTION("IF(IF(Z$1="""","""",REGEXMATCH(LOWER($E46),XLOOKUP(Z$1,Metadata!$A$2:$A1000,Metadata!$B$2:$B1000))),Z$1,"""")"),"")</f>
        <v/>
      </c>
      <c r="AA46" s="33" t="str">
        <f>IFERROR(__xludf.DUMMYFUNCTION("IF(AA$1="""","""",REGEXMATCH(LOWER($E46),XLOOKUP(AA$1,Metadata!$A$2:$A1000,Metadata!$B$2:$B1000)))"),"")</f>
        <v/>
      </c>
    </row>
    <row r="47">
      <c r="A47" s="33" t="str">
        <f>IFERROR(__xludf.DUMMYFUNCTION("""COMPUTED_VALUE"""),"Young Monk")</f>
        <v>Young Monk</v>
      </c>
      <c r="B47" s="33" t="str">
        <f t="array" ref="B47:I47">XLOOKUP($A47,Cards!$A$2:$A1000,Cards!$B$2:$I1000,"")</f>
        <v>Divine</v>
      </c>
      <c r="C47" s="33">
        <v>2.0</v>
      </c>
      <c r="D47" s="33" t="s">
        <v>37</v>
      </c>
      <c r="E47" s="33" t="s">
        <v>252</v>
      </c>
      <c r="F47" s="33" t="s">
        <v>253</v>
      </c>
      <c r="G47" s="33">
        <v>1.0</v>
      </c>
      <c r="H47" s="33" t="s">
        <v>85</v>
      </c>
      <c r="I47" s="33" t="s">
        <v>26</v>
      </c>
      <c r="J47" s="33">
        <f>IFERROR(__xludf.DUMMYFUNCTION("LEN(REGEXREPLACE(XLOOKUP($A47,Cards!$A$2:$A1000,Cards!$H$2:$H1000,""""),"",\s"",""""))"),3.0)</f>
        <v>3</v>
      </c>
      <c r="K47" s="33" t="str">
        <f t="shared" si="1"/>
        <v>               </v>
      </c>
      <c r="L47" s="33" t="str">
        <f>IFERROR(__xludf.DUMMYFUNCTION("IF(IF(L$1="""","""",REGEXMATCH(LOWER($E47),XLOOKUP(L$1,Metadata!$A$2:$A1000,Metadata!$B$2:$B1000))),L$1,"""")"),"")</f>
        <v/>
      </c>
      <c r="M47" s="33" t="str">
        <f>IFERROR(__xludf.DUMMYFUNCTION("IF(IF(M$1="""","""",REGEXMATCH(LOWER($E47),XLOOKUP(M$1,Metadata!$A$2:$A1000,Metadata!$B$2:$B1000))),M$1,"""")"),"")</f>
        <v/>
      </c>
      <c r="N47" s="33" t="str">
        <f>IFERROR(__xludf.DUMMYFUNCTION("IF(IF(N$1="""","""",REGEXMATCH(LOWER($E47),XLOOKUP(N$1,Metadata!$A$2:$A1000,Metadata!$B$2:$B1000))),N$1,"""")"),"")</f>
        <v/>
      </c>
      <c r="O47" s="33" t="str">
        <f>IFERROR(__xludf.DUMMYFUNCTION("IF(IF(O$1="""","""",REGEXMATCH(LOWER($E47),XLOOKUP(O$1,Metadata!$A$2:$A1000,Metadata!$B$2:$B1000))),O$1,"""")"),"")</f>
        <v/>
      </c>
      <c r="P47" s="33" t="str">
        <f>IFERROR(__xludf.DUMMYFUNCTION("IF(IF(P$1="""","""",REGEXMATCH(LOWER($E47),XLOOKUP(P$1,Metadata!$A$2:$A1000,Metadata!$B$2:$B1000))),P$1,"""")"),"")</f>
        <v/>
      </c>
      <c r="Q47" s="33" t="str">
        <f>IFERROR(__xludf.DUMMYFUNCTION("IF(IF(Q$1="""","""",REGEXMATCH(LOWER($E47),XLOOKUP(Q$1,Metadata!$A$2:$A1000,Metadata!$B$2:$B1000))),Q$1,"""")"),"")</f>
        <v/>
      </c>
      <c r="R47" s="33" t="str">
        <f>IFERROR(__xludf.DUMMYFUNCTION("IF(IF(R$1="""","""",REGEXMATCH(LOWER($E47),XLOOKUP(R$1,Metadata!$A$2:$A1000,Metadata!$B$2:$B1000))),R$1,"""")"),"")</f>
        <v/>
      </c>
      <c r="S47" s="33" t="str">
        <f>IFERROR(__xludf.DUMMYFUNCTION("IF(IF(S$1="""","""",REGEXMATCH(LOWER($E47),XLOOKUP(S$1,Metadata!$A$2:$A1000,Metadata!$B$2:$B1000))),S$1,"""")"),"")</f>
        <v/>
      </c>
      <c r="T47" s="33" t="str">
        <f>IFERROR(__xludf.DUMMYFUNCTION("IF(IF(T$1="""","""",REGEXMATCH(LOWER($E47),XLOOKUP(T$1,Metadata!$A$2:$A1000,Metadata!$B$2:$B1000))),T$1,"""")"),"")</f>
        <v/>
      </c>
      <c r="U47" s="33" t="str">
        <f>IFERROR(__xludf.DUMMYFUNCTION("IF(IF(U$1="""","""",REGEXMATCH(LOWER($E47),XLOOKUP(U$1,Metadata!$A$2:$A1000,Metadata!$B$2:$B1000))),U$1,"""")"),"")</f>
        <v/>
      </c>
      <c r="V47" s="33" t="str">
        <f>IFERROR(__xludf.DUMMYFUNCTION("IF(IF(V$1="""","""",REGEXMATCH(LOWER($E47),XLOOKUP(V$1,Metadata!$A$2:$A1000,Metadata!$B$2:$B1000))),V$1,"""")"),"")</f>
        <v/>
      </c>
      <c r="W47" s="33" t="str">
        <f>IFERROR(__xludf.DUMMYFUNCTION("IF(IF(W$1="""","""",REGEXMATCH(LOWER($E47),XLOOKUP(W$1,Metadata!$A$2:$A1000,Metadata!$B$2:$B1000))),W$1,"""")"),"")</f>
        <v/>
      </c>
      <c r="X47" s="33" t="str">
        <f>IFERROR(__xludf.DUMMYFUNCTION("IF(IF(X$1="""","""",REGEXMATCH(LOWER($E47),XLOOKUP(X$1,Metadata!$A$2:$A1000,Metadata!$B$2:$B1000))),X$1,"""")"),"")</f>
        <v/>
      </c>
      <c r="Y47" s="33" t="str">
        <f>IFERROR(__xludf.DUMMYFUNCTION("IF(IF(Y$1="""","""",REGEXMATCH(LOWER($E47),XLOOKUP(Y$1,Metadata!$A$2:$A1000,Metadata!$B$2:$B1000))),Y$1,"""")"),"")</f>
        <v/>
      </c>
      <c r="Z47" s="33" t="str">
        <f>IFERROR(__xludf.DUMMYFUNCTION("IF(IF(Z$1="""","""",REGEXMATCH(LOWER($E47),XLOOKUP(Z$1,Metadata!$A$2:$A1000,Metadata!$B$2:$B1000))),Z$1,"""")"),"")</f>
        <v/>
      </c>
      <c r="AA47" s="33" t="str">
        <f>IFERROR(__xludf.DUMMYFUNCTION("IF(AA$1="""","""",REGEXMATCH(LOWER($E47),XLOOKUP(AA$1,Metadata!$A$2:$A1000,Metadata!$B$2:$B1000)))"),"")</f>
        <v/>
      </c>
    </row>
    <row r="48">
      <c r="A48" s="33" t="str">
        <f>IFERROR(__xludf.DUMMYFUNCTION("""COMPUTED_VALUE"""),"Fancy Schmancy Byrrd Type")</f>
        <v>Fancy Schmancy Byrrd Type</v>
      </c>
      <c r="B48" s="33" t="str">
        <f t="array" ref="B48:I48">XLOOKUP($A48,Cards!$A$2:$A1000,Cards!$B$2:$I1000,"")</f>
        <v>Divine</v>
      </c>
      <c r="C48" s="33">
        <v>1.0</v>
      </c>
      <c r="D48" s="33" t="s">
        <v>255</v>
      </c>
      <c r="E48" s="33" t="s">
        <v>256</v>
      </c>
      <c r="F48" s="33"/>
      <c r="G48" s="33"/>
      <c r="H48" s="33"/>
      <c r="I48" s="33" t="s">
        <v>32</v>
      </c>
      <c r="J48" s="33">
        <f>IFERROR(__xludf.DUMMYFUNCTION("LEN(REGEXREPLACE(XLOOKUP($A48,Cards!$A$2:$A1000,Cards!$H$2:$H1000,""""),"",\s"",""""))"),0.0)</f>
        <v>0</v>
      </c>
      <c r="K48" s="33" t="str">
        <f t="shared" si="1"/>
        <v>           Move    </v>
      </c>
      <c r="L48" s="33" t="str">
        <f>IFERROR(__xludf.DUMMYFUNCTION("IF(IF(L$1="""","""",REGEXMATCH(LOWER($E48),XLOOKUP(L$1,Metadata!$A$2:$A1000,Metadata!$B$2:$B1000))),L$1,"""")"),"")</f>
        <v/>
      </c>
      <c r="M48" s="33" t="str">
        <f>IFERROR(__xludf.DUMMYFUNCTION("IF(IF(M$1="""","""",REGEXMATCH(LOWER($E48),XLOOKUP(M$1,Metadata!$A$2:$A1000,Metadata!$B$2:$B1000))),M$1,"""")"),"")</f>
        <v/>
      </c>
      <c r="N48" s="33" t="str">
        <f>IFERROR(__xludf.DUMMYFUNCTION("IF(IF(N$1="""","""",REGEXMATCH(LOWER($E48),XLOOKUP(N$1,Metadata!$A$2:$A1000,Metadata!$B$2:$B1000))),N$1,"""")"),"")</f>
        <v/>
      </c>
      <c r="O48" s="33" t="str">
        <f>IFERROR(__xludf.DUMMYFUNCTION("IF(IF(O$1="""","""",REGEXMATCH(LOWER($E48),XLOOKUP(O$1,Metadata!$A$2:$A1000,Metadata!$B$2:$B1000))),O$1,"""")"),"")</f>
        <v/>
      </c>
      <c r="P48" s="33" t="str">
        <f>IFERROR(__xludf.DUMMYFUNCTION("IF(IF(P$1="""","""",REGEXMATCH(LOWER($E48),XLOOKUP(P$1,Metadata!$A$2:$A1000,Metadata!$B$2:$B1000))),P$1,"""")"),"")</f>
        <v/>
      </c>
      <c r="Q48" s="33" t="str">
        <f>IFERROR(__xludf.DUMMYFUNCTION("IF(IF(Q$1="""","""",REGEXMATCH(LOWER($E48),XLOOKUP(Q$1,Metadata!$A$2:$A1000,Metadata!$B$2:$B1000))),Q$1,"""")"),"")</f>
        <v/>
      </c>
      <c r="R48" s="33" t="str">
        <f>IFERROR(__xludf.DUMMYFUNCTION("IF(IF(R$1="""","""",REGEXMATCH(LOWER($E48),XLOOKUP(R$1,Metadata!$A$2:$A1000,Metadata!$B$2:$B1000))),R$1,"""")"),"")</f>
        <v/>
      </c>
      <c r="S48" s="33" t="str">
        <f>IFERROR(__xludf.DUMMYFUNCTION("IF(IF(S$1="""","""",REGEXMATCH(LOWER($E48),XLOOKUP(S$1,Metadata!$A$2:$A1000,Metadata!$B$2:$B1000))),S$1,"""")"),"")</f>
        <v/>
      </c>
      <c r="T48" s="33" t="str">
        <f>IFERROR(__xludf.DUMMYFUNCTION("IF(IF(T$1="""","""",REGEXMATCH(LOWER($E48),XLOOKUP(T$1,Metadata!$A$2:$A1000,Metadata!$B$2:$B1000))),T$1,"""")"),"")</f>
        <v/>
      </c>
      <c r="U48" s="33" t="str">
        <f>IFERROR(__xludf.DUMMYFUNCTION("IF(IF(U$1="""","""",REGEXMATCH(LOWER($E48),XLOOKUP(U$1,Metadata!$A$2:$A1000,Metadata!$B$2:$B1000))),U$1,"""")"),"")</f>
        <v/>
      </c>
      <c r="V48" s="33" t="str">
        <f>IFERROR(__xludf.DUMMYFUNCTION("IF(IF(V$1="""","""",REGEXMATCH(LOWER($E48),XLOOKUP(V$1,Metadata!$A$2:$A1000,Metadata!$B$2:$B1000))),V$1,"""")"),"")</f>
        <v/>
      </c>
      <c r="W48" s="33" t="str">
        <f>IFERROR(__xludf.DUMMYFUNCTION("IF(IF(W$1="""","""",REGEXMATCH(LOWER($E48),XLOOKUP(W$1,Metadata!$A$2:$A1000,Metadata!$B$2:$B1000))),W$1,"""")"),"Move")</f>
        <v>Move</v>
      </c>
      <c r="X48" s="33" t="str">
        <f>IFERROR(__xludf.DUMMYFUNCTION("IF(IF(X$1="""","""",REGEXMATCH(LOWER($E48),XLOOKUP(X$1,Metadata!$A$2:$A1000,Metadata!$B$2:$B1000))),X$1,"""")"),"")</f>
        <v/>
      </c>
      <c r="Y48" s="33" t="str">
        <f>IFERROR(__xludf.DUMMYFUNCTION("IF(IF(Y$1="""","""",REGEXMATCH(LOWER($E48),XLOOKUP(Y$1,Metadata!$A$2:$A1000,Metadata!$B$2:$B1000))),Y$1,"""")"),"")</f>
        <v/>
      </c>
      <c r="Z48" s="33" t="str">
        <f>IFERROR(__xludf.DUMMYFUNCTION("IF(IF(Z$1="""","""",REGEXMATCH(LOWER($E48),XLOOKUP(Z$1,Metadata!$A$2:$A1000,Metadata!$B$2:$B1000))),Z$1,"""")"),"")</f>
        <v/>
      </c>
      <c r="AA48" s="33" t="str">
        <f>IFERROR(__xludf.DUMMYFUNCTION("IF(AA$1="""","""",REGEXMATCH(LOWER($E48),XLOOKUP(AA$1,Metadata!$A$2:$A1000,Metadata!$B$2:$B1000)))"),"")</f>
        <v/>
      </c>
    </row>
    <row r="49">
      <c r="A49" s="33" t="str">
        <f>IFERROR(__xludf.DUMMYFUNCTION("""COMPUTED_VALUE"""),"Golden Phoenix")</f>
        <v>Golden Phoenix</v>
      </c>
      <c r="B49" s="33" t="str">
        <f t="array" ref="B49:I49">XLOOKUP($A49,Cards!$A$2:$A1000,Cards!$B$2:$I1000,"")</f>
        <v>Divine Elemental</v>
      </c>
      <c r="C49" s="33">
        <v>2.0</v>
      </c>
      <c r="D49" s="33" t="s">
        <v>217</v>
      </c>
      <c r="E49" s="33" t="s">
        <v>259</v>
      </c>
      <c r="F49" s="33" t="s">
        <v>260</v>
      </c>
      <c r="G49" s="33">
        <v>7.0</v>
      </c>
      <c r="H49" s="33" t="s">
        <v>261</v>
      </c>
      <c r="I49" s="33" t="s">
        <v>32</v>
      </c>
      <c r="J49" s="33">
        <f>IFERROR(__xludf.DUMMYFUNCTION("LEN(REGEXREPLACE(XLOOKUP($A49,Cards!$A$2:$A1000,Cards!$H$2:$H1000,""""),"",\s"",""""))"),5.0)</f>
        <v>5</v>
      </c>
      <c r="K49" s="33" t="str">
        <f t="shared" si="1"/>
        <v>       Control   Empty-Crystal  Ambush   </v>
      </c>
      <c r="L49" s="33" t="str">
        <f>IFERROR(__xludf.DUMMYFUNCTION("IF(IF(L$1="""","""",REGEXMATCH(LOWER($E49),XLOOKUP(L$1,Metadata!$A$2:$A1000,Metadata!$B$2:$B1000))),L$1,"""")"),"")</f>
        <v/>
      </c>
      <c r="M49" s="33" t="str">
        <f>IFERROR(__xludf.DUMMYFUNCTION("IF(IF(M$1="""","""",REGEXMATCH(LOWER($E49),XLOOKUP(M$1,Metadata!$A$2:$A1000,Metadata!$B$2:$B1000))),M$1,"""")"),"")</f>
        <v/>
      </c>
      <c r="N49" s="33" t="str">
        <f>IFERROR(__xludf.DUMMYFUNCTION("IF(IF(N$1="""","""",REGEXMATCH(LOWER($E49),XLOOKUP(N$1,Metadata!$A$2:$A1000,Metadata!$B$2:$B1000))),N$1,"""")"),"")</f>
        <v/>
      </c>
      <c r="O49" s="33" t="str">
        <f>IFERROR(__xludf.DUMMYFUNCTION("IF(IF(O$1="""","""",REGEXMATCH(LOWER($E49),XLOOKUP(O$1,Metadata!$A$2:$A1000,Metadata!$B$2:$B1000))),O$1,"""")"),"")</f>
        <v/>
      </c>
      <c r="P49" s="33" t="str">
        <f>IFERROR(__xludf.DUMMYFUNCTION("IF(IF(P$1="""","""",REGEXMATCH(LOWER($E49),XLOOKUP(P$1,Metadata!$A$2:$A1000,Metadata!$B$2:$B1000))),P$1,"""")"),"")</f>
        <v/>
      </c>
      <c r="Q49" s="33" t="str">
        <f>IFERROR(__xludf.DUMMYFUNCTION("IF(IF(Q$1="""","""",REGEXMATCH(LOWER($E49),XLOOKUP(Q$1,Metadata!$A$2:$A1000,Metadata!$B$2:$B1000))),Q$1,"""")"),"")</f>
        <v/>
      </c>
      <c r="R49" s="33" t="str">
        <f>IFERROR(__xludf.DUMMYFUNCTION("IF(IF(R$1="""","""",REGEXMATCH(LOWER($E49),XLOOKUP(R$1,Metadata!$A$2:$A1000,Metadata!$B$2:$B1000))),R$1,"""")"),"")</f>
        <v/>
      </c>
      <c r="S49" s="33" t="str">
        <f>IFERROR(__xludf.DUMMYFUNCTION("IF(IF(S$1="""","""",REGEXMATCH(LOWER($E49),XLOOKUP(S$1,Metadata!$A$2:$A1000,Metadata!$B$2:$B1000))),S$1,"""")"),"Control")</f>
        <v>Control</v>
      </c>
      <c r="T49" s="33" t="str">
        <f>IFERROR(__xludf.DUMMYFUNCTION("IF(IF(T$1="""","""",REGEXMATCH(LOWER($E49),XLOOKUP(T$1,Metadata!$A$2:$A1000,Metadata!$B$2:$B1000))),T$1,"""")"),"")</f>
        <v/>
      </c>
      <c r="U49" s="33" t="str">
        <f>IFERROR(__xludf.DUMMYFUNCTION("IF(IF(U$1="""","""",REGEXMATCH(LOWER($E49),XLOOKUP(U$1,Metadata!$A$2:$A1000,Metadata!$B$2:$B1000))),U$1,"""")"),"")</f>
        <v/>
      </c>
      <c r="V49" s="33" t="str">
        <f>IFERROR(__xludf.DUMMYFUNCTION("IF(IF(V$1="""","""",REGEXMATCH(LOWER($E49),XLOOKUP(V$1,Metadata!$A$2:$A1000,Metadata!$B$2:$B1000))),V$1,"""")"),"Empty-Crystal")</f>
        <v>Empty-Crystal</v>
      </c>
      <c r="W49" s="33" t="str">
        <f>IFERROR(__xludf.DUMMYFUNCTION("IF(IF(W$1="""","""",REGEXMATCH(LOWER($E49),XLOOKUP(W$1,Metadata!$A$2:$A1000,Metadata!$B$2:$B1000))),W$1,"""")"),"")</f>
        <v/>
      </c>
      <c r="X49" s="33" t="str">
        <f>IFERROR(__xludf.DUMMYFUNCTION("IF(IF(X$1="""","""",REGEXMATCH(LOWER($E49),XLOOKUP(X$1,Metadata!$A$2:$A1000,Metadata!$B$2:$B1000))),X$1,"""")"),"Ambush")</f>
        <v>Ambush</v>
      </c>
      <c r="Y49" s="33" t="str">
        <f>IFERROR(__xludf.DUMMYFUNCTION("IF(IF(Y$1="""","""",REGEXMATCH(LOWER($E49),XLOOKUP(Y$1,Metadata!$A$2:$A1000,Metadata!$B$2:$B1000))),Y$1,"""")"),"")</f>
        <v/>
      </c>
      <c r="Z49" s="33" t="str">
        <f>IFERROR(__xludf.DUMMYFUNCTION("IF(IF(Z$1="""","""",REGEXMATCH(LOWER($E49),XLOOKUP(Z$1,Metadata!$A$2:$A1000,Metadata!$B$2:$B1000))),Z$1,"""")"),"")</f>
        <v/>
      </c>
      <c r="AA49" s="33" t="str">
        <f>IFERROR(__xludf.DUMMYFUNCTION("IF(AA$1="""","""",REGEXMATCH(LOWER($E49),XLOOKUP(AA$1,Metadata!$A$2:$A1000,Metadata!$B$2:$B1000)))"),"")</f>
        <v/>
      </c>
    </row>
    <row r="50">
      <c r="A50" s="33" t="str">
        <f>IFERROR(__xludf.DUMMYFUNCTION("""COMPUTED_VALUE"""),"Hailstorm Seraph")</f>
        <v>Hailstorm Seraph</v>
      </c>
      <c r="B50" s="33" t="str">
        <f t="array" ref="B50:I50">XLOOKUP($A50,Cards!$A$2:$A1000,Cards!$B$2:$I1000,"")</f>
        <v>Divine Elemental</v>
      </c>
      <c r="C50" s="33">
        <v>2.0</v>
      </c>
      <c r="D50" s="33" t="s">
        <v>82</v>
      </c>
      <c r="E50" s="33" t="s">
        <v>263</v>
      </c>
      <c r="F50" s="33" t="s">
        <v>264</v>
      </c>
      <c r="G50" s="33">
        <v>4.0</v>
      </c>
      <c r="H50" s="33" t="s">
        <v>224</v>
      </c>
      <c r="I50" s="33" t="s">
        <v>62</v>
      </c>
      <c r="J50" s="33">
        <f>IFERROR(__xludf.DUMMYFUNCTION("LEN(REGEXREPLACE(XLOOKUP($A50,Cards!$A$2:$A1000,Cards!$H$2:$H1000,""""),"",\s"",""""))"),4.0)</f>
        <v>4</v>
      </c>
      <c r="K50" s="33" t="str">
        <f t="shared" si="1"/>
        <v>               </v>
      </c>
      <c r="L50" s="33" t="str">
        <f>IFERROR(__xludf.DUMMYFUNCTION("IF(IF(L$1="""","""",REGEXMATCH(LOWER($E50),XLOOKUP(L$1,Metadata!$A$2:$A1000,Metadata!$B$2:$B1000))),L$1,"""")"),"")</f>
        <v/>
      </c>
      <c r="M50" s="33" t="str">
        <f>IFERROR(__xludf.DUMMYFUNCTION("IF(IF(M$1="""","""",REGEXMATCH(LOWER($E50),XLOOKUP(M$1,Metadata!$A$2:$A1000,Metadata!$B$2:$B1000))),M$1,"""")"),"")</f>
        <v/>
      </c>
      <c r="N50" s="33" t="str">
        <f>IFERROR(__xludf.DUMMYFUNCTION("IF(IF(N$1="""","""",REGEXMATCH(LOWER($E50),XLOOKUP(N$1,Metadata!$A$2:$A1000,Metadata!$B$2:$B1000))),N$1,"""")"),"")</f>
        <v/>
      </c>
      <c r="O50" s="33" t="str">
        <f>IFERROR(__xludf.DUMMYFUNCTION("IF(IF(O$1="""","""",REGEXMATCH(LOWER($E50),XLOOKUP(O$1,Metadata!$A$2:$A1000,Metadata!$B$2:$B1000))),O$1,"""")"),"")</f>
        <v/>
      </c>
      <c r="P50" s="33" t="str">
        <f>IFERROR(__xludf.DUMMYFUNCTION("IF(IF(P$1="""","""",REGEXMATCH(LOWER($E50),XLOOKUP(P$1,Metadata!$A$2:$A1000,Metadata!$B$2:$B1000))),P$1,"""")"),"")</f>
        <v/>
      </c>
      <c r="Q50" s="33" t="str">
        <f>IFERROR(__xludf.DUMMYFUNCTION("IF(IF(Q$1="""","""",REGEXMATCH(LOWER($E50),XLOOKUP(Q$1,Metadata!$A$2:$A1000,Metadata!$B$2:$B1000))),Q$1,"""")"),"")</f>
        <v/>
      </c>
      <c r="R50" s="33" t="str">
        <f>IFERROR(__xludf.DUMMYFUNCTION("IF(IF(R$1="""","""",REGEXMATCH(LOWER($E50),XLOOKUP(R$1,Metadata!$A$2:$A1000,Metadata!$B$2:$B1000))),R$1,"""")"),"")</f>
        <v/>
      </c>
      <c r="S50" s="33" t="str">
        <f>IFERROR(__xludf.DUMMYFUNCTION("IF(IF(S$1="""","""",REGEXMATCH(LOWER($E50),XLOOKUP(S$1,Metadata!$A$2:$A1000,Metadata!$B$2:$B1000))),S$1,"""")"),"")</f>
        <v/>
      </c>
      <c r="T50" s="33" t="str">
        <f>IFERROR(__xludf.DUMMYFUNCTION("IF(IF(T$1="""","""",REGEXMATCH(LOWER($E50),XLOOKUP(T$1,Metadata!$A$2:$A1000,Metadata!$B$2:$B1000))),T$1,"""")"),"")</f>
        <v/>
      </c>
      <c r="U50" s="33" t="str">
        <f>IFERROR(__xludf.DUMMYFUNCTION("IF(IF(U$1="""","""",REGEXMATCH(LOWER($E50),XLOOKUP(U$1,Metadata!$A$2:$A1000,Metadata!$B$2:$B1000))),U$1,"""")"),"")</f>
        <v/>
      </c>
      <c r="V50" s="33" t="str">
        <f>IFERROR(__xludf.DUMMYFUNCTION("IF(IF(V$1="""","""",REGEXMATCH(LOWER($E50),XLOOKUP(V$1,Metadata!$A$2:$A1000,Metadata!$B$2:$B1000))),V$1,"""")"),"")</f>
        <v/>
      </c>
      <c r="W50" s="33" t="str">
        <f>IFERROR(__xludf.DUMMYFUNCTION("IF(IF(W$1="""","""",REGEXMATCH(LOWER($E50),XLOOKUP(W$1,Metadata!$A$2:$A1000,Metadata!$B$2:$B1000))),W$1,"""")"),"")</f>
        <v/>
      </c>
      <c r="X50" s="33" t="str">
        <f>IFERROR(__xludf.DUMMYFUNCTION("IF(IF(X$1="""","""",REGEXMATCH(LOWER($E50),XLOOKUP(X$1,Metadata!$A$2:$A1000,Metadata!$B$2:$B1000))),X$1,"""")"),"")</f>
        <v/>
      </c>
      <c r="Y50" s="33" t="str">
        <f>IFERROR(__xludf.DUMMYFUNCTION("IF(IF(Y$1="""","""",REGEXMATCH(LOWER($E50),XLOOKUP(Y$1,Metadata!$A$2:$A1000,Metadata!$B$2:$B1000))),Y$1,"""")"),"")</f>
        <v/>
      </c>
      <c r="Z50" s="33" t="str">
        <f>IFERROR(__xludf.DUMMYFUNCTION("IF(IF(Z$1="""","""",REGEXMATCH(LOWER($E50),XLOOKUP(Z$1,Metadata!$A$2:$A1000,Metadata!$B$2:$B1000))),Z$1,"""")"),"")</f>
        <v/>
      </c>
      <c r="AA50" s="33" t="str">
        <f>IFERROR(__xludf.DUMMYFUNCTION("IF(AA$1="""","""",REGEXMATCH(LOWER($E50),XLOOKUP(AA$1,Metadata!$A$2:$A1000,Metadata!$B$2:$B1000)))"),"")</f>
        <v/>
      </c>
    </row>
    <row r="51">
      <c r="A51" s="33" t="str">
        <f>IFERROR(__xludf.DUMMYFUNCTION("""COMPUTED_VALUE"""),"Scittering Scorpion")</f>
        <v>Scittering Scorpion</v>
      </c>
      <c r="B51" s="33" t="str">
        <f t="array" ref="B51:I51">XLOOKUP($A51,Cards!$A$2:$A1000,Cards!$B$2:$I1000,"")</f>
        <v>Divine Elemental</v>
      </c>
      <c r="C51" s="33">
        <v>0.0</v>
      </c>
      <c r="D51" s="33" t="s">
        <v>266</v>
      </c>
      <c r="E51" s="33" t="s">
        <v>267</v>
      </c>
      <c r="F51" s="33" t="s">
        <v>268</v>
      </c>
      <c r="G51" s="33">
        <v>4.0</v>
      </c>
      <c r="H51" s="33" t="s">
        <v>269</v>
      </c>
      <c r="I51" s="33" t="s">
        <v>62</v>
      </c>
      <c r="J51" s="33">
        <f>IFERROR(__xludf.DUMMYFUNCTION("LEN(REGEXREPLACE(XLOOKUP($A51,Cards!$A$2:$A1000,Cards!$H$2:$H1000,""""),"",\s"",""""))"),5.0)</f>
        <v>5</v>
      </c>
      <c r="K51" s="33" t="str">
        <f t="shared" si="1"/>
        <v>     Unearth       Ambush   </v>
      </c>
      <c r="L51" s="33" t="str">
        <f>IFERROR(__xludf.DUMMYFUNCTION("IF(IF(L$1="""","""",REGEXMATCH(LOWER($E51),XLOOKUP(L$1,Metadata!$A$2:$A1000,Metadata!$B$2:$B1000))),L$1,"""")"),"")</f>
        <v/>
      </c>
      <c r="M51" s="33" t="str">
        <f>IFERROR(__xludf.DUMMYFUNCTION("IF(IF(M$1="""","""",REGEXMATCH(LOWER($E51),XLOOKUP(M$1,Metadata!$A$2:$A1000,Metadata!$B$2:$B1000))),M$1,"""")"),"")</f>
        <v/>
      </c>
      <c r="N51" s="33" t="str">
        <f>IFERROR(__xludf.DUMMYFUNCTION("IF(IF(N$1="""","""",REGEXMATCH(LOWER($E51),XLOOKUP(N$1,Metadata!$A$2:$A1000,Metadata!$B$2:$B1000))),N$1,"""")"),"")</f>
        <v/>
      </c>
      <c r="O51" s="33" t="str">
        <f>IFERROR(__xludf.DUMMYFUNCTION("IF(IF(O$1="""","""",REGEXMATCH(LOWER($E51),XLOOKUP(O$1,Metadata!$A$2:$A1000,Metadata!$B$2:$B1000))),O$1,"""")"),"")</f>
        <v/>
      </c>
      <c r="P51" s="33" t="str">
        <f>IFERROR(__xludf.DUMMYFUNCTION("IF(IF(P$1="""","""",REGEXMATCH(LOWER($E51),XLOOKUP(P$1,Metadata!$A$2:$A1000,Metadata!$B$2:$B1000))),P$1,"""")"),"")</f>
        <v/>
      </c>
      <c r="Q51" s="33" t="str">
        <f>IFERROR(__xludf.DUMMYFUNCTION("IF(IF(Q$1="""","""",REGEXMATCH(LOWER($E51),XLOOKUP(Q$1,Metadata!$A$2:$A1000,Metadata!$B$2:$B1000))),Q$1,"""")"),"Unearth")</f>
        <v>Unearth</v>
      </c>
      <c r="R51" s="33" t="str">
        <f>IFERROR(__xludf.DUMMYFUNCTION("IF(IF(R$1="""","""",REGEXMATCH(LOWER($E51),XLOOKUP(R$1,Metadata!$A$2:$A1000,Metadata!$B$2:$B1000))),R$1,"""")"),"")</f>
        <v/>
      </c>
      <c r="S51" s="33" t="str">
        <f>IFERROR(__xludf.DUMMYFUNCTION("IF(IF(S$1="""","""",REGEXMATCH(LOWER($E51),XLOOKUP(S$1,Metadata!$A$2:$A1000,Metadata!$B$2:$B1000))),S$1,"""")"),"")</f>
        <v/>
      </c>
      <c r="T51" s="33" t="str">
        <f>IFERROR(__xludf.DUMMYFUNCTION("IF(IF(T$1="""","""",REGEXMATCH(LOWER($E51),XLOOKUP(T$1,Metadata!$A$2:$A1000,Metadata!$B$2:$B1000))),T$1,"""")"),"")</f>
        <v/>
      </c>
      <c r="U51" s="33" t="str">
        <f>IFERROR(__xludf.DUMMYFUNCTION("IF(IF(U$1="""","""",REGEXMATCH(LOWER($E51),XLOOKUP(U$1,Metadata!$A$2:$A1000,Metadata!$B$2:$B1000))),U$1,"""")"),"")</f>
        <v/>
      </c>
      <c r="V51" s="33" t="str">
        <f>IFERROR(__xludf.DUMMYFUNCTION("IF(IF(V$1="""","""",REGEXMATCH(LOWER($E51),XLOOKUP(V$1,Metadata!$A$2:$A1000,Metadata!$B$2:$B1000))),V$1,"""")"),"")</f>
        <v/>
      </c>
      <c r="W51" s="33" t="str">
        <f>IFERROR(__xludf.DUMMYFUNCTION("IF(IF(W$1="""","""",REGEXMATCH(LOWER($E51),XLOOKUP(W$1,Metadata!$A$2:$A1000,Metadata!$B$2:$B1000))),W$1,"""")"),"")</f>
        <v/>
      </c>
      <c r="X51" s="33" t="str">
        <f>IFERROR(__xludf.DUMMYFUNCTION("IF(IF(X$1="""","""",REGEXMATCH(LOWER($E51),XLOOKUP(X$1,Metadata!$A$2:$A1000,Metadata!$B$2:$B1000))),X$1,"""")"),"Ambush")</f>
        <v>Ambush</v>
      </c>
      <c r="Y51" s="33" t="str">
        <f>IFERROR(__xludf.DUMMYFUNCTION("IF(IF(Y$1="""","""",REGEXMATCH(LOWER($E51),XLOOKUP(Y$1,Metadata!$A$2:$A1000,Metadata!$B$2:$B1000))),Y$1,"""")"),"")</f>
        <v/>
      </c>
      <c r="Z51" s="33" t="str">
        <f>IFERROR(__xludf.DUMMYFUNCTION("IF(IF(Z$1="""","""",REGEXMATCH(LOWER($E51),XLOOKUP(Z$1,Metadata!$A$2:$A1000,Metadata!$B$2:$B1000))),Z$1,"""")"),"")</f>
        <v/>
      </c>
      <c r="AA51" s="33" t="str">
        <f>IFERROR(__xludf.DUMMYFUNCTION("IF(AA$1="""","""",REGEXMATCH(LOWER($E51),XLOOKUP(AA$1,Metadata!$A$2:$A1000,Metadata!$B$2:$B1000)))"),"")</f>
        <v/>
      </c>
    </row>
    <row r="52">
      <c r="A52" s="33" t="str">
        <f>IFERROR(__xludf.DUMMYFUNCTION("""COMPUTED_VALUE"""),"Wrath of the Pharaoh")</f>
        <v>Wrath of the Pharaoh</v>
      </c>
      <c r="B52" s="33" t="str">
        <f t="array" ref="B52:I52">XLOOKUP($A52,Cards!$A$2:$A1000,Cards!$B$2:$I1000,"")</f>
        <v>Divine</v>
      </c>
      <c r="C52" s="33">
        <v>1.0</v>
      </c>
      <c r="D52" s="33" t="s">
        <v>271</v>
      </c>
      <c r="E52" s="33"/>
      <c r="F52" s="33" t="s">
        <v>272</v>
      </c>
      <c r="G52" s="33">
        <v>9.0</v>
      </c>
      <c r="H52" s="33" t="s">
        <v>110</v>
      </c>
      <c r="I52" s="33" t="s">
        <v>62</v>
      </c>
      <c r="J52" s="33">
        <f>IFERROR(__xludf.DUMMYFUNCTION("LEN(REGEXREPLACE(XLOOKUP($A52,Cards!$A$2:$A1000,Cards!$H$2:$H1000,""""),"",\s"",""""))"),6.0)</f>
        <v>6</v>
      </c>
      <c r="K52" s="33" t="str">
        <f t="shared" si="1"/>
        <v>               </v>
      </c>
      <c r="L52" s="33" t="str">
        <f>IFERROR(__xludf.DUMMYFUNCTION("IF(IF(L$1="""","""",REGEXMATCH(LOWER($E52),XLOOKUP(L$1,Metadata!$A$2:$A1000,Metadata!$B$2:$B1000))),L$1,"""")"),"")</f>
        <v/>
      </c>
      <c r="M52" s="33" t="str">
        <f>IFERROR(__xludf.DUMMYFUNCTION("IF(IF(M$1="""","""",REGEXMATCH(LOWER($E52),XLOOKUP(M$1,Metadata!$A$2:$A1000,Metadata!$B$2:$B1000))),M$1,"""")"),"")</f>
        <v/>
      </c>
      <c r="N52" s="33" t="str">
        <f>IFERROR(__xludf.DUMMYFUNCTION("IF(IF(N$1="""","""",REGEXMATCH(LOWER($E52),XLOOKUP(N$1,Metadata!$A$2:$A1000,Metadata!$B$2:$B1000))),N$1,"""")"),"")</f>
        <v/>
      </c>
      <c r="O52" s="33" t="str">
        <f>IFERROR(__xludf.DUMMYFUNCTION("IF(IF(O$1="""","""",REGEXMATCH(LOWER($E52),XLOOKUP(O$1,Metadata!$A$2:$A1000,Metadata!$B$2:$B1000))),O$1,"""")"),"")</f>
        <v/>
      </c>
      <c r="P52" s="33" t="str">
        <f>IFERROR(__xludf.DUMMYFUNCTION("IF(IF(P$1="""","""",REGEXMATCH(LOWER($E52),XLOOKUP(P$1,Metadata!$A$2:$A1000,Metadata!$B$2:$B1000))),P$1,"""")"),"")</f>
        <v/>
      </c>
      <c r="Q52" s="33" t="str">
        <f>IFERROR(__xludf.DUMMYFUNCTION("IF(IF(Q$1="""","""",REGEXMATCH(LOWER($E52),XLOOKUP(Q$1,Metadata!$A$2:$A1000,Metadata!$B$2:$B1000))),Q$1,"""")"),"")</f>
        <v/>
      </c>
      <c r="R52" s="33" t="str">
        <f>IFERROR(__xludf.DUMMYFUNCTION("IF(IF(R$1="""","""",REGEXMATCH(LOWER($E52),XLOOKUP(R$1,Metadata!$A$2:$A1000,Metadata!$B$2:$B1000))),R$1,"""")"),"")</f>
        <v/>
      </c>
      <c r="S52" s="33" t="str">
        <f>IFERROR(__xludf.DUMMYFUNCTION("IF(IF(S$1="""","""",REGEXMATCH(LOWER($E52),XLOOKUP(S$1,Metadata!$A$2:$A1000,Metadata!$B$2:$B1000))),S$1,"""")"),"")</f>
        <v/>
      </c>
      <c r="T52" s="33" t="str">
        <f>IFERROR(__xludf.DUMMYFUNCTION("IF(IF(T$1="""","""",REGEXMATCH(LOWER($E52),XLOOKUP(T$1,Metadata!$A$2:$A1000,Metadata!$B$2:$B1000))),T$1,"""")"),"")</f>
        <v/>
      </c>
      <c r="U52" s="33" t="str">
        <f>IFERROR(__xludf.DUMMYFUNCTION("IF(IF(U$1="""","""",REGEXMATCH(LOWER($E52),XLOOKUP(U$1,Metadata!$A$2:$A1000,Metadata!$B$2:$B1000))),U$1,"""")"),"")</f>
        <v/>
      </c>
      <c r="V52" s="33" t="str">
        <f>IFERROR(__xludf.DUMMYFUNCTION("IF(IF(V$1="""","""",REGEXMATCH(LOWER($E52),XLOOKUP(V$1,Metadata!$A$2:$A1000,Metadata!$B$2:$B1000))),V$1,"""")"),"")</f>
        <v/>
      </c>
      <c r="W52" s="33" t="str">
        <f>IFERROR(__xludf.DUMMYFUNCTION("IF(IF(W$1="""","""",REGEXMATCH(LOWER($E52),XLOOKUP(W$1,Metadata!$A$2:$A1000,Metadata!$B$2:$B1000))),W$1,"""")"),"")</f>
        <v/>
      </c>
      <c r="X52" s="33" t="str">
        <f>IFERROR(__xludf.DUMMYFUNCTION("IF(IF(X$1="""","""",REGEXMATCH(LOWER($E52),XLOOKUP(X$1,Metadata!$A$2:$A1000,Metadata!$B$2:$B1000))),X$1,"""")"),"")</f>
        <v/>
      </c>
      <c r="Y52" s="33" t="str">
        <f>IFERROR(__xludf.DUMMYFUNCTION("IF(IF(Y$1="""","""",REGEXMATCH(LOWER($E52),XLOOKUP(Y$1,Metadata!$A$2:$A1000,Metadata!$B$2:$B1000))),Y$1,"""")"),"")</f>
        <v/>
      </c>
      <c r="Z52" s="33" t="str">
        <f>IFERROR(__xludf.DUMMYFUNCTION("IF(IF(Z$1="""","""",REGEXMATCH(LOWER($E52),XLOOKUP(Z$1,Metadata!$A$2:$A1000,Metadata!$B$2:$B1000))),Z$1,"""")"),"")</f>
        <v/>
      </c>
      <c r="AA52" s="33" t="str">
        <f>IFERROR(__xludf.DUMMYFUNCTION("IF(AA$1="""","""",REGEXMATCH(LOWER($E52),XLOOKUP(AA$1,Metadata!$A$2:$A1000,Metadata!$B$2:$B1000)))"),"")</f>
        <v/>
      </c>
    </row>
    <row r="53">
      <c r="A53" s="33" t="str">
        <f>IFERROR(__xludf.DUMMYFUNCTION("""COMPUTED_VALUE"""),"Bringer of Good News")</f>
        <v>Bringer of Good News</v>
      </c>
      <c r="B53" s="33" t="str">
        <f t="array" ref="B53:I53">XLOOKUP($A53,Cards!$A$2:$A1000,Cards!$B$2:$I1000,"")</f>
        <v>Divine</v>
      </c>
      <c r="C53" s="33">
        <v>1.0</v>
      </c>
      <c r="D53" s="33" t="s">
        <v>276</v>
      </c>
      <c r="E53" s="33" t="s">
        <v>277</v>
      </c>
      <c r="F53" s="33"/>
      <c r="G53" s="33">
        <v>2.0</v>
      </c>
      <c r="H53" s="33" t="s">
        <v>92</v>
      </c>
      <c r="I53" s="33" t="s">
        <v>32</v>
      </c>
      <c r="J53" s="33">
        <f>IFERROR(__xludf.DUMMYFUNCTION("LEN(REGEXREPLACE(XLOOKUP($A53,Cards!$A$2:$A1000,Cards!$H$2:$H1000,""""),"",\s"",""""))"),2.0)</f>
        <v>2</v>
      </c>
      <c r="K53" s="33" t="str">
        <f t="shared" si="1"/>
        <v>           Move    </v>
      </c>
      <c r="L53" s="33" t="str">
        <f>IFERROR(__xludf.DUMMYFUNCTION("IF(IF(L$1="""","""",REGEXMATCH(LOWER($E53),XLOOKUP(L$1,Metadata!$A$2:$A1000,Metadata!$B$2:$B1000))),L$1,"""")"),"")</f>
        <v/>
      </c>
      <c r="M53" s="33" t="str">
        <f>IFERROR(__xludf.DUMMYFUNCTION("IF(IF(M$1="""","""",REGEXMATCH(LOWER($E53),XLOOKUP(M$1,Metadata!$A$2:$A1000,Metadata!$B$2:$B1000))),M$1,"""")"),"")</f>
        <v/>
      </c>
      <c r="N53" s="33" t="str">
        <f>IFERROR(__xludf.DUMMYFUNCTION("IF(IF(N$1="""","""",REGEXMATCH(LOWER($E53),XLOOKUP(N$1,Metadata!$A$2:$A1000,Metadata!$B$2:$B1000))),N$1,"""")"),"")</f>
        <v/>
      </c>
      <c r="O53" s="33" t="str">
        <f>IFERROR(__xludf.DUMMYFUNCTION("IF(IF(O$1="""","""",REGEXMATCH(LOWER($E53),XLOOKUP(O$1,Metadata!$A$2:$A1000,Metadata!$B$2:$B1000))),O$1,"""")"),"")</f>
        <v/>
      </c>
      <c r="P53" s="33" t="str">
        <f>IFERROR(__xludf.DUMMYFUNCTION("IF(IF(P$1="""","""",REGEXMATCH(LOWER($E53),XLOOKUP(P$1,Metadata!$A$2:$A1000,Metadata!$B$2:$B1000))),P$1,"""")"),"")</f>
        <v/>
      </c>
      <c r="Q53" s="33" t="str">
        <f>IFERROR(__xludf.DUMMYFUNCTION("IF(IF(Q$1="""","""",REGEXMATCH(LOWER($E53),XLOOKUP(Q$1,Metadata!$A$2:$A1000,Metadata!$B$2:$B1000))),Q$1,"""")"),"")</f>
        <v/>
      </c>
      <c r="R53" s="33" t="str">
        <f>IFERROR(__xludf.DUMMYFUNCTION("IF(IF(R$1="""","""",REGEXMATCH(LOWER($E53),XLOOKUP(R$1,Metadata!$A$2:$A1000,Metadata!$B$2:$B1000))),R$1,"""")"),"")</f>
        <v/>
      </c>
      <c r="S53" s="33" t="str">
        <f>IFERROR(__xludf.DUMMYFUNCTION("IF(IF(S$1="""","""",REGEXMATCH(LOWER($E53),XLOOKUP(S$1,Metadata!$A$2:$A1000,Metadata!$B$2:$B1000))),S$1,"""")"),"")</f>
        <v/>
      </c>
      <c r="T53" s="33" t="str">
        <f>IFERROR(__xludf.DUMMYFUNCTION("IF(IF(T$1="""","""",REGEXMATCH(LOWER($E53),XLOOKUP(T$1,Metadata!$A$2:$A1000,Metadata!$B$2:$B1000))),T$1,"""")"),"")</f>
        <v/>
      </c>
      <c r="U53" s="33" t="str">
        <f>IFERROR(__xludf.DUMMYFUNCTION("IF(IF(U$1="""","""",REGEXMATCH(LOWER($E53),XLOOKUP(U$1,Metadata!$A$2:$A1000,Metadata!$B$2:$B1000))),U$1,"""")"),"")</f>
        <v/>
      </c>
      <c r="V53" s="33" t="str">
        <f>IFERROR(__xludf.DUMMYFUNCTION("IF(IF(V$1="""","""",REGEXMATCH(LOWER($E53),XLOOKUP(V$1,Metadata!$A$2:$A1000,Metadata!$B$2:$B1000))),V$1,"""")"),"")</f>
        <v/>
      </c>
      <c r="W53" s="33" t="str">
        <f>IFERROR(__xludf.DUMMYFUNCTION("IF(IF(W$1="""","""",REGEXMATCH(LOWER($E53),XLOOKUP(W$1,Metadata!$A$2:$A1000,Metadata!$B$2:$B1000))),W$1,"""")"),"Move")</f>
        <v>Move</v>
      </c>
      <c r="X53" s="33" t="str">
        <f>IFERROR(__xludf.DUMMYFUNCTION("IF(IF(X$1="""","""",REGEXMATCH(LOWER($E53),XLOOKUP(X$1,Metadata!$A$2:$A1000,Metadata!$B$2:$B1000))),X$1,"""")"),"")</f>
        <v/>
      </c>
      <c r="Y53" s="33" t="str">
        <f>IFERROR(__xludf.DUMMYFUNCTION("IF(IF(Y$1="""","""",REGEXMATCH(LOWER($E53),XLOOKUP(Y$1,Metadata!$A$2:$A1000,Metadata!$B$2:$B1000))),Y$1,"""")"),"")</f>
        <v/>
      </c>
      <c r="Z53" s="33" t="str">
        <f>IFERROR(__xludf.DUMMYFUNCTION("IF(IF(Z$1="""","""",REGEXMATCH(LOWER($E53),XLOOKUP(Z$1,Metadata!$A$2:$A1000,Metadata!$B$2:$B1000))),Z$1,"""")"),"")</f>
        <v/>
      </c>
      <c r="AA53" s="33" t="str">
        <f>IFERROR(__xludf.DUMMYFUNCTION("IF(AA$1="""","""",REGEXMATCH(LOWER($E53),XLOOKUP(AA$1,Metadata!$A$2:$A1000,Metadata!$B$2:$B1000)))"),"")</f>
        <v/>
      </c>
    </row>
    <row r="54">
      <c r="A54" s="33" t="str">
        <f>IFERROR(__xludf.DUMMYFUNCTION("""COMPUTED_VALUE"""),"Thunderswarm Lightning Rider")</f>
        <v>Thunderswarm Lightning Rider</v>
      </c>
      <c r="B54" s="33" t="str">
        <f t="array" ref="B54:I54">XLOOKUP($A54,Cards!$A$2:$A1000,Cards!$B$2:$I1000,"")</f>
        <v>Divine Elemental</v>
      </c>
      <c r="C54" s="33">
        <v>2.0</v>
      </c>
      <c r="D54" s="33" t="s">
        <v>134</v>
      </c>
      <c r="E54" s="33" t="s">
        <v>279</v>
      </c>
      <c r="F54" s="33" t="s">
        <v>280</v>
      </c>
      <c r="G54" s="33">
        <v>6.0</v>
      </c>
      <c r="H54" s="33" t="s">
        <v>269</v>
      </c>
      <c r="I54" s="33" t="s">
        <v>62</v>
      </c>
      <c r="J54" s="33">
        <f>IFERROR(__xludf.DUMMYFUNCTION("LEN(REGEXREPLACE(XLOOKUP($A54,Cards!$A$2:$A1000,Cards!$H$2:$H1000,""""),"",\s"",""""))"),5.0)</f>
        <v>5</v>
      </c>
      <c r="K54" s="33" t="str">
        <f t="shared" si="1"/>
        <v>               </v>
      </c>
      <c r="L54" s="33" t="str">
        <f>IFERROR(__xludf.DUMMYFUNCTION("IF(IF(L$1="""","""",REGEXMATCH(LOWER($E54),XLOOKUP(L$1,Metadata!$A$2:$A1000,Metadata!$B$2:$B1000))),L$1,"""")"),"")</f>
        <v/>
      </c>
      <c r="M54" s="33" t="str">
        <f>IFERROR(__xludf.DUMMYFUNCTION("IF(IF(M$1="""","""",REGEXMATCH(LOWER($E54),XLOOKUP(M$1,Metadata!$A$2:$A1000,Metadata!$B$2:$B1000))),M$1,"""")"),"")</f>
        <v/>
      </c>
      <c r="N54" s="33" t="str">
        <f>IFERROR(__xludf.DUMMYFUNCTION("IF(IF(N$1="""","""",REGEXMATCH(LOWER($E54),XLOOKUP(N$1,Metadata!$A$2:$A1000,Metadata!$B$2:$B1000))),N$1,"""")"),"")</f>
        <v/>
      </c>
      <c r="O54" s="33" t="str">
        <f>IFERROR(__xludf.DUMMYFUNCTION("IF(IF(O$1="""","""",REGEXMATCH(LOWER($E54),XLOOKUP(O$1,Metadata!$A$2:$A1000,Metadata!$B$2:$B1000))),O$1,"""")"),"")</f>
        <v/>
      </c>
      <c r="P54" s="33" t="str">
        <f>IFERROR(__xludf.DUMMYFUNCTION("IF(IF(P$1="""","""",REGEXMATCH(LOWER($E54),XLOOKUP(P$1,Metadata!$A$2:$A1000,Metadata!$B$2:$B1000))),P$1,"""")"),"")</f>
        <v/>
      </c>
      <c r="Q54" s="33" t="str">
        <f>IFERROR(__xludf.DUMMYFUNCTION("IF(IF(Q$1="""","""",REGEXMATCH(LOWER($E54),XLOOKUP(Q$1,Metadata!$A$2:$A1000,Metadata!$B$2:$B1000))),Q$1,"""")"),"")</f>
        <v/>
      </c>
      <c r="R54" s="33" t="str">
        <f>IFERROR(__xludf.DUMMYFUNCTION("IF(IF(R$1="""","""",REGEXMATCH(LOWER($E54),XLOOKUP(R$1,Metadata!$A$2:$A1000,Metadata!$B$2:$B1000))),R$1,"""")"),"")</f>
        <v/>
      </c>
      <c r="S54" s="33" t="str">
        <f>IFERROR(__xludf.DUMMYFUNCTION("IF(IF(S$1="""","""",REGEXMATCH(LOWER($E54),XLOOKUP(S$1,Metadata!$A$2:$A1000,Metadata!$B$2:$B1000))),S$1,"""")"),"")</f>
        <v/>
      </c>
      <c r="T54" s="33" t="str">
        <f>IFERROR(__xludf.DUMMYFUNCTION("IF(IF(T$1="""","""",REGEXMATCH(LOWER($E54),XLOOKUP(T$1,Metadata!$A$2:$A1000,Metadata!$B$2:$B1000))),T$1,"""")"),"")</f>
        <v/>
      </c>
      <c r="U54" s="33" t="str">
        <f>IFERROR(__xludf.DUMMYFUNCTION("IF(IF(U$1="""","""",REGEXMATCH(LOWER($E54),XLOOKUP(U$1,Metadata!$A$2:$A1000,Metadata!$B$2:$B1000))),U$1,"""")"),"")</f>
        <v/>
      </c>
      <c r="V54" s="33" t="str">
        <f>IFERROR(__xludf.DUMMYFUNCTION("IF(IF(V$1="""","""",REGEXMATCH(LOWER($E54),XLOOKUP(V$1,Metadata!$A$2:$A1000,Metadata!$B$2:$B1000))),V$1,"""")"),"")</f>
        <v/>
      </c>
      <c r="W54" s="33" t="str">
        <f>IFERROR(__xludf.DUMMYFUNCTION("IF(IF(W$1="""","""",REGEXMATCH(LOWER($E54),XLOOKUP(W$1,Metadata!$A$2:$A1000,Metadata!$B$2:$B1000))),W$1,"""")"),"")</f>
        <v/>
      </c>
      <c r="X54" s="33" t="str">
        <f>IFERROR(__xludf.DUMMYFUNCTION("IF(IF(X$1="""","""",REGEXMATCH(LOWER($E54),XLOOKUP(X$1,Metadata!$A$2:$A1000,Metadata!$B$2:$B1000))),X$1,"""")"),"")</f>
        <v/>
      </c>
      <c r="Y54" s="33" t="str">
        <f>IFERROR(__xludf.DUMMYFUNCTION("IF(IF(Y$1="""","""",REGEXMATCH(LOWER($E54),XLOOKUP(Y$1,Metadata!$A$2:$A1000,Metadata!$B$2:$B1000))),Y$1,"""")"),"")</f>
        <v/>
      </c>
      <c r="Z54" s="33" t="str">
        <f>IFERROR(__xludf.DUMMYFUNCTION("IF(IF(Z$1="""","""",REGEXMATCH(LOWER($E54),XLOOKUP(Z$1,Metadata!$A$2:$A1000,Metadata!$B$2:$B1000))),Z$1,"""")"),"")</f>
        <v/>
      </c>
      <c r="AA54" s="33" t="str">
        <f>IFERROR(__xludf.DUMMYFUNCTION("IF(AA$1="""","""",REGEXMATCH(LOWER($E54),XLOOKUP(AA$1,Metadata!$A$2:$A1000,Metadata!$B$2:$B1000)))"),"")</f>
        <v/>
      </c>
    </row>
    <row r="55">
      <c r="A55" s="33" t="str">
        <f>IFERROR(__xludf.DUMMYFUNCTION("""COMPUTED_VALUE"""),"Desertwind Relic Hunter")</f>
        <v>Desertwind Relic Hunter</v>
      </c>
      <c r="B55" s="33" t="str">
        <f t="array" ref="B55:I55">XLOOKUP($A55,Cards!$A$2:$A1000,Cards!$B$2:$I1000,"")</f>
        <v>Divine Mortal</v>
      </c>
      <c r="C55" s="33">
        <v>2.0</v>
      </c>
      <c r="D55" s="33" t="s">
        <v>128</v>
      </c>
      <c r="E55" s="33" t="s">
        <v>283</v>
      </c>
      <c r="F55" s="33" t="s">
        <v>284</v>
      </c>
      <c r="G55" s="33">
        <v>3.0</v>
      </c>
      <c r="H55" s="33" t="s">
        <v>285</v>
      </c>
      <c r="I55" s="33" t="s">
        <v>62</v>
      </c>
      <c r="J55" s="33">
        <f>IFERROR(__xludf.DUMMYFUNCTION("LEN(REGEXREPLACE(XLOOKUP($A55,Cards!$A$2:$A1000,Cards!$H$2:$H1000,""""),"",\s"",""""))"),5.0)</f>
        <v>5</v>
      </c>
      <c r="K55" s="33" t="str">
        <f t="shared" si="1"/>
        <v>     Unearth          </v>
      </c>
      <c r="L55" s="33" t="str">
        <f>IFERROR(__xludf.DUMMYFUNCTION("IF(IF(L$1="""","""",REGEXMATCH(LOWER($E55),XLOOKUP(L$1,Metadata!$A$2:$A1000,Metadata!$B$2:$B1000))),L$1,"""")"),"")</f>
        <v/>
      </c>
      <c r="M55" s="33" t="str">
        <f>IFERROR(__xludf.DUMMYFUNCTION("IF(IF(M$1="""","""",REGEXMATCH(LOWER($E55),XLOOKUP(M$1,Metadata!$A$2:$A1000,Metadata!$B$2:$B1000))),M$1,"""")"),"")</f>
        <v/>
      </c>
      <c r="N55" s="33" t="str">
        <f>IFERROR(__xludf.DUMMYFUNCTION("IF(IF(N$1="""","""",REGEXMATCH(LOWER($E55),XLOOKUP(N$1,Metadata!$A$2:$A1000,Metadata!$B$2:$B1000))),N$1,"""")"),"")</f>
        <v/>
      </c>
      <c r="O55" s="33" t="str">
        <f>IFERROR(__xludf.DUMMYFUNCTION("IF(IF(O$1="""","""",REGEXMATCH(LOWER($E55),XLOOKUP(O$1,Metadata!$A$2:$A1000,Metadata!$B$2:$B1000))),O$1,"""")"),"")</f>
        <v/>
      </c>
      <c r="P55" s="33" t="str">
        <f>IFERROR(__xludf.DUMMYFUNCTION("IF(IF(P$1="""","""",REGEXMATCH(LOWER($E55),XLOOKUP(P$1,Metadata!$A$2:$A1000,Metadata!$B$2:$B1000))),P$1,"""")"),"")</f>
        <v/>
      </c>
      <c r="Q55" s="33" t="str">
        <f>IFERROR(__xludf.DUMMYFUNCTION("IF(IF(Q$1="""","""",REGEXMATCH(LOWER($E55),XLOOKUP(Q$1,Metadata!$A$2:$A1000,Metadata!$B$2:$B1000))),Q$1,"""")"),"Unearth")</f>
        <v>Unearth</v>
      </c>
      <c r="R55" s="33" t="str">
        <f>IFERROR(__xludf.DUMMYFUNCTION("IF(IF(R$1="""","""",REGEXMATCH(LOWER($E55),XLOOKUP(R$1,Metadata!$A$2:$A1000,Metadata!$B$2:$B1000))),R$1,"""")"),"")</f>
        <v/>
      </c>
      <c r="S55" s="33" t="str">
        <f>IFERROR(__xludf.DUMMYFUNCTION("IF(IF(S$1="""","""",REGEXMATCH(LOWER($E55),XLOOKUP(S$1,Metadata!$A$2:$A1000,Metadata!$B$2:$B1000))),S$1,"""")"),"")</f>
        <v/>
      </c>
      <c r="T55" s="33" t="str">
        <f>IFERROR(__xludf.DUMMYFUNCTION("IF(IF(T$1="""","""",REGEXMATCH(LOWER($E55),XLOOKUP(T$1,Metadata!$A$2:$A1000,Metadata!$B$2:$B1000))),T$1,"""")"),"")</f>
        <v/>
      </c>
      <c r="U55" s="33" t="str">
        <f>IFERROR(__xludf.DUMMYFUNCTION("IF(IF(U$1="""","""",REGEXMATCH(LOWER($E55),XLOOKUP(U$1,Metadata!$A$2:$A1000,Metadata!$B$2:$B1000))),U$1,"""")"),"")</f>
        <v/>
      </c>
      <c r="V55" s="33" t="str">
        <f>IFERROR(__xludf.DUMMYFUNCTION("IF(IF(V$1="""","""",REGEXMATCH(LOWER($E55),XLOOKUP(V$1,Metadata!$A$2:$A1000,Metadata!$B$2:$B1000))),V$1,"""")"),"")</f>
        <v/>
      </c>
      <c r="W55" s="33" t="str">
        <f>IFERROR(__xludf.DUMMYFUNCTION("IF(IF(W$1="""","""",REGEXMATCH(LOWER($E55),XLOOKUP(W$1,Metadata!$A$2:$A1000,Metadata!$B$2:$B1000))),W$1,"""")"),"")</f>
        <v/>
      </c>
      <c r="X55" s="33" t="str">
        <f>IFERROR(__xludf.DUMMYFUNCTION("IF(IF(X$1="""","""",REGEXMATCH(LOWER($E55),XLOOKUP(X$1,Metadata!$A$2:$A1000,Metadata!$B$2:$B1000))),X$1,"""")"),"")</f>
        <v/>
      </c>
      <c r="Y55" s="33" t="str">
        <f>IFERROR(__xludf.DUMMYFUNCTION("IF(IF(Y$1="""","""",REGEXMATCH(LOWER($E55),XLOOKUP(Y$1,Metadata!$A$2:$A1000,Metadata!$B$2:$B1000))),Y$1,"""")"),"")</f>
        <v/>
      </c>
      <c r="Z55" s="33" t="str">
        <f>IFERROR(__xludf.DUMMYFUNCTION("IF(IF(Z$1="""","""",REGEXMATCH(LOWER($E55),XLOOKUP(Z$1,Metadata!$A$2:$A1000,Metadata!$B$2:$B1000))),Z$1,"""")"),"")</f>
        <v/>
      </c>
      <c r="AA55" s="33" t="str">
        <f>IFERROR(__xludf.DUMMYFUNCTION("IF(AA$1="""","""",REGEXMATCH(LOWER($E55),XLOOKUP(AA$1,Metadata!$A$2:$A1000,Metadata!$B$2:$B1000)))"),"")</f>
        <v/>
      </c>
    </row>
    <row r="56">
      <c r="A56" s="33" t="str">
        <f>IFERROR(__xludf.DUMMYFUNCTION("""COMPUTED_VALUE"""),"Exemplar of Lunar Gleam")</f>
        <v>Exemplar of Lunar Gleam</v>
      </c>
      <c r="B56" s="33" t="str">
        <f t="array" ref="B56:I56">XLOOKUP($A56,Cards!$A$2:$A1000,Cards!$B$2:$I1000,"")</f>
        <v>Divine Mortal</v>
      </c>
      <c r="C56" s="33">
        <v>2.0</v>
      </c>
      <c r="D56" s="33" t="s">
        <v>287</v>
      </c>
      <c r="E56" s="33" t="s">
        <v>288</v>
      </c>
      <c r="F56" s="33" t="s">
        <v>289</v>
      </c>
      <c r="G56" s="33">
        <v>4.0</v>
      </c>
      <c r="H56" s="33" t="s">
        <v>290</v>
      </c>
      <c r="I56" s="33" t="s">
        <v>32</v>
      </c>
      <c r="J56" s="33">
        <f>IFERROR(__xludf.DUMMYFUNCTION("LEN(REGEXREPLACE(XLOOKUP($A56,Cards!$A$2:$A1000,Cards!$H$2:$H1000,""""),"",\s"",""""))"),3.0)</f>
        <v>3</v>
      </c>
      <c r="K56" s="33" t="str">
        <f t="shared" si="1"/>
        <v>Divine  Mortal     Control     Ambush   </v>
      </c>
      <c r="L56" s="33" t="str">
        <f>IFERROR(__xludf.DUMMYFUNCTION("IF(IF(L$1="""","""",REGEXMATCH(LOWER($E56),XLOOKUP(L$1,Metadata!$A$2:$A1000,Metadata!$B$2:$B1000))),L$1,"""")"),"Divine")</f>
        <v>Divine</v>
      </c>
      <c r="M56" s="33" t="str">
        <f>IFERROR(__xludf.DUMMYFUNCTION("IF(IF(M$1="""","""",REGEXMATCH(LOWER($E56),XLOOKUP(M$1,Metadata!$A$2:$A1000,Metadata!$B$2:$B1000))),M$1,"""")"),"")</f>
        <v/>
      </c>
      <c r="N56" s="33" t="str">
        <f>IFERROR(__xludf.DUMMYFUNCTION("IF(IF(N$1="""","""",REGEXMATCH(LOWER($E56),XLOOKUP(N$1,Metadata!$A$2:$A1000,Metadata!$B$2:$B1000))),N$1,"""")"),"Mortal")</f>
        <v>Mortal</v>
      </c>
      <c r="O56" s="33" t="str">
        <f>IFERROR(__xludf.DUMMYFUNCTION("IF(IF(O$1="""","""",REGEXMATCH(LOWER($E56),XLOOKUP(O$1,Metadata!$A$2:$A1000,Metadata!$B$2:$B1000))),O$1,"""")"),"")</f>
        <v/>
      </c>
      <c r="P56" s="33" t="str">
        <f>IFERROR(__xludf.DUMMYFUNCTION("IF(IF(P$1="""","""",REGEXMATCH(LOWER($E56),XLOOKUP(P$1,Metadata!$A$2:$A1000,Metadata!$B$2:$B1000))),P$1,"""")"),"")</f>
        <v/>
      </c>
      <c r="Q56" s="33" t="str">
        <f>IFERROR(__xludf.DUMMYFUNCTION("IF(IF(Q$1="""","""",REGEXMATCH(LOWER($E56),XLOOKUP(Q$1,Metadata!$A$2:$A1000,Metadata!$B$2:$B1000))),Q$1,"""")"),"")</f>
        <v/>
      </c>
      <c r="R56" s="33" t="str">
        <f>IFERROR(__xludf.DUMMYFUNCTION("IF(IF(R$1="""","""",REGEXMATCH(LOWER($E56),XLOOKUP(R$1,Metadata!$A$2:$A1000,Metadata!$B$2:$B1000))),R$1,"""")"),"")</f>
        <v/>
      </c>
      <c r="S56" s="33" t="str">
        <f>IFERROR(__xludf.DUMMYFUNCTION("IF(IF(S$1="""","""",REGEXMATCH(LOWER($E56),XLOOKUP(S$1,Metadata!$A$2:$A1000,Metadata!$B$2:$B1000))),S$1,"""")"),"Control")</f>
        <v>Control</v>
      </c>
      <c r="T56" s="33" t="str">
        <f>IFERROR(__xludf.DUMMYFUNCTION("IF(IF(T$1="""","""",REGEXMATCH(LOWER($E56),XLOOKUP(T$1,Metadata!$A$2:$A1000,Metadata!$B$2:$B1000))),T$1,"""")"),"")</f>
        <v/>
      </c>
      <c r="U56" s="33" t="str">
        <f>IFERROR(__xludf.DUMMYFUNCTION("IF(IF(U$1="""","""",REGEXMATCH(LOWER($E56),XLOOKUP(U$1,Metadata!$A$2:$A1000,Metadata!$B$2:$B1000))),U$1,"""")"),"")</f>
        <v/>
      </c>
      <c r="V56" s="33" t="str">
        <f>IFERROR(__xludf.DUMMYFUNCTION("IF(IF(V$1="""","""",REGEXMATCH(LOWER($E56),XLOOKUP(V$1,Metadata!$A$2:$A1000,Metadata!$B$2:$B1000))),V$1,"""")"),"")</f>
        <v/>
      </c>
      <c r="W56" s="33" t="str">
        <f>IFERROR(__xludf.DUMMYFUNCTION("IF(IF(W$1="""","""",REGEXMATCH(LOWER($E56),XLOOKUP(W$1,Metadata!$A$2:$A1000,Metadata!$B$2:$B1000))),W$1,"""")"),"")</f>
        <v/>
      </c>
      <c r="X56" s="33" t="str">
        <f>IFERROR(__xludf.DUMMYFUNCTION("IF(IF(X$1="""","""",REGEXMATCH(LOWER($E56),XLOOKUP(X$1,Metadata!$A$2:$A1000,Metadata!$B$2:$B1000))),X$1,"""")"),"Ambush")</f>
        <v>Ambush</v>
      </c>
      <c r="Y56" s="33" t="str">
        <f>IFERROR(__xludf.DUMMYFUNCTION("IF(IF(Y$1="""","""",REGEXMATCH(LOWER($E56),XLOOKUP(Y$1,Metadata!$A$2:$A1000,Metadata!$B$2:$B1000))),Y$1,"""")"),"")</f>
        <v/>
      </c>
      <c r="Z56" s="33" t="str">
        <f>IFERROR(__xludf.DUMMYFUNCTION("IF(IF(Z$1="""","""",REGEXMATCH(LOWER($E56),XLOOKUP(Z$1,Metadata!$A$2:$A1000,Metadata!$B$2:$B1000))),Z$1,"""")"),"")</f>
        <v/>
      </c>
      <c r="AA56" s="33" t="str">
        <f>IFERROR(__xludf.DUMMYFUNCTION("IF(AA$1="""","""",REGEXMATCH(LOWER($E56),XLOOKUP(AA$1,Metadata!$A$2:$A1000,Metadata!$B$2:$B1000)))"),"")</f>
        <v/>
      </c>
    </row>
    <row r="57">
      <c r="A57" s="33" t="str">
        <f>IFERROR(__xludf.DUMMYFUNCTION("""COMPUTED_VALUE"""),"Grenade Apple Dragon #3")</f>
        <v>Grenade Apple Dragon #3</v>
      </c>
      <c r="B57" s="33" t="str">
        <f t="array" ref="B57:I57">XLOOKUP($A57,Cards!$A$2:$A1000,Cards!$B$2:$I1000,"")</f>
        <v>Divine</v>
      </c>
      <c r="C57" s="33">
        <v>1.0</v>
      </c>
      <c r="D57" s="33" t="s">
        <v>292</v>
      </c>
      <c r="E57" s="33"/>
      <c r="F57" s="33"/>
      <c r="G57" s="33">
        <v>2.0</v>
      </c>
      <c r="H57" s="33" t="s">
        <v>25</v>
      </c>
      <c r="I57" s="33" t="s">
        <v>26</v>
      </c>
      <c r="J57" s="33">
        <f>IFERROR(__xludf.DUMMYFUNCTION("LEN(REGEXREPLACE(XLOOKUP($A57,Cards!$A$2:$A1000,Cards!$H$2:$H1000,""""),"",\s"",""""))"),1.0)</f>
        <v>1</v>
      </c>
      <c r="K57" s="33" t="str">
        <f t="shared" si="1"/>
        <v>               </v>
      </c>
      <c r="L57" s="33" t="str">
        <f>IFERROR(__xludf.DUMMYFUNCTION("IF(IF(L$1="""","""",REGEXMATCH(LOWER($E57),XLOOKUP(L$1,Metadata!$A$2:$A1000,Metadata!$B$2:$B1000))),L$1,"""")"),"")</f>
        <v/>
      </c>
      <c r="M57" s="33" t="str">
        <f>IFERROR(__xludf.DUMMYFUNCTION("IF(IF(M$1="""","""",REGEXMATCH(LOWER($E57),XLOOKUP(M$1,Metadata!$A$2:$A1000,Metadata!$B$2:$B1000))),M$1,"""")"),"")</f>
        <v/>
      </c>
      <c r="N57" s="33" t="str">
        <f>IFERROR(__xludf.DUMMYFUNCTION("IF(IF(N$1="""","""",REGEXMATCH(LOWER($E57),XLOOKUP(N$1,Metadata!$A$2:$A1000,Metadata!$B$2:$B1000))),N$1,"""")"),"")</f>
        <v/>
      </c>
      <c r="O57" s="33" t="str">
        <f>IFERROR(__xludf.DUMMYFUNCTION("IF(IF(O$1="""","""",REGEXMATCH(LOWER($E57),XLOOKUP(O$1,Metadata!$A$2:$A1000,Metadata!$B$2:$B1000))),O$1,"""")"),"")</f>
        <v/>
      </c>
      <c r="P57" s="33" t="str">
        <f>IFERROR(__xludf.DUMMYFUNCTION("IF(IF(P$1="""","""",REGEXMATCH(LOWER($E57),XLOOKUP(P$1,Metadata!$A$2:$A1000,Metadata!$B$2:$B1000))),P$1,"""")"),"")</f>
        <v/>
      </c>
      <c r="Q57" s="33" t="str">
        <f>IFERROR(__xludf.DUMMYFUNCTION("IF(IF(Q$1="""","""",REGEXMATCH(LOWER($E57),XLOOKUP(Q$1,Metadata!$A$2:$A1000,Metadata!$B$2:$B1000))),Q$1,"""")"),"")</f>
        <v/>
      </c>
      <c r="R57" s="33" t="str">
        <f>IFERROR(__xludf.DUMMYFUNCTION("IF(IF(R$1="""","""",REGEXMATCH(LOWER($E57),XLOOKUP(R$1,Metadata!$A$2:$A1000,Metadata!$B$2:$B1000))),R$1,"""")"),"")</f>
        <v/>
      </c>
      <c r="S57" s="33" t="str">
        <f>IFERROR(__xludf.DUMMYFUNCTION("IF(IF(S$1="""","""",REGEXMATCH(LOWER($E57),XLOOKUP(S$1,Metadata!$A$2:$A1000,Metadata!$B$2:$B1000))),S$1,"""")"),"")</f>
        <v/>
      </c>
      <c r="T57" s="33" t="str">
        <f>IFERROR(__xludf.DUMMYFUNCTION("IF(IF(T$1="""","""",REGEXMATCH(LOWER($E57),XLOOKUP(T$1,Metadata!$A$2:$A1000,Metadata!$B$2:$B1000))),T$1,"""")"),"")</f>
        <v/>
      </c>
      <c r="U57" s="33" t="str">
        <f>IFERROR(__xludf.DUMMYFUNCTION("IF(IF(U$1="""","""",REGEXMATCH(LOWER($E57),XLOOKUP(U$1,Metadata!$A$2:$A1000,Metadata!$B$2:$B1000))),U$1,"""")"),"")</f>
        <v/>
      </c>
      <c r="V57" s="33" t="str">
        <f>IFERROR(__xludf.DUMMYFUNCTION("IF(IF(V$1="""","""",REGEXMATCH(LOWER($E57),XLOOKUP(V$1,Metadata!$A$2:$A1000,Metadata!$B$2:$B1000))),V$1,"""")"),"")</f>
        <v/>
      </c>
      <c r="W57" s="33" t="str">
        <f>IFERROR(__xludf.DUMMYFUNCTION("IF(IF(W$1="""","""",REGEXMATCH(LOWER($E57),XLOOKUP(W$1,Metadata!$A$2:$A1000,Metadata!$B$2:$B1000))),W$1,"""")"),"")</f>
        <v/>
      </c>
      <c r="X57" s="33" t="str">
        <f>IFERROR(__xludf.DUMMYFUNCTION("IF(IF(X$1="""","""",REGEXMATCH(LOWER($E57),XLOOKUP(X$1,Metadata!$A$2:$A1000,Metadata!$B$2:$B1000))),X$1,"""")"),"")</f>
        <v/>
      </c>
      <c r="Y57" s="33" t="str">
        <f>IFERROR(__xludf.DUMMYFUNCTION("IF(IF(Y$1="""","""",REGEXMATCH(LOWER($E57),XLOOKUP(Y$1,Metadata!$A$2:$A1000,Metadata!$B$2:$B1000))),Y$1,"""")"),"")</f>
        <v/>
      </c>
      <c r="Z57" s="33" t="str">
        <f>IFERROR(__xludf.DUMMYFUNCTION("IF(IF(Z$1="""","""",REGEXMATCH(LOWER($E57),XLOOKUP(Z$1,Metadata!$A$2:$A1000,Metadata!$B$2:$B1000))),Z$1,"""")"),"")</f>
        <v/>
      </c>
      <c r="AA57" s="33" t="str">
        <f>IFERROR(__xludf.DUMMYFUNCTION("IF(AA$1="""","""",REGEXMATCH(LOWER($E57),XLOOKUP(AA$1,Metadata!$A$2:$A1000,Metadata!$B$2:$B1000)))"),"")</f>
        <v/>
      </c>
    </row>
    <row r="58">
      <c r="A58" s="33" t="str">
        <f>IFERROR(__xludf.DUMMYFUNCTION("""COMPUTED_VALUE"""),"The Embalmer")</f>
        <v>The Embalmer</v>
      </c>
      <c r="B58" s="33" t="str">
        <f t="array" ref="B58:I58">XLOOKUP($A58,Cards!$A$2:$A1000,Cards!$B$2:$I1000,"")</f>
        <v>Divine</v>
      </c>
      <c r="C58" s="33">
        <v>1.0</v>
      </c>
      <c r="D58" s="33" t="s">
        <v>294</v>
      </c>
      <c r="E58" s="33" t="s">
        <v>295</v>
      </c>
      <c r="F58" s="33"/>
      <c r="G58" s="33">
        <v>2.0</v>
      </c>
      <c r="H58" s="33" t="s">
        <v>296</v>
      </c>
      <c r="I58" s="33" t="s">
        <v>32</v>
      </c>
      <c r="J58" s="33">
        <f>IFERROR(__xludf.DUMMYFUNCTION("LEN(REGEXREPLACE(XLOOKUP($A58,Cards!$A$2:$A1000,Cards!$H$2:$H1000,""""),"",\s"",""""))"),4.0)</f>
        <v>4</v>
      </c>
      <c r="K58" s="33" t="str">
        <f t="shared" si="1"/>
        <v>     Unearth  Control     Ambush   </v>
      </c>
      <c r="L58" s="33" t="str">
        <f>IFERROR(__xludf.DUMMYFUNCTION("IF(IF(L$1="""","""",REGEXMATCH(LOWER($E58),XLOOKUP(L$1,Metadata!$A$2:$A1000,Metadata!$B$2:$B1000))),L$1,"""")"),"")</f>
        <v/>
      </c>
      <c r="M58" s="33" t="str">
        <f>IFERROR(__xludf.DUMMYFUNCTION("IF(IF(M$1="""","""",REGEXMATCH(LOWER($E58),XLOOKUP(M$1,Metadata!$A$2:$A1000,Metadata!$B$2:$B1000))),M$1,"""")"),"")</f>
        <v/>
      </c>
      <c r="N58" s="33" t="str">
        <f>IFERROR(__xludf.DUMMYFUNCTION("IF(IF(N$1="""","""",REGEXMATCH(LOWER($E58),XLOOKUP(N$1,Metadata!$A$2:$A1000,Metadata!$B$2:$B1000))),N$1,"""")"),"")</f>
        <v/>
      </c>
      <c r="O58" s="33" t="str">
        <f>IFERROR(__xludf.DUMMYFUNCTION("IF(IF(O$1="""","""",REGEXMATCH(LOWER($E58),XLOOKUP(O$1,Metadata!$A$2:$A1000,Metadata!$B$2:$B1000))),O$1,"""")"),"")</f>
        <v/>
      </c>
      <c r="P58" s="33" t="str">
        <f>IFERROR(__xludf.DUMMYFUNCTION("IF(IF(P$1="""","""",REGEXMATCH(LOWER($E58),XLOOKUP(P$1,Metadata!$A$2:$A1000,Metadata!$B$2:$B1000))),P$1,"""")"),"")</f>
        <v/>
      </c>
      <c r="Q58" s="33" t="str">
        <f>IFERROR(__xludf.DUMMYFUNCTION("IF(IF(Q$1="""","""",REGEXMATCH(LOWER($E58),XLOOKUP(Q$1,Metadata!$A$2:$A1000,Metadata!$B$2:$B1000))),Q$1,"""")"),"Unearth")</f>
        <v>Unearth</v>
      </c>
      <c r="R58" s="33" t="str">
        <f>IFERROR(__xludf.DUMMYFUNCTION("IF(IF(R$1="""","""",REGEXMATCH(LOWER($E58),XLOOKUP(R$1,Metadata!$A$2:$A1000,Metadata!$B$2:$B1000))),R$1,"""")"),"")</f>
        <v/>
      </c>
      <c r="S58" s="33" t="str">
        <f>IFERROR(__xludf.DUMMYFUNCTION("IF(IF(S$1="""","""",REGEXMATCH(LOWER($E58),XLOOKUP(S$1,Metadata!$A$2:$A1000,Metadata!$B$2:$B1000))),S$1,"""")"),"Control")</f>
        <v>Control</v>
      </c>
      <c r="T58" s="33" t="str">
        <f>IFERROR(__xludf.DUMMYFUNCTION("IF(IF(T$1="""","""",REGEXMATCH(LOWER($E58),XLOOKUP(T$1,Metadata!$A$2:$A1000,Metadata!$B$2:$B1000))),T$1,"""")"),"")</f>
        <v/>
      </c>
      <c r="U58" s="33" t="str">
        <f>IFERROR(__xludf.DUMMYFUNCTION("IF(IF(U$1="""","""",REGEXMATCH(LOWER($E58),XLOOKUP(U$1,Metadata!$A$2:$A1000,Metadata!$B$2:$B1000))),U$1,"""")"),"")</f>
        <v/>
      </c>
      <c r="V58" s="33" t="str">
        <f>IFERROR(__xludf.DUMMYFUNCTION("IF(IF(V$1="""","""",REGEXMATCH(LOWER($E58),XLOOKUP(V$1,Metadata!$A$2:$A1000,Metadata!$B$2:$B1000))),V$1,"""")"),"")</f>
        <v/>
      </c>
      <c r="W58" s="33" t="str">
        <f>IFERROR(__xludf.DUMMYFUNCTION("IF(IF(W$1="""","""",REGEXMATCH(LOWER($E58),XLOOKUP(W$1,Metadata!$A$2:$A1000,Metadata!$B$2:$B1000))),W$1,"""")"),"")</f>
        <v/>
      </c>
      <c r="X58" s="33" t="str">
        <f>IFERROR(__xludf.DUMMYFUNCTION("IF(IF(X$1="""","""",REGEXMATCH(LOWER($E58),XLOOKUP(X$1,Metadata!$A$2:$A1000,Metadata!$B$2:$B1000))),X$1,"""")"),"Ambush")</f>
        <v>Ambush</v>
      </c>
      <c r="Y58" s="33" t="str">
        <f>IFERROR(__xludf.DUMMYFUNCTION("IF(IF(Y$1="""","""",REGEXMATCH(LOWER($E58),XLOOKUP(Y$1,Metadata!$A$2:$A1000,Metadata!$B$2:$B1000))),Y$1,"""")"),"")</f>
        <v/>
      </c>
      <c r="Z58" s="33" t="str">
        <f>IFERROR(__xludf.DUMMYFUNCTION("IF(IF(Z$1="""","""",REGEXMATCH(LOWER($E58),XLOOKUP(Z$1,Metadata!$A$2:$A1000,Metadata!$B$2:$B1000))),Z$1,"""")"),"")</f>
        <v/>
      </c>
      <c r="AA58" s="33" t="str">
        <f>IFERROR(__xludf.DUMMYFUNCTION("IF(AA$1="""","""",REGEXMATCH(LOWER($E58),XLOOKUP(AA$1,Metadata!$A$2:$A1000,Metadata!$B$2:$B1000)))"),"")</f>
        <v/>
      </c>
    </row>
    <row r="59">
      <c r="A59" s="33" t="str">
        <f>IFERROR(__xludf.DUMMYFUNCTION("""COMPUTED_VALUE"""),"Ushabti Carver")</f>
        <v>Ushabti Carver</v>
      </c>
      <c r="B59" s="33" t="str">
        <f t="array" ref="B59:I59">XLOOKUP($A59,Cards!$A$2:$A1000,Cards!$B$2:$I1000,"")</f>
        <v>Divine</v>
      </c>
      <c r="C59" s="33">
        <v>1.0</v>
      </c>
      <c r="D59" s="33" t="s">
        <v>298</v>
      </c>
      <c r="E59" s="33" t="s">
        <v>299</v>
      </c>
      <c r="F59" s="33"/>
      <c r="G59" s="33">
        <v>3.0</v>
      </c>
      <c r="H59" s="33" t="s">
        <v>49</v>
      </c>
      <c r="I59" s="33" t="s">
        <v>32</v>
      </c>
      <c r="J59" s="33">
        <f>IFERROR(__xludf.DUMMYFUNCTION("LEN(REGEXREPLACE(XLOOKUP($A59,Cards!$A$2:$A1000,Cards!$H$2:$H1000,""""),"",\s"",""""))"),3.0)</f>
        <v>3</v>
      </c>
      <c r="K59" s="33" t="str">
        <f t="shared" si="1"/>
        <v>      Ramp Control     Ambush   </v>
      </c>
      <c r="L59" s="33" t="str">
        <f>IFERROR(__xludf.DUMMYFUNCTION("IF(IF(L$1="""","""",REGEXMATCH(LOWER($E59),XLOOKUP(L$1,Metadata!$A$2:$A1000,Metadata!$B$2:$B1000))),L$1,"""")"),"")</f>
        <v/>
      </c>
      <c r="M59" s="33" t="str">
        <f>IFERROR(__xludf.DUMMYFUNCTION("IF(IF(M$1="""","""",REGEXMATCH(LOWER($E59),XLOOKUP(M$1,Metadata!$A$2:$A1000,Metadata!$B$2:$B1000))),M$1,"""")"),"")</f>
        <v/>
      </c>
      <c r="N59" s="33" t="str">
        <f>IFERROR(__xludf.DUMMYFUNCTION("IF(IF(N$1="""","""",REGEXMATCH(LOWER($E59),XLOOKUP(N$1,Metadata!$A$2:$A1000,Metadata!$B$2:$B1000))),N$1,"""")"),"")</f>
        <v/>
      </c>
      <c r="O59" s="33" t="str">
        <f>IFERROR(__xludf.DUMMYFUNCTION("IF(IF(O$1="""","""",REGEXMATCH(LOWER($E59),XLOOKUP(O$1,Metadata!$A$2:$A1000,Metadata!$B$2:$B1000))),O$1,"""")"),"")</f>
        <v/>
      </c>
      <c r="P59" s="33" t="str">
        <f>IFERROR(__xludf.DUMMYFUNCTION("IF(IF(P$1="""","""",REGEXMATCH(LOWER($E59),XLOOKUP(P$1,Metadata!$A$2:$A1000,Metadata!$B$2:$B1000))),P$1,"""")"),"")</f>
        <v/>
      </c>
      <c r="Q59" s="33" t="str">
        <f>IFERROR(__xludf.DUMMYFUNCTION("IF(IF(Q$1="""","""",REGEXMATCH(LOWER($E59),XLOOKUP(Q$1,Metadata!$A$2:$A1000,Metadata!$B$2:$B1000))),Q$1,"""")"),"")</f>
        <v/>
      </c>
      <c r="R59" s="33" t="str">
        <f>IFERROR(__xludf.DUMMYFUNCTION("IF(IF(R$1="""","""",REGEXMATCH(LOWER($E59),XLOOKUP(R$1,Metadata!$A$2:$A1000,Metadata!$B$2:$B1000))),R$1,"""")"),"Ramp")</f>
        <v>Ramp</v>
      </c>
      <c r="S59" s="33" t="str">
        <f>IFERROR(__xludf.DUMMYFUNCTION("IF(IF(S$1="""","""",REGEXMATCH(LOWER($E59),XLOOKUP(S$1,Metadata!$A$2:$A1000,Metadata!$B$2:$B1000))),S$1,"""")"),"Control")</f>
        <v>Control</v>
      </c>
      <c r="T59" s="33" t="str">
        <f>IFERROR(__xludf.DUMMYFUNCTION("IF(IF(T$1="""","""",REGEXMATCH(LOWER($E59),XLOOKUP(T$1,Metadata!$A$2:$A1000,Metadata!$B$2:$B1000))),T$1,"""")"),"")</f>
        <v/>
      </c>
      <c r="U59" s="33" t="str">
        <f>IFERROR(__xludf.DUMMYFUNCTION("IF(IF(U$1="""","""",REGEXMATCH(LOWER($E59),XLOOKUP(U$1,Metadata!$A$2:$A1000,Metadata!$B$2:$B1000))),U$1,"""")"),"")</f>
        <v/>
      </c>
      <c r="V59" s="33" t="str">
        <f>IFERROR(__xludf.DUMMYFUNCTION("IF(IF(V$1="""","""",REGEXMATCH(LOWER($E59),XLOOKUP(V$1,Metadata!$A$2:$A1000,Metadata!$B$2:$B1000))),V$1,"""")"),"")</f>
        <v/>
      </c>
      <c r="W59" s="33" t="str">
        <f>IFERROR(__xludf.DUMMYFUNCTION("IF(IF(W$1="""","""",REGEXMATCH(LOWER($E59),XLOOKUP(W$1,Metadata!$A$2:$A1000,Metadata!$B$2:$B1000))),W$1,"""")"),"")</f>
        <v/>
      </c>
      <c r="X59" s="33" t="str">
        <f>IFERROR(__xludf.DUMMYFUNCTION("IF(IF(X$1="""","""",REGEXMATCH(LOWER($E59),XLOOKUP(X$1,Metadata!$A$2:$A1000,Metadata!$B$2:$B1000))),X$1,"""")"),"Ambush")</f>
        <v>Ambush</v>
      </c>
      <c r="Y59" s="33" t="str">
        <f>IFERROR(__xludf.DUMMYFUNCTION("IF(IF(Y$1="""","""",REGEXMATCH(LOWER($E59),XLOOKUP(Y$1,Metadata!$A$2:$A1000,Metadata!$B$2:$B1000))),Y$1,"""")"),"")</f>
        <v/>
      </c>
      <c r="Z59" s="33" t="str">
        <f>IFERROR(__xludf.DUMMYFUNCTION("IF(IF(Z$1="""","""",REGEXMATCH(LOWER($E59),XLOOKUP(Z$1,Metadata!$A$2:$A1000,Metadata!$B$2:$B1000))),Z$1,"""")"),"")</f>
        <v/>
      </c>
      <c r="AA59" s="33" t="str">
        <f>IFERROR(__xludf.DUMMYFUNCTION("IF(AA$1="""","""",REGEXMATCH(LOWER($E59),XLOOKUP(AA$1,Metadata!$A$2:$A1000,Metadata!$B$2:$B1000)))"),"")</f>
        <v/>
      </c>
    </row>
    <row r="60">
      <c r="A60" s="33" t="str">
        <f>IFERROR(__xludf.DUMMYFUNCTION("""COMPUTED_VALUE"""),"Shattercrown Luminary")</f>
        <v>Shattercrown Luminary</v>
      </c>
      <c r="B60" s="33" t="str">
        <f t="array" ref="B60:I60">XLOOKUP($A60,Cards!$A$2:$A1000,Cards!$B$2:$I1000,"")</f>
        <v>Divine Mortal</v>
      </c>
      <c r="C60" s="33">
        <v>2.0</v>
      </c>
      <c r="D60" s="33" t="s">
        <v>134</v>
      </c>
      <c r="E60" s="33" t="s">
        <v>301</v>
      </c>
      <c r="F60" s="33" t="s">
        <v>302</v>
      </c>
      <c r="G60" s="33">
        <v>3.0</v>
      </c>
      <c r="H60" s="33" t="s">
        <v>303</v>
      </c>
      <c r="I60" s="33" t="s">
        <v>62</v>
      </c>
      <c r="J60" s="33">
        <f>IFERROR(__xludf.DUMMYFUNCTION("LEN(REGEXREPLACE(XLOOKUP($A60,Cards!$A$2:$A1000,Cards!$H$2:$H1000,""""),"",\s"",""""))"),4.0)</f>
        <v>4</v>
      </c>
      <c r="K60" s="33" t="str">
        <f t="shared" si="1"/>
        <v>               </v>
      </c>
      <c r="L60" s="33" t="str">
        <f>IFERROR(__xludf.DUMMYFUNCTION("IF(IF(L$1="""","""",REGEXMATCH(LOWER($E60),XLOOKUP(L$1,Metadata!$A$2:$A1000,Metadata!$B$2:$B1000))),L$1,"""")"),"")</f>
        <v/>
      </c>
      <c r="M60" s="33" t="str">
        <f>IFERROR(__xludf.DUMMYFUNCTION("IF(IF(M$1="""","""",REGEXMATCH(LOWER($E60),XLOOKUP(M$1,Metadata!$A$2:$A1000,Metadata!$B$2:$B1000))),M$1,"""")"),"")</f>
        <v/>
      </c>
      <c r="N60" s="33" t="str">
        <f>IFERROR(__xludf.DUMMYFUNCTION("IF(IF(N$1="""","""",REGEXMATCH(LOWER($E60),XLOOKUP(N$1,Metadata!$A$2:$A1000,Metadata!$B$2:$B1000))),N$1,"""")"),"")</f>
        <v/>
      </c>
      <c r="O60" s="33" t="str">
        <f>IFERROR(__xludf.DUMMYFUNCTION("IF(IF(O$1="""","""",REGEXMATCH(LOWER($E60),XLOOKUP(O$1,Metadata!$A$2:$A1000,Metadata!$B$2:$B1000))),O$1,"""")"),"")</f>
        <v/>
      </c>
      <c r="P60" s="33" t="str">
        <f>IFERROR(__xludf.DUMMYFUNCTION("IF(IF(P$1="""","""",REGEXMATCH(LOWER($E60),XLOOKUP(P$1,Metadata!$A$2:$A1000,Metadata!$B$2:$B1000))),P$1,"""")"),"")</f>
        <v/>
      </c>
      <c r="Q60" s="33" t="str">
        <f>IFERROR(__xludf.DUMMYFUNCTION("IF(IF(Q$1="""","""",REGEXMATCH(LOWER($E60),XLOOKUP(Q$1,Metadata!$A$2:$A1000,Metadata!$B$2:$B1000))),Q$1,"""")"),"")</f>
        <v/>
      </c>
      <c r="R60" s="33" t="str">
        <f>IFERROR(__xludf.DUMMYFUNCTION("IF(IF(R$1="""","""",REGEXMATCH(LOWER($E60),XLOOKUP(R$1,Metadata!$A$2:$A1000,Metadata!$B$2:$B1000))),R$1,"""")"),"")</f>
        <v/>
      </c>
      <c r="S60" s="33" t="str">
        <f>IFERROR(__xludf.DUMMYFUNCTION("IF(IF(S$1="""","""",REGEXMATCH(LOWER($E60),XLOOKUP(S$1,Metadata!$A$2:$A1000,Metadata!$B$2:$B1000))),S$1,"""")"),"")</f>
        <v/>
      </c>
      <c r="T60" s="33" t="str">
        <f>IFERROR(__xludf.DUMMYFUNCTION("IF(IF(T$1="""","""",REGEXMATCH(LOWER($E60),XLOOKUP(T$1,Metadata!$A$2:$A1000,Metadata!$B$2:$B1000))),T$1,"""")"),"")</f>
        <v/>
      </c>
      <c r="U60" s="33" t="str">
        <f>IFERROR(__xludf.DUMMYFUNCTION("IF(IF(U$1="""","""",REGEXMATCH(LOWER($E60),XLOOKUP(U$1,Metadata!$A$2:$A1000,Metadata!$B$2:$B1000))),U$1,"""")"),"")</f>
        <v/>
      </c>
      <c r="V60" s="33" t="str">
        <f>IFERROR(__xludf.DUMMYFUNCTION("IF(IF(V$1="""","""",REGEXMATCH(LOWER($E60),XLOOKUP(V$1,Metadata!$A$2:$A1000,Metadata!$B$2:$B1000))),V$1,"""")"),"")</f>
        <v/>
      </c>
      <c r="W60" s="33" t="str">
        <f>IFERROR(__xludf.DUMMYFUNCTION("IF(IF(W$1="""","""",REGEXMATCH(LOWER($E60),XLOOKUP(W$1,Metadata!$A$2:$A1000,Metadata!$B$2:$B1000))),W$1,"""")"),"")</f>
        <v/>
      </c>
      <c r="X60" s="33" t="str">
        <f>IFERROR(__xludf.DUMMYFUNCTION("IF(IF(X$1="""","""",REGEXMATCH(LOWER($E60),XLOOKUP(X$1,Metadata!$A$2:$A1000,Metadata!$B$2:$B1000))),X$1,"""")"),"")</f>
        <v/>
      </c>
      <c r="Y60" s="33" t="str">
        <f>IFERROR(__xludf.DUMMYFUNCTION("IF(IF(Y$1="""","""",REGEXMATCH(LOWER($E60),XLOOKUP(Y$1,Metadata!$A$2:$A1000,Metadata!$B$2:$B1000))),Y$1,"""")"),"")</f>
        <v/>
      </c>
      <c r="Z60" s="33" t="str">
        <f>IFERROR(__xludf.DUMMYFUNCTION("IF(IF(Z$1="""","""",REGEXMATCH(LOWER($E60),XLOOKUP(Z$1,Metadata!$A$2:$A1000,Metadata!$B$2:$B1000))),Z$1,"""")"),"")</f>
        <v/>
      </c>
      <c r="AA60" s="33" t="str">
        <f>IFERROR(__xludf.DUMMYFUNCTION("IF(AA$1="""","""",REGEXMATCH(LOWER($E60),XLOOKUP(AA$1,Metadata!$A$2:$A1000,Metadata!$B$2:$B1000)))"),"")</f>
        <v/>
      </c>
    </row>
    <row r="61">
      <c r="A61" s="33" t="str">
        <f>IFERROR(__xludf.DUMMYFUNCTION("""COMPUTED_VALUE"""),"Shepard of the Morning Dew")</f>
        <v>Shepard of the Morning Dew</v>
      </c>
      <c r="B61" s="33" t="str">
        <f t="array" ref="B61:I61">XLOOKUP($A61,Cards!$A$2:$A1000,Cards!$B$2:$I1000,"")</f>
        <v>Divine Mortal</v>
      </c>
      <c r="C61" s="33">
        <v>2.0</v>
      </c>
      <c r="D61" s="33" t="s">
        <v>28</v>
      </c>
      <c r="E61" s="33" t="s">
        <v>305</v>
      </c>
      <c r="F61" s="33" t="s">
        <v>306</v>
      </c>
      <c r="G61" s="33">
        <v>3.0</v>
      </c>
      <c r="H61" s="33" t="s">
        <v>303</v>
      </c>
      <c r="I61" s="33" t="s">
        <v>62</v>
      </c>
      <c r="J61" s="33">
        <f>IFERROR(__xludf.DUMMYFUNCTION("LEN(REGEXREPLACE(XLOOKUP($A61,Cards!$A$2:$A1000,Cards!$H$2:$H1000,""""),"",\s"",""""))"),4.0)</f>
        <v>4</v>
      </c>
      <c r="K61" s="33" t="str">
        <f t="shared" si="1"/>
        <v>               </v>
      </c>
      <c r="L61" s="33" t="str">
        <f>IFERROR(__xludf.DUMMYFUNCTION("IF(IF(L$1="""","""",REGEXMATCH(LOWER($E61),XLOOKUP(L$1,Metadata!$A$2:$A1000,Metadata!$B$2:$B1000))),L$1,"""")"),"")</f>
        <v/>
      </c>
      <c r="M61" s="33" t="str">
        <f>IFERROR(__xludf.DUMMYFUNCTION("IF(IF(M$1="""","""",REGEXMATCH(LOWER($E61),XLOOKUP(M$1,Metadata!$A$2:$A1000,Metadata!$B$2:$B1000))),M$1,"""")"),"")</f>
        <v/>
      </c>
      <c r="N61" s="33" t="str">
        <f>IFERROR(__xludf.DUMMYFUNCTION("IF(IF(N$1="""","""",REGEXMATCH(LOWER($E61),XLOOKUP(N$1,Metadata!$A$2:$A1000,Metadata!$B$2:$B1000))),N$1,"""")"),"")</f>
        <v/>
      </c>
      <c r="O61" s="33" t="str">
        <f>IFERROR(__xludf.DUMMYFUNCTION("IF(IF(O$1="""","""",REGEXMATCH(LOWER($E61),XLOOKUP(O$1,Metadata!$A$2:$A1000,Metadata!$B$2:$B1000))),O$1,"""")"),"")</f>
        <v/>
      </c>
      <c r="P61" s="33" t="str">
        <f>IFERROR(__xludf.DUMMYFUNCTION("IF(IF(P$1="""","""",REGEXMATCH(LOWER($E61),XLOOKUP(P$1,Metadata!$A$2:$A1000,Metadata!$B$2:$B1000))),P$1,"""")"),"")</f>
        <v/>
      </c>
      <c r="Q61" s="33" t="str">
        <f>IFERROR(__xludf.DUMMYFUNCTION("IF(IF(Q$1="""","""",REGEXMATCH(LOWER($E61),XLOOKUP(Q$1,Metadata!$A$2:$A1000,Metadata!$B$2:$B1000))),Q$1,"""")"),"")</f>
        <v/>
      </c>
      <c r="R61" s="33" t="str">
        <f>IFERROR(__xludf.DUMMYFUNCTION("IF(IF(R$1="""","""",REGEXMATCH(LOWER($E61),XLOOKUP(R$1,Metadata!$A$2:$A1000,Metadata!$B$2:$B1000))),R$1,"""")"),"")</f>
        <v/>
      </c>
      <c r="S61" s="33" t="str">
        <f>IFERROR(__xludf.DUMMYFUNCTION("IF(IF(S$1="""","""",REGEXMATCH(LOWER($E61),XLOOKUP(S$1,Metadata!$A$2:$A1000,Metadata!$B$2:$B1000))),S$1,"""")"),"")</f>
        <v/>
      </c>
      <c r="T61" s="33" t="str">
        <f>IFERROR(__xludf.DUMMYFUNCTION("IF(IF(T$1="""","""",REGEXMATCH(LOWER($E61),XLOOKUP(T$1,Metadata!$A$2:$A1000,Metadata!$B$2:$B1000))),T$1,"""")"),"")</f>
        <v/>
      </c>
      <c r="U61" s="33" t="str">
        <f>IFERROR(__xludf.DUMMYFUNCTION("IF(IF(U$1="""","""",REGEXMATCH(LOWER($E61),XLOOKUP(U$1,Metadata!$A$2:$A1000,Metadata!$B$2:$B1000))),U$1,"""")"),"")</f>
        <v/>
      </c>
      <c r="V61" s="33" t="str">
        <f>IFERROR(__xludf.DUMMYFUNCTION("IF(IF(V$1="""","""",REGEXMATCH(LOWER($E61),XLOOKUP(V$1,Metadata!$A$2:$A1000,Metadata!$B$2:$B1000))),V$1,"""")"),"")</f>
        <v/>
      </c>
      <c r="W61" s="33" t="str">
        <f>IFERROR(__xludf.DUMMYFUNCTION("IF(IF(W$1="""","""",REGEXMATCH(LOWER($E61),XLOOKUP(W$1,Metadata!$A$2:$A1000,Metadata!$B$2:$B1000))),W$1,"""")"),"")</f>
        <v/>
      </c>
      <c r="X61" s="33" t="str">
        <f>IFERROR(__xludf.DUMMYFUNCTION("IF(IF(X$1="""","""",REGEXMATCH(LOWER($E61),XLOOKUP(X$1,Metadata!$A$2:$A1000,Metadata!$B$2:$B1000))),X$1,"""")"),"")</f>
        <v/>
      </c>
      <c r="Y61" s="33" t="str">
        <f>IFERROR(__xludf.DUMMYFUNCTION("IF(IF(Y$1="""","""",REGEXMATCH(LOWER($E61),XLOOKUP(Y$1,Metadata!$A$2:$A1000,Metadata!$B$2:$B1000))),Y$1,"""")"),"")</f>
        <v/>
      </c>
      <c r="Z61" s="33" t="str">
        <f>IFERROR(__xludf.DUMMYFUNCTION("IF(IF(Z$1="""","""",REGEXMATCH(LOWER($E61),XLOOKUP(Z$1,Metadata!$A$2:$A1000,Metadata!$B$2:$B1000))),Z$1,"""")"),"")</f>
        <v/>
      </c>
      <c r="AA61" s="33" t="str">
        <f>IFERROR(__xludf.DUMMYFUNCTION("IF(AA$1="""","""",REGEXMATCH(LOWER($E61),XLOOKUP(AA$1,Metadata!$A$2:$A1000,Metadata!$B$2:$B1000)))"),"")</f>
        <v/>
      </c>
    </row>
    <row r="62">
      <c r="A62" s="33" t="str">
        <f>IFERROR(__xludf.DUMMYFUNCTION("""COMPUTED_VALUE"""),"Arboreal Messenger")</f>
        <v>Arboreal Messenger</v>
      </c>
      <c r="B62" s="33" t="str">
        <f t="array" ref="B62:I62">XLOOKUP($A62,Cards!$A$2:$A1000,Cards!$B$2:$I1000,"")</f>
        <v>Divine Nature</v>
      </c>
      <c r="C62" s="33">
        <v>2.0</v>
      </c>
      <c r="D62" s="33" t="s">
        <v>174</v>
      </c>
      <c r="E62" s="33" t="s">
        <v>309</v>
      </c>
      <c r="F62" s="33" t="s">
        <v>310</v>
      </c>
      <c r="G62" s="33">
        <v>3.0</v>
      </c>
      <c r="H62" s="33" t="s">
        <v>311</v>
      </c>
      <c r="I62" s="33" t="s">
        <v>62</v>
      </c>
      <c r="J62" s="33">
        <f>IFERROR(__xludf.DUMMYFUNCTION("LEN(REGEXREPLACE(XLOOKUP($A62,Cards!$A$2:$A1000,Cards!$H$2:$H1000,""""),"",\s"",""""))"),3.0)</f>
        <v>3</v>
      </c>
      <c r="K62" s="33" t="str">
        <f t="shared" si="1"/>
        <v>               </v>
      </c>
      <c r="L62" s="33" t="str">
        <f>IFERROR(__xludf.DUMMYFUNCTION("IF(IF(L$1="""","""",REGEXMATCH(LOWER($E62),XLOOKUP(L$1,Metadata!$A$2:$A1000,Metadata!$B$2:$B1000))),L$1,"""")"),"")</f>
        <v/>
      </c>
      <c r="M62" s="33" t="str">
        <f>IFERROR(__xludf.DUMMYFUNCTION("IF(IF(M$1="""","""",REGEXMATCH(LOWER($E62),XLOOKUP(M$1,Metadata!$A$2:$A1000,Metadata!$B$2:$B1000))),M$1,"""")"),"")</f>
        <v/>
      </c>
      <c r="N62" s="33" t="str">
        <f>IFERROR(__xludf.DUMMYFUNCTION("IF(IF(N$1="""","""",REGEXMATCH(LOWER($E62),XLOOKUP(N$1,Metadata!$A$2:$A1000,Metadata!$B$2:$B1000))),N$1,"""")"),"")</f>
        <v/>
      </c>
      <c r="O62" s="33" t="str">
        <f>IFERROR(__xludf.DUMMYFUNCTION("IF(IF(O$1="""","""",REGEXMATCH(LOWER($E62),XLOOKUP(O$1,Metadata!$A$2:$A1000,Metadata!$B$2:$B1000))),O$1,"""")"),"")</f>
        <v/>
      </c>
      <c r="P62" s="33" t="str">
        <f>IFERROR(__xludf.DUMMYFUNCTION("IF(IF(P$1="""","""",REGEXMATCH(LOWER($E62),XLOOKUP(P$1,Metadata!$A$2:$A1000,Metadata!$B$2:$B1000))),P$1,"""")"),"")</f>
        <v/>
      </c>
      <c r="Q62" s="33" t="str">
        <f>IFERROR(__xludf.DUMMYFUNCTION("IF(IF(Q$1="""","""",REGEXMATCH(LOWER($E62),XLOOKUP(Q$1,Metadata!$A$2:$A1000,Metadata!$B$2:$B1000))),Q$1,"""")"),"")</f>
        <v/>
      </c>
      <c r="R62" s="33" t="str">
        <f>IFERROR(__xludf.DUMMYFUNCTION("IF(IF(R$1="""","""",REGEXMATCH(LOWER($E62),XLOOKUP(R$1,Metadata!$A$2:$A1000,Metadata!$B$2:$B1000))),R$1,"""")"),"")</f>
        <v/>
      </c>
      <c r="S62" s="33" t="str">
        <f>IFERROR(__xludf.DUMMYFUNCTION("IF(IF(S$1="""","""",REGEXMATCH(LOWER($E62),XLOOKUP(S$1,Metadata!$A$2:$A1000,Metadata!$B$2:$B1000))),S$1,"""")"),"")</f>
        <v/>
      </c>
      <c r="T62" s="33" t="str">
        <f>IFERROR(__xludf.DUMMYFUNCTION("IF(IF(T$1="""","""",REGEXMATCH(LOWER($E62),XLOOKUP(T$1,Metadata!$A$2:$A1000,Metadata!$B$2:$B1000))),T$1,"""")"),"")</f>
        <v/>
      </c>
      <c r="U62" s="33" t="str">
        <f>IFERROR(__xludf.DUMMYFUNCTION("IF(IF(U$1="""","""",REGEXMATCH(LOWER($E62),XLOOKUP(U$1,Metadata!$A$2:$A1000,Metadata!$B$2:$B1000))),U$1,"""")"),"")</f>
        <v/>
      </c>
      <c r="V62" s="33" t="str">
        <f>IFERROR(__xludf.DUMMYFUNCTION("IF(IF(V$1="""","""",REGEXMATCH(LOWER($E62),XLOOKUP(V$1,Metadata!$A$2:$A1000,Metadata!$B$2:$B1000))),V$1,"""")"),"")</f>
        <v/>
      </c>
      <c r="W62" s="33" t="str">
        <f>IFERROR(__xludf.DUMMYFUNCTION("IF(IF(W$1="""","""",REGEXMATCH(LOWER($E62),XLOOKUP(W$1,Metadata!$A$2:$A1000,Metadata!$B$2:$B1000))),W$1,"""")"),"")</f>
        <v/>
      </c>
      <c r="X62" s="33" t="str">
        <f>IFERROR(__xludf.DUMMYFUNCTION("IF(IF(X$1="""","""",REGEXMATCH(LOWER($E62),XLOOKUP(X$1,Metadata!$A$2:$A1000,Metadata!$B$2:$B1000))),X$1,"""")"),"")</f>
        <v/>
      </c>
      <c r="Y62" s="33" t="str">
        <f>IFERROR(__xludf.DUMMYFUNCTION("IF(IF(Y$1="""","""",REGEXMATCH(LOWER($E62),XLOOKUP(Y$1,Metadata!$A$2:$A1000,Metadata!$B$2:$B1000))),Y$1,"""")"),"")</f>
        <v/>
      </c>
      <c r="Z62" s="33" t="str">
        <f>IFERROR(__xludf.DUMMYFUNCTION("IF(IF(Z$1="""","""",REGEXMATCH(LOWER($E62),XLOOKUP(Z$1,Metadata!$A$2:$A1000,Metadata!$B$2:$B1000))),Z$1,"""")"),"")</f>
        <v/>
      </c>
      <c r="AA62" s="33" t="str">
        <f>IFERROR(__xludf.DUMMYFUNCTION("IF(AA$1="""","""",REGEXMATCH(LOWER($E62),XLOOKUP(AA$1,Metadata!$A$2:$A1000,Metadata!$B$2:$B1000)))"),"")</f>
        <v/>
      </c>
    </row>
    <row r="63">
      <c r="A63" s="33" t="str">
        <f>IFERROR(__xludf.DUMMYFUNCTION("""COMPUTED_VALUE"""),"Auric Ant Regent")</f>
        <v>Auric Ant Regent</v>
      </c>
      <c r="B63" s="33" t="str">
        <f t="array" ref="B63:I63">XLOOKUP($A63,Cards!$A$2:$A1000,Cards!$B$2:$I1000,"")</f>
        <v>Divine Nature</v>
      </c>
      <c r="C63" s="33">
        <v>2.0</v>
      </c>
      <c r="D63" s="33" t="s">
        <v>313</v>
      </c>
      <c r="E63" s="33" t="s">
        <v>314</v>
      </c>
      <c r="F63" s="33" t="s">
        <v>315</v>
      </c>
      <c r="G63" s="33">
        <v>6.0</v>
      </c>
      <c r="H63" s="33" t="s">
        <v>316</v>
      </c>
      <c r="I63" s="33" t="s">
        <v>32</v>
      </c>
      <c r="J63" s="33">
        <f>IFERROR(__xludf.DUMMYFUNCTION("LEN(REGEXREPLACE(XLOOKUP($A63,Cards!$A$2:$A1000,Cards!$H$2:$H1000,""""),"",\s"",""""))"),6.0)</f>
        <v>6</v>
      </c>
      <c r="K63" s="33" t="str">
        <f t="shared" si="1"/>
        <v>               </v>
      </c>
      <c r="L63" s="33" t="str">
        <f>IFERROR(__xludf.DUMMYFUNCTION("IF(IF(L$1="""","""",REGEXMATCH(LOWER($E63),XLOOKUP(L$1,Metadata!$A$2:$A1000,Metadata!$B$2:$B1000))),L$1,"""")"),"")</f>
        <v/>
      </c>
      <c r="M63" s="33" t="str">
        <f>IFERROR(__xludf.DUMMYFUNCTION("IF(IF(M$1="""","""",REGEXMATCH(LOWER($E63),XLOOKUP(M$1,Metadata!$A$2:$A1000,Metadata!$B$2:$B1000))),M$1,"""")"),"")</f>
        <v/>
      </c>
      <c r="N63" s="33" t="str">
        <f>IFERROR(__xludf.DUMMYFUNCTION("IF(IF(N$1="""","""",REGEXMATCH(LOWER($E63),XLOOKUP(N$1,Metadata!$A$2:$A1000,Metadata!$B$2:$B1000))),N$1,"""")"),"")</f>
        <v/>
      </c>
      <c r="O63" s="33" t="str">
        <f>IFERROR(__xludf.DUMMYFUNCTION("IF(IF(O$1="""","""",REGEXMATCH(LOWER($E63),XLOOKUP(O$1,Metadata!$A$2:$A1000,Metadata!$B$2:$B1000))),O$1,"""")"),"")</f>
        <v/>
      </c>
      <c r="P63" s="33" t="str">
        <f>IFERROR(__xludf.DUMMYFUNCTION("IF(IF(P$1="""","""",REGEXMATCH(LOWER($E63),XLOOKUP(P$1,Metadata!$A$2:$A1000,Metadata!$B$2:$B1000))),P$1,"""")"),"")</f>
        <v/>
      </c>
      <c r="Q63" s="33" t="str">
        <f>IFERROR(__xludf.DUMMYFUNCTION("IF(IF(Q$1="""","""",REGEXMATCH(LOWER($E63),XLOOKUP(Q$1,Metadata!$A$2:$A1000,Metadata!$B$2:$B1000))),Q$1,"""")"),"")</f>
        <v/>
      </c>
      <c r="R63" s="33" t="str">
        <f>IFERROR(__xludf.DUMMYFUNCTION("IF(IF(R$1="""","""",REGEXMATCH(LOWER($E63),XLOOKUP(R$1,Metadata!$A$2:$A1000,Metadata!$B$2:$B1000))),R$1,"""")"),"")</f>
        <v/>
      </c>
      <c r="S63" s="33" t="str">
        <f>IFERROR(__xludf.DUMMYFUNCTION("IF(IF(S$1="""","""",REGEXMATCH(LOWER($E63),XLOOKUP(S$1,Metadata!$A$2:$A1000,Metadata!$B$2:$B1000))),S$1,"""")"),"")</f>
        <v/>
      </c>
      <c r="T63" s="33" t="str">
        <f>IFERROR(__xludf.DUMMYFUNCTION("IF(IF(T$1="""","""",REGEXMATCH(LOWER($E63),XLOOKUP(T$1,Metadata!$A$2:$A1000,Metadata!$B$2:$B1000))),T$1,"""")"),"")</f>
        <v/>
      </c>
      <c r="U63" s="33" t="str">
        <f>IFERROR(__xludf.DUMMYFUNCTION("IF(IF(U$1="""","""",REGEXMATCH(LOWER($E63),XLOOKUP(U$1,Metadata!$A$2:$A1000,Metadata!$B$2:$B1000))),U$1,"""")"),"")</f>
        <v/>
      </c>
      <c r="V63" s="33" t="str">
        <f>IFERROR(__xludf.DUMMYFUNCTION("IF(IF(V$1="""","""",REGEXMATCH(LOWER($E63),XLOOKUP(V$1,Metadata!$A$2:$A1000,Metadata!$B$2:$B1000))),V$1,"""")"),"")</f>
        <v/>
      </c>
      <c r="W63" s="33" t="str">
        <f>IFERROR(__xludf.DUMMYFUNCTION("IF(IF(W$1="""","""",REGEXMATCH(LOWER($E63),XLOOKUP(W$1,Metadata!$A$2:$A1000,Metadata!$B$2:$B1000))),W$1,"""")"),"")</f>
        <v/>
      </c>
      <c r="X63" s="33" t="str">
        <f>IFERROR(__xludf.DUMMYFUNCTION("IF(IF(X$1="""","""",REGEXMATCH(LOWER($E63),XLOOKUP(X$1,Metadata!$A$2:$A1000,Metadata!$B$2:$B1000))),X$1,"""")"),"")</f>
        <v/>
      </c>
      <c r="Y63" s="33" t="str">
        <f>IFERROR(__xludf.DUMMYFUNCTION("IF(IF(Y$1="""","""",REGEXMATCH(LOWER($E63),XLOOKUP(Y$1,Metadata!$A$2:$A1000,Metadata!$B$2:$B1000))),Y$1,"""")"),"")</f>
        <v/>
      </c>
      <c r="Z63" s="33" t="str">
        <f>IFERROR(__xludf.DUMMYFUNCTION("IF(IF(Z$1="""","""",REGEXMATCH(LOWER($E63),XLOOKUP(Z$1,Metadata!$A$2:$A1000,Metadata!$B$2:$B1000))),Z$1,"""")"),"")</f>
        <v/>
      </c>
      <c r="AA63" s="33" t="str">
        <f>IFERROR(__xludf.DUMMYFUNCTION("IF(AA$1="""","""",REGEXMATCH(LOWER($E63),XLOOKUP(AA$1,Metadata!$A$2:$A1000,Metadata!$B$2:$B1000)))"),"")</f>
        <v/>
      </c>
    </row>
    <row r="64">
      <c r="A64" s="33" t="str">
        <f>IFERROR(__xludf.DUMMYFUNCTION("""COMPUTED_VALUE"""),"Blessing Bestower")</f>
        <v>Blessing Bestower</v>
      </c>
      <c r="B64" s="33" t="str">
        <f t="array" ref="B64:I64">XLOOKUP($A64,Cards!$A$2:$A1000,Cards!$B$2:$I1000,"")</f>
        <v>Divine</v>
      </c>
      <c r="C64" s="33">
        <v>1.0</v>
      </c>
      <c r="D64" s="33" t="s">
        <v>82</v>
      </c>
      <c r="E64" s="33"/>
      <c r="F64" s="33"/>
      <c r="G64" s="33">
        <v>2.0</v>
      </c>
      <c r="H64" s="33" t="s">
        <v>25</v>
      </c>
      <c r="I64" s="33" t="s">
        <v>26</v>
      </c>
      <c r="J64" s="33">
        <f>IFERROR(__xludf.DUMMYFUNCTION("LEN(REGEXREPLACE(XLOOKUP($A64,Cards!$A$2:$A1000,Cards!$H$2:$H1000,""""),"",\s"",""""))"),1.0)</f>
        <v>1</v>
      </c>
      <c r="K64" s="33" t="str">
        <f t="shared" si="1"/>
        <v>               </v>
      </c>
      <c r="L64" s="33" t="str">
        <f>IFERROR(__xludf.DUMMYFUNCTION("IF(IF(L$1="""","""",REGEXMATCH(LOWER($E64),XLOOKUP(L$1,Metadata!$A$2:$A1000,Metadata!$B$2:$B1000))),L$1,"""")"),"")</f>
        <v/>
      </c>
      <c r="M64" s="33" t="str">
        <f>IFERROR(__xludf.DUMMYFUNCTION("IF(IF(M$1="""","""",REGEXMATCH(LOWER($E64),XLOOKUP(M$1,Metadata!$A$2:$A1000,Metadata!$B$2:$B1000))),M$1,"""")"),"")</f>
        <v/>
      </c>
      <c r="N64" s="33" t="str">
        <f>IFERROR(__xludf.DUMMYFUNCTION("IF(IF(N$1="""","""",REGEXMATCH(LOWER($E64),XLOOKUP(N$1,Metadata!$A$2:$A1000,Metadata!$B$2:$B1000))),N$1,"""")"),"")</f>
        <v/>
      </c>
      <c r="O64" s="33" t="str">
        <f>IFERROR(__xludf.DUMMYFUNCTION("IF(IF(O$1="""","""",REGEXMATCH(LOWER($E64),XLOOKUP(O$1,Metadata!$A$2:$A1000,Metadata!$B$2:$B1000))),O$1,"""")"),"")</f>
        <v/>
      </c>
      <c r="P64" s="33" t="str">
        <f>IFERROR(__xludf.DUMMYFUNCTION("IF(IF(P$1="""","""",REGEXMATCH(LOWER($E64),XLOOKUP(P$1,Metadata!$A$2:$A1000,Metadata!$B$2:$B1000))),P$1,"""")"),"")</f>
        <v/>
      </c>
      <c r="Q64" s="33" t="str">
        <f>IFERROR(__xludf.DUMMYFUNCTION("IF(IF(Q$1="""","""",REGEXMATCH(LOWER($E64),XLOOKUP(Q$1,Metadata!$A$2:$A1000,Metadata!$B$2:$B1000))),Q$1,"""")"),"")</f>
        <v/>
      </c>
      <c r="R64" s="33" t="str">
        <f>IFERROR(__xludf.DUMMYFUNCTION("IF(IF(R$1="""","""",REGEXMATCH(LOWER($E64),XLOOKUP(R$1,Metadata!$A$2:$A1000,Metadata!$B$2:$B1000))),R$1,"""")"),"")</f>
        <v/>
      </c>
      <c r="S64" s="33" t="str">
        <f>IFERROR(__xludf.DUMMYFUNCTION("IF(IF(S$1="""","""",REGEXMATCH(LOWER($E64),XLOOKUP(S$1,Metadata!$A$2:$A1000,Metadata!$B$2:$B1000))),S$1,"""")"),"")</f>
        <v/>
      </c>
      <c r="T64" s="33" t="str">
        <f>IFERROR(__xludf.DUMMYFUNCTION("IF(IF(T$1="""","""",REGEXMATCH(LOWER($E64),XLOOKUP(T$1,Metadata!$A$2:$A1000,Metadata!$B$2:$B1000))),T$1,"""")"),"")</f>
        <v/>
      </c>
      <c r="U64" s="33" t="str">
        <f>IFERROR(__xludf.DUMMYFUNCTION("IF(IF(U$1="""","""",REGEXMATCH(LOWER($E64),XLOOKUP(U$1,Metadata!$A$2:$A1000,Metadata!$B$2:$B1000))),U$1,"""")"),"")</f>
        <v/>
      </c>
      <c r="V64" s="33" t="str">
        <f>IFERROR(__xludf.DUMMYFUNCTION("IF(IF(V$1="""","""",REGEXMATCH(LOWER($E64),XLOOKUP(V$1,Metadata!$A$2:$A1000,Metadata!$B$2:$B1000))),V$1,"""")"),"")</f>
        <v/>
      </c>
      <c r="W64" s="33" t="str">
        <f>IFERROR(__xludf.DUMMYFUNCTION("IF(IF(W$1="""","""",REGEXMATCH(LOWER($E64),XLOOKUP(W$1,Metadata!$A$2:$A1000,Metadata!$B$2:$B1000))),W$1,"""")"),"")</f>
        <v/>
      </c>
      <c r="X64" s="33" t="str">
        <f>IFERROR(__xludf.DUMMYFUNCTION("IF(IF(X$1="""","""",REGEXMATCH(LOWER($E64),XLOOKUP(X$1,Metadata!$A$2:$A1000,Metadata!$B$2:$B1000))),X$1,"""")"),"")</f>
        <v/>
      </c>
      <c r="Y64" s="33" t="str">
        <f>IFERROR(__xludf.DUMMYFUNCTION("IF(IF(Y$1="""","""",REGEXMATCH(LOWER($E64),XLOOKUP(Y$1,Metadata!$A$2:$A1000,Metadata!$B$2:$B1000))),Y$1,"""")"),"")</f>
        <v/>
      </c>
      <c r="Z64" s="33" t="str">
        <f>IFERROR(__xludf.DUMMYFUNCTION("IF(IF(Z$1="""","""",REGEXMATCH(LOWER($E64),XLOOKUP(Z$1,Metadata!$A$2:$A1000,Metadata!$B$2:$B1000))),Z$1,"""")"),"")</f>
        <v/>
      </c>
      <c r="AA64" s="33" t="str">
        <f>IFERROR(__xludf.DUMMYFUNCTION("IF(AA$1="""","""",REGEXMATCH(LOWER($E64),XLOOKUP(AA$1,Metadata!$A$2:$A1000,Metadata!$B$2:$B1000)))"),"")</f>
        <v/>
      </c>
    </row>
    <row r="65">
      <c r="A65" s="33" t="str">
        <f>IFERROR(__xludf.DUMMYFUNCTION("""COMPUTED_VALUE"""),"Obelisk Waypost")</f>
        <v>Obelisk Waypost</v>
      </c>
      <c r="B65" s="33" t="str">
        <f t="array" ref="B65:I65">XLOOKUP($A65,Cards!$A$2:$A1000,Cards!$B$2:$I1000,"")</f>
        <v>Divine Nature</v>
      </c>
      <c r="C65" s="33">
        <v>2.0</v>
      </c>
      <c r="D65" s="33" t="s">
        <v>319</v>
      </c>
      <c r="E65" s="33" t="s">
        <v>320</v>
      </c>
      <c r="F65" s="33" t="s">
        <v>321</v>
      </c>
      <c r="G65" s="33">
        <v>4.0</v>
      </c>
      <c r="H65" s="33" t="s">
        <v>322</v>
      </c>
      <c r="I65" s="33" t="s">
        <v>62</v>
      </c>
      <c r="J65" s="33">
        <f>IFERROR(__xludf.DUMMYFUNCTION("LEN(REGEXREPLACE(XLOOKUP($A65,Cards!$A$2:$A1000,Cards!$H$2:$H1000,""""),"",\s"",""""))"),5.0)</f>
        <v>5</v>
      </c>
      <c r="K65" s="33" t="str">
        <f t="shared" si="1"/>
        <v>      Ramp Control   Empty-Crystal  Ambush   </v>
      </c>
      <c r="L65" s="33" t="str">
        <f>IFERROR(__xludf.DUMMYFUNCTION("IF(IF(L$1="""","""",REGEXMATCH(LOWER($E65),XLOOKUP(L$1,Metadata!$A$2:$A1000,Metadata!$B$2:$B1000))),L$1,"""")"),"")</f>
        <v/>
      </c>
      <c r="M65" s="33" t="str">
        <f>IFERROR(__xludf.DUMMYFUNCTION("IF(IF(M$1="""","""",REGEXMATCH(LOWER($E65),XLOOKUP(M$1,Metadata!$A$2:$A1000,Metadata!$B$2:$B1000))),M$1,"""")"),"")</f>
        <v/>
      </c>
      <c r="N65" s="33" t="str">
        <f>IFERROR(__xludf.DUMMYFUNCTION("IF(IF(N$1="""","""",REGEXMATCH(LOWER($E65),XLOOKUP(N$1,Metadata!$A$2:$A1000,Metadata!$B$2:$B1000))),N$1,"""")"),"")</f>
        <v/>
      </c>
      <c r="O65" s="33" t="str">
        <f>IFERROR(__xludf.DUMMYFUNCTION("IF(IF(O$1="""","""",REGEXMATCH(LOWER($E65),XLOOKUP(O$1,Metadata!$A$2:$A1000,Metadata!$B$2:$B1000))),O$1,"""")"),"")</f>
        <v/>
      </c>
      <c r="P65" s="33" t="str">
        <f>IFERROR(__xludf.DUMMYFUNCTION("IF(IF(P$1="""","""",REGEXMATCH(LOWER($E65),XLOOKUP(P$1,Metadata!$A$2:$A1000,Metadata!$B$2:$B1000))),P$1,"""")"),"")</f>
        <v/>
      </c>
      <c r="Q65" s="33" t="str">
        <f>IFERROR(__xludf.DUMMYFUNCTION("IF(IF(Q$1="""","""",REGEXMATCH(LOWER($E65),XLOOKUP(Q$1,Metadata!$A$2:$A1000,Metadata!$B$2:$B1000))),Q$1,"""")"),"")</f>
        <v/>
      </c>
      <c r="R65" s="33" t="str">
        <f>IFERROR(__xludf.DUMMYFUNCTION("IF(IF(R$1="""","""",REGEXMATCH(LOWER($E65),XLOOKUP(R$1,Metadata!$A$2:$A1000,Metadata!$B$2:$B1000))),R$1,"""")"),"Ramp")</f>
        <v>Ramp</v>
      </c>
      <c r="S65" s="33" t="str">
        <f>IFERROR(__xludf.DUMMYFUNCTION("IF(IF(S$1="""","""",REGEXMATCH(LOWER($E65),XLOOKUP(S$1,Metadata!$A$2:$A1000,Metadata!$B$2:$B1000))),S$1,"""")"),"Control")</f>
        <v>Control</v>
      </c>
      <c r="T65" s="33" t="str">
        <f>IFERROR(__xludf.DUMMYFUNCTION("IF(IF(T$1="""","""",REGEXMATCH(LOWER($E65),XLOOKUP(T$1,Metadata!$A$2:$A1000,Metadata!$B$2:$B1000))),T$1,"""")"),"")</f>
        <v/>
      </c>
      <c r="U65" s="33" t="str">
        <f>IFERROR(__xludf.DUMMYFUNCTION("IF(IF(U$1="""","""",REGEXMATCH(LOWER($E65),XLOOKUP(U$1,Metadata!$A$2:$A1000,Metadata!$B$2:$B1000))),U$1,"""")"),"")</f>
        <v/>
      </c>
      <c r="V65" s="33" t="str">
        <f>IFERROR(__xludf.DUMMYFUNCTION("IF(IF(V$1="""","""",REGEXMATCH(LOWER($E65),XLOOKUP(V$1,Metadata!$A$2:$A1000,Metadata!$B$2:$B1000))),V$1,"""")"),"Empty-Crystal")</f>
        <v>Empty-Crystal</v>
      </c>
      <c r="W65" s="33" t="str">
        <f>IFERROR(__xludf.DUMMYFUNCTION("IF(IF(W$1="""","""",REGEXMATCH(LOWER($E65),XLOOKUP(W$1,Metadata!$A$2:$A1000,Metadata!$B$2:$B1000))),W$1,"""")"),"")</f>
        <v/>
      </c>
      <c r="X65" s="33" t="str">
        <f>IFERROR(__xludf.DUMMYFUNCTION("IF(IF(X$1="""","""",REGEXMATCH(LOWER($E65),XLOOKUP(X$1,Metadata!$A$2:$A1000,Metadata!$B$2:$B1000))),X$1,"""")"),"Ambush")</f>
        <v>Ambush</v>
      </c>
      <c r="Y65" s="33" t="str">
        <f>IFERROR(__xludf.DUMMYFUNCTION("IF(IF(Y$1="""","""",REGEXMATCH(LOWER($E65),XLOOKUP(Y$1,Metadata!$A$2:$A1000,Metadata!$B$2:$B1000))),Y$1,"""")"),"")</f>
        <v/>
      </c>
      <c r="Z65" s="33" t="str">
        <f>IFERROR(__xludf.DUMMYFUNCTION("IF(IF(Z$1="""","""",REGEXMATCH(LOWER($E65),XLOOKUP(Z$1,Metadata!$A$2:$A1000,Metadata!$B$2:$B1000))),Z$1,"""")"),"")</f>
        <v/>
      </c>
      <c r="AA65" s="33" t="str">
        <f>IFERROR(__xludf.DUMMYFUNCTION("IF(AA$1="""","""",REGEXMATCH(LOWER($E65),XLOOKUP(AA$1,Metadata!$A$2:$A1000,Metadata!$B$2:$B1000)))"),"")</f>
        <v/>
      </c>
    </row>
    <row r="66">
      <c r="A66" s="33" t="str">
        <f>IFERROR(__xludf.DUMMYFUNCTION("""COMPUTED_VALUE"""),"Crimson Flamechick")</f>
        <v>Crimson Flamechick</v>
      </c>
      <c r="B66" s="33" t="str">
        <f t="array" ref="B66:I66">XLOOKUP($A66,Cards!$A$2:$A1000,Cards!$B$2:$I1000,"")</f>
        <v>Divine Elemental</v>
      </c>
      <c r="C66" s="33">
        <v>1.0</v>
      </c>
      <c r="D66" s="33" t="s">
        <v>217</v>
      </c>
      <c r="E66" s="33" t="s">
        <v>324</v>
      </c>
      <c r="F66" s="33" t="s">
        <v>325</v>
      </c>
      <c r="G66" s="33">
        <v>2.0</v>
      </c>
      <c r="H66" s="33" t="s">
        <v>326</v>
      </c>
      <c r="I66" s="33" t="s">
        <v>62</v>
      </c>
      <c r="J66" s="33">
        <f>IFERROR(__xludf.DUMMYFUNCTION("LEN(REGEXREPLACE(XLOOKUP($A66,Cards!$A$2:$A1000,Cards!$H$2:$H1000,""""),"",\s"",""""))"),2.0)</f>
        <v>2</v>
      </c>
      <c r="K66" s="33" t="str">
        <f t="shared" si="1"/>
        <v>       Control     Ambush   </v>
      </c>
      <c r="L66" s="33" t="str">
        <f>IFERROR(__xludf.DUMMYFUNCTION("IF(IF(L$1="""","""",REGEXMATCH(LOWER($E66),XLOOKUP(L$1,Metadata!$A$2:$A1000,Metadata!$B$2:$B1000))),L$1,"""")"),"")</f>
        <v/>
      </c>
      <c r="M66" s="33" t="str">
        <f>IFERROR(__xludf.DUMMYFUNCTION("IF(IF(M$1="""","""",REGEXMATCH(LOWER($E66),XLOOKUP(M$1,Metadata!$A$2:$A1000,Metadata!$B$2:$B1000))),M$1,"""")"),"")</f>
        <v/>
      </c>
      <c r="N66" s="33" t="str">
        <f>IFERROR(__xludf.DUMMYFUNCTION("IF(IF(N$1="""","""",REGEXMATCH(LOWER($E66),XLOOKUP(N$1,Metadata!$A$2:$A1000,Metadata!$B$2:$B1000))),N$1,"""")"),"")</f>
        <v/>
      </c>
      <c r="O66" s="33" t="str">
        <f>IFERROR(__xludf.DUMMYFUNCTION("IF(IF(O$1="""","""",REGEXMATCH(LOWER($E66),XLOOKUP(O$1,Metadata!$A$2:$A1000,Metadata!$B$2:$B1000))),O$1,"""")"),"")</f>
        <v/>
      </c>
      <c r="P66" s="33" t="str">
        <f>IFERROR(__xludf.DUMMYFUNCTION("IF(IF(P$1="""","""",REGEXMATCH(LOWER($E66),XLOOKUP(P$1,Metadata!$A$2:$A1000,Metadata!$B$2:$B1000))),P$1,"""")"),"")</f>
        <v/>
      </c>
      <c r="Q66" s="33" t="str">
        <f>IFERROR(__xludf.DUMMYFUNCTION("IF(IF(Q$1="""","""",REGEXMATCH(LOWER($E66),XLOOKUP(Q$1,Metadata!$A$2:$A1000,Metadata!$B$2:$B1000))),Q$1,"""")"),"")</f>
        <v/>
      </c>
      <c r="R66" s="33" t="str">
        <f>IFERROR(__xludf.DUMMYFUNCTION("IF(IF(R$1="""","""",REGEXMATCH(LOWER($E66),XLOOKUP(R$1,Metadata!$A$2:$A1000,Metadata!$B$2:$B1000))),R$1,"""")"),"")</f>
        <v/>
      </c>
      <c r="S66" s="33" t="str">
        <f>IFERROR(__xludf.DUMMYFUNCTION("IF(IF(S$1="""","""",REGEXMATCH(LOWER($E66),XLOOKUP(S$1,Metadata!$A$2:$A1000,Metadata!$B$2:$B1000))),S$1,"""")"),"Control")</f>
        <v>Control</v>
      </c>
      <c r="T66" s="33" t="str">
        <f>IFERROR(__xludf.DUMMYFUNCTION("IF(IF(T$1="""","""",REGEXMATCH(LOWER($E66),XLOOKUP(T$1,Metadata!$A$2:$A1000,Metadata!$B$2:$B1000))),T$1,"""")"),"")</f>
        <v/>
      </c>
      <c r="U66" s="33" t="str">
        <f>IFERROR(__xludf.DUMMYFUNCTION("IF(IF(U$1="""","""",REGEXMATCH(LOWER($E66),XLOOKUP(U$1,Metadata!$A$2:$A1000,Metadata!$B$2:$B1000))),U$1,"""")"),"")</f>
        <v/>
      </c>
      <c r="V66" s="33" t="str">
        <f>IFERROR(__xludf.DUMMYFUNCTION("IF(IF(V$1="""","""",REGEXMATCH(LOWER($E66),XLOOKUP(V$1,Metadata!$A$2:$A1000,Metadata!$B$2:$B1000))),V$1,"""")"),"")</f>
        <v/>
      </c>
      <c r="W66" s="33" t="str">
        <f>IFERROR(__xludf.DUMMYFUNCTION("IF(IF(W$1="""","""",REGEXMATCH(LOWER($E66),XLOOKUP(W$1,Metadata!$A$2:$A1000,Metadata!$B$2:$B1000))),W$1,"""")"),"")</f>
        <v/>
      </c>
      <c r="X66" s="33" t="str">
        <f>IFERROR(__xludf.DUMMYFUNCTION("IF(IF(X$1="""","""",REGEXMATCH(LOWER($E66),XLOOKUP(X$1,Metadata!$A$2:$A1000,Metadata!$B$2:$B1000))),X$1,"""")"),"Ambush")</f>
        <v>Ambush</v>
      </c>
      <c r="Y66" s="33" t="str">
        <f>IFERROR(__xludf.DUMMYFUNCTION("IF(IF(Y$1="""","""",REGEXMATCH(LOWER($E66),XLOOKUP(Y$1,Metadata!$A$2:$A1000,Metadata!$B$2:$B1000))),Y$1,"""")"),"")</f>
        <v/>
      </c>
      <c r="Z66" s="33" t="str">
        <f>IFERROR(__xludf.DUMMYFUNCTION("IF(IF(Z$1="""","""",REGEXMATCH(LOWER($E66),XLOOKUP(Z$1,Metadata!$A$2:$A1000,Metadata!$B$2:$B1000))),Z$1,"""")"),"")</f>
        <v/>
      </c>
      <c r="AA66" s="33" t="str">
        <f>IFERROR(__xludf.DUMMYFUNCTION("IF(AA$1="""","""",REGEXMATCH(LOWER($E66),XLOOKUP(AA$1,Metadata!$A$2:$A1000,Metadata!$B$2:$B1000)))"),"")</f>
        <v/>
      </c>
    </row>
    <row r="67">
      <c r="A67" s="33" t="str">
        <f>IFERROR(__xludf.DUMMYFUNCTION("""COMPUTED_VALUE"""),"The Ascended One")</f>
        <v>The Ascended One</v>
      </c>
      <c r="B67" s="33" t="str">
        <f t="array" ref="B67:I67">XLOOKUP($A67,Cards!$A$2:$A1000,Cards!$B$2:$I1000,"")</f>
        <v>Divine Nature</v>
      </c>
      <c r="C67" s="33">
        <v>2.0</v>
      </c>
      <c r="D67" s="33" t="s">
        <v>330</v>
      </c>
      <c r="E67" s="33" t="s">
        <v>331</v>
      </c>
      <c r="F67" s="33" t="s">
        <v>24</v>
      </c>
      <c r="G67" s="33">
        <v>5.0</v>
      </c>
      <c r="H67" s="33" t="s">
        <v>332</v>
      </c>
      <c r="I67" s="33" t="s">
        <v>32</v>
      </c>
      <c r="J67" s="33">
        <f>IFERROR(__xludf.DUMMYFUNCTION("LEN(REGEXREPLACE(XLOOKUP($A67,Cards!$A$2:$A1000,Cards!$H$2:$H1000,""""),"",\s"",""""))"),6.0)</f>
        <v>6</v>
      </c>
      <c r="K67" s="33" t="str">
        <f t="shared" si="1"/>
        <v>      Ramp         </v>
      </c>
      <c r="L67" s="33" t="str">
        <f>IFERROR(__xludf.DUMMYFUNCTION("IF(IF(L$1="""","""",REGEXMATCH(LOWER($E67),XLOOKUP(L$1,Metadata!$A$2:$A1000,Metadata!$B$2:$B1000))),L$1,"""")"),"")</f>
        <v/>
      </c>
      <c r="M67" s="33" t="str">
        <f>IFERROR(__xludf.DUMMYFUNCTION("IF(IF(M$1="""","""",REGEXMATCH(LOWER($E67),XLOOKUP(M$1,Metadata!$A$2:$A1000,Metadata!$B$2:$B1000))),M$1,"""")"),"")</f>
        <v/>
      </c>
      <c r="N67" s="33" t="str">
        <f>IFERROR(__xludf.DUMMYFUNCTION("IF(IF(N$1="""","""",REGEXMATCH(LOWER($E67),XLOOKUP(N$1,Metadata!$A$2:$A1000,Metadata!$B$2:$B1000))),N$1,"""")"),"")</f>
        <v/>
      </c>
      <c r="O67" s="33" t="str">
        <f>IFERROR(__xludf.DUMMYFUNCTION("IF(IF(O$1="""","""",REGEXMATCH(LOWER($E67),XLOOKUP(O$1,Metadata!$A$2:$A1000,Metadata!$B$2:$B1000))),O$1,"""")"),"")</f>
        <v/>
      </c>
      <c r="P67" s="33" t="str">
        <f>IFERROR(__xludf.DUMMYFUNCTION("IF(IF(P$1="""","""",REGEXMATCH(LOWER($E67),XLOOKUP(P$1,Metadata!$A$2:$A1000,Metadata!$B$2:$B1000))),P$1,"""")"),"")</f>
        <v/>
      </c>
      <c r="Q67" s="33" t="str">
        <f>IFERROR(__xludf.DUMMYFUNCTION("IF(IF(Q$1="""","""",REGEXMATCH(LOWER($E67),XLOOKUP(Q$1,Metadata!$A$2:$A1000,Metadata!$B$2:$B1000))),Q$1,"""")"),"")</f>
        <v/>
      </c>
      <c r="R67" s="33" t="str">
        <f>IFERROR(__xludf.DUMMYFUNCTION("IF(IF(R$1="""","""",REGEXMATCH(LOWER($E67),XLOOKUP(R$1,Metadata!$A$2:$A1000,Metadata!$B$2:$B1000))),R$1,"""")"),"Ramp")</f>
        <v>Ramp</v>
      </c>
      <c r="S67" s="33" t="str">
        <f>IFERROR(__xludf.DUMMYFUNCTION("IF(IF(S$1="""","""",REGEXMATCH(LOWER($E67),XLOOKUP(S$1,Metadata!$A$2:$A1000,Metadata!$B$2:$B1000))),S$1,"""")"),"")</f>
        <v/>
      </c>
      <c r="T67" s="33" t="str">
        <f>IFERROR(__xludf.DUMMYFUNCTION("IF(IF(T$1="""","""",REGEXMATCH(LOWER($E67),XLOOKUP(T$1,Metadata!$A$2:$A1000,Metadata!$B$2:$B1000))),T$1,"""")"),"")</f>
        <v/>
      </c>
      <c r="U67" s="33" t="str">
        <f>IFERROR(__xludf.DUMMYFUNCTION("IF(IF(U$1="""","""",REGEXMATCH(LOWER($E67),XLOOKUP(U$1,Metadata!$A$2:$A1000,Metadata!$B$2:$B1000))),U$1,"""")"),"")</f>
        <v/>
      </c>
      <c r="V67" s="33" t="str">
        <f>IFERROR(__xludf.DUMMYFUNCTION("IF(IF(V$1="""","""",REGEXMATCH(LOWER($E67),XLOOKUP(V$1,Metadata!$A$2:$A1000,Metadata!$B$2:$B1000))),V$1,"""")"),"")</f>
        <v/>
      </c>
      <c r="W67" s="33" t="str">
        <f>IFERROR(__xludf.DUMMYFUNCTION("IF(IF(W$1="""","""",REGEXMATCH(LOWER($E67),XLOOKUP(W$1,Metadata!$A$2:$A1000,Metadata!$B$2:$B1000))),W$1,"""")"),"")</f>
        <v/>
      </c>
      <c r="X67" s="33" t="str">
        <f>IFERROR(__xludf.DUMMYFUNCTION("IF(IF(X$1="""","""",REGEXMATCH(LOWER($E67),XLOOKUP(X$1,Metadata!$A$2:$A1000,Metadata!$B$2:$B1000))),X$1,"""")"),"")</f>
        <v/>
      </c>
      <c r="Y67" s="33" t="str">
        <f>IFERROR(__xludf.DUMMYFUNCTION("IF(IF(Y$1="""","""",REGEXMATCH(LOWER($E67),XLOOKUP(Y$1,Metadata!$A$2:$A1000,Metadata!$B$2:$B1000))),Y$1,"""")"),"")</f>
        <v/>
      </c>
      <c r="Z67" s="33" t="str">
        <f>IFERROR(__xludf.DUMMYFUNCTION("IF(IF(Z$1="""","""",REGEXMATCH(LOWER($E67),XLOOKUP(Z$1,Metadata!$A$2:$A1000,Metadata!$B$2:$B1000))),Z$1,"""")"),"")</f>
        <v/>
      </c>
      <c r="AA67" s="33" t="str">
        <f>IFERROR(__xludf.DUMMYFUNCTION("IF(AA$1="""","""",REGEXMATCH(LOWER($E67),XLOOKUP(AA$1,Metadata!$A$2:$A1000,Metadata!$B$2:$B1000)))"),"")</f>
        <v/>
      </c>
    </row>
    <row r="68">
      <c r="A68" s="33" t="str">
        <f>IFERROR(__xludf.DUMMYFUNCTION("""COMPUTED_VALUE"""),"Tranquil Herd Rubyskull")</f>
        <v>Tranquil Herd Rubyskull</v>
      </c>
      <c r="B68" s="33" t="str">
        <f t="array" ref="B68:I68">XLOOKUP($A68,Cards!$A$2:$A1000,Cards!$B$2:$I1000,"")</f>
        <v>Divine Nature</v>
      </c>
      <c r="C68" s="33">
        <v>2.0</v>
      </c>
      <c r="D68" s="33" t="s">
        <v>334</v>
      </c>
      <c r="E68" s="33" t="s">
        <v>335</v>
      </c>
      <c r="F68" s="33" t="s">
        <v>336</v>
      </c>
      <c r="G68" s="33">
        <v>3.0</v>
      </c>
      <c r="H68" s="33" t="s">
        <v>311</v>
      </c>
      <c r="I68" s="33" t="s">
        <v>62</v>
      </c>
      <c r="J68" s="33">
        <f>IFERROR(__xludf.DUMMYFUNCTION("LEN(REGEXREPLACE(XLOOKUP($A68,Cards!$A$2:$A1000,Cards!$H$2:$H1000,""""),"",\s"",""""))"),3.0)</f>
        <v>3</v>
      </c>
      <c r="K68" s="33" t="str">
        <f t="shared" si="1"/>
        <v>      Ramp         </v>
      </c>
      <c r="L68" s="33" t="str">
        <f>IFERROR(__xludf.DUMMYFUNCTION("IF(IF(L$1="""","""",REGEXMATCH(LOWER($E68),XLOOKUP(L$1,Metadata!$A$2:$A1000,Metadata!$B$2:$B1000))),L$1,"""")"),"")</f>
        <v/>
      </c>
      <c r="M68" s="33" t="str">
        <f>IFERROR(__xludf.DUMMYFUNCTION("IF(IF(M$1="""","""",REGEXMATCH(LOWER($E68),XLOOKUP(M$1,Metadata!$A$2:$A1000,Metadata!$B$2:$B1000))),M$1,"""")"),"")</f>
        <v/>
      </c>
      <c r="N68" s="33" t="str">
        <f>IFERROR(__xludf.DUMMYFUNCTION("IF(IF(N$1="""","""",REGEXMATCH(LOWER($E68),XLOOKUP(N$1,Metadata!$A$2:$A1000,Metadata!$B$2:$B1000))),N$1,"""")"),"")</f>
        <v/>
      </c>
      <c r="O68" s="33" t="str">
        <f>IFERROR(__xludf.DUMMYFUNCTION("IF(IF(O$1="""","""",REGEXMATCH(LOWER($E68),XLOOKUP(O$1,Metadata!$A$2:$A1000,Metadata!$B$2:$B1000))),O$1,"""")"),"")</f>
        <v/>
      </c>
      <c r="P68" s="33" t="str">
        <f>IFERROR(__xludf.DUMMYFUNCTION("IF(IF(P$1="""","""",REGEXMATCH(LOWER($E68),XLOOKUP(P$1,Metadata!$A$2:$A1000,Metadata!$B$2:$B1000))),P$1,"""")"),"")</f>
        <v/>
      </c>
      <c r="Q68" s="33" t="str">
        <f>IFERROR(__xludf.DUMMYFUNCTION("IF(IF(Q$1="""","""",REGEXMATCH(LOWER($E68),XLOOKUP(Q$1,Metadata!$A$2:$A1000,Metadata!$B$2:$B1000))),Q$1,"""")"),"")</f>
        <v/>
      </c>
      <c r="R68" s="33" t="str">
        <f>IFERROR(__xludf.DUMMYFUNCTION("IF(IF(R$1="""","""",REGEXMATCH(LOWER($E68),XLOOKUP(R$1,Metadata!$A$2:$A1000,Metadata!$B$2:$B1000))),R$1,"""")"),"Ramp")</f>
        <v>Ramp</v>
      </c>
      <c r="S68" s="33" t="str">
        <f>IFERROR(__xludf.DUMMYFUNCTION("IF(IF(S$1="""","""",REGEXMATCH(LOWER($E68),XLOOKUP(S$1,Metadata!$A$2:$A1000,Metadata!$B$2:$B1000))),S$1,"""")"),"")</f>
        <v/>
      </c>
      <c r="T68" s="33" t="str">
        <f>IFERROR(__xludf.DUMMYFUNCTION("IF(IF(T$1="""","""",REGEXMATCH(LOWER($E68),XLOOKUP(T$1,Metadata!$A$2:$A1000,Metadata!$B$2:$B1000))),T$1,"""")"),"")</f>
        <v/>
      </c>
      <c r="U68" s="33" t="str">
        <f>IFERROR(__xludf.DUMMYFUNCTION("IF(IF(U$1="""","""",REGEXMATCH(LOWER($E68),XLOOKUP(U$1,Metadata!$A$2:$A1000,Metadata!$B$2:$B1000))),U$1,"""")"),"")</f>
        <v/>
      </c>
      <c r="V68" s="33" t="str">
        <f>IFERROR(__xludf.DUMMYFUNCTION("IF(IF(V$1="""","""",REGEXMATCH(LOWER($E68),XLOOKUP(V$1,Metadata!$A$2:$A1000,Metadata!$B$2:$B1000))),V$1,"""")"),"")</f>
        <v/>
      </c>
      <c r="W68" s="33" t="str">
        <f>IFERROR(__xludf.DUMMYFUNCTION("IF(IF(W$1="""","""",REGEXMATCH(LOWER($E68),XLOOKUP(W$1,Metadata!$A$2:$A1000,Metadata!$B$2:$B1000))),W$1,"""")"),"")</f>
        <v/>
      </c>
      <c r="X68" s="33" t="str">
        <f>IFERROR(__xludf.DUMMYFUNCTION("IF(IF(X$1="""","""",REGEXMATCH(LOWER($E68),XLOOKUP(X$1,Metadata!$A$2:$A1000,Metadata!$B$2:$B1000))),X$1,"""")"),"")</f>
        <v/>
      </c>
      <c r="Y68" s="33" t="str">
        <f>IFERROR(__xludf.DUMMYFUNCTION("IF(IF(Y$1="""","""",REGEXMATCH(LOWER($E68),XLOOKUP(Y$1,Metadata!$A$2:$A1000,Metadata!$B$2:$B1000))),Y$1,"""")"),"")</f>
        <v/>
      </c>
      <c r="Z68" s="33" t="str">
        <f>IFERROR(__xludf.DUMMYFUNCTION("IF(IF(Z$1="""","""",REGEXMATCH(LOWER($E68),XLOOKUP(Z$1,Metadata!$A$2:$A1000,Metadata!$B$2:$B1000))),Z$1,"""")"),"")</f>
        <v/>
      </c>
      <c r="AA68" s="33" t="str">
        <f>IFERROR(__xludf.DUMMYFUNCTION("IF(AA$1="""","""",REGEXMATCH(LOWER($E68),XLOOKUP(AA$1,Metadata!$A$2:$A1000,Metadata!$B$2:$B1000)))"),"")</f>
        <v/>
      </c>
    </row>
    <row r="69">
      <c r="A69" s="33" t="str">
        <f>IFERROR(__xludf.DUMMYFUNCTION("""COMPUTED_VALUE"""),"Blackwing Usurper")</f>
        <v>Blackwing Usurper</v>
      </c>
      <c r="B69" s="33" t="str">
        <f t="array" ref="B69:I69">XLOOKUP($A69,Cards!$A$2:$A1000,Cards!$B$2:$I1000,"")</f>
        <v>Divine Void</v>
      </c>
      <c r="C69" s="33">
        <v>2.0</v>
      </c>
      <c r="D69" s="33" t="s">
        <v>128</v>
      </c>
      <c r="E69" s="33" t="s">
        <v>339</v>
      </c>
      <c r="F69" s="33" t="s">
        <v>340</v>
      </c>
      <c r="G69" s="33">
        <v>4.0</v>
      </c>
      <c r="H69" s="33" t="s">
        <v>341</v>
      </c>
      <c r="I69" s="33" t="s">
        <v>62</v>
      </c>
      <c r="J69" s="33">
        <f>IFERROR(__xludf.DUMMYFUNCTION("LEN(REGEXREPLACE(XLOOKUP($A69,Cards!$A$2:$A1000,Cards!$H$2:$H1000,""""),"",\s"",""""))"),5.0)</f>
        <v>5</v>
      </c>
      <c r="K69" s="33" t="str">
        <f t="shared" si="1"/>
        <v>               </v>
      </c>
      <c r="L69" s="33" t="str">
        <f>IFERROR(__xludf.DUMMYFUNCTION("IF(IF(L$1="""","""",REGEXMATCH(LOWER($E69),XLOOKUP(L$1,Metadata!$A$2:$A1000,Metadata!$B$2:$B1000))),L$1,"""")"),"")</f>
        <v/>
      </c>
      <c r="M69" s="33" t="str">
        <f>IFERROR(__xludf.DUMMYFUNCTION("IF(IF(M$1="""","""",REGEXMATCH(LOWER($E69),XLOOKUP(M$1,Metadata!$A$2:$A1000,Metadata!$B$2:$B1000))),M$1,"""")"),"")</f>
        <v/>
      </c>
      <c r="N69" s="33" t="str">
        <f>IFERROR(__xludf.DUMMYFUNCTION("IF(IF(N$1="""","""",REGEXMATCH(LOWER($E69),XLOOKUP(N$1,Metadata!$A$2:$A1000,Metadata!$B$2:$B1000))),N$1,"""")"),"")</f>
        <v/>
      </c>
      <c r="O69" s="33" t="str">
        <f>IFERROR(__xludf.DUMMYFUNCTION("IF(IF(O$1="""","""",REGEXMATCH(LOWER($E69),XLOOKUP(O$1,Metadata!$A$2:$A1000,Metadata!$B$2:$B1000))),O$1,"""")"),"")</f>
        <v/>
      </c>
      <c r="P69" s="33" t="str">
        <f>IFERROR(__xludf.DUMMYFUNCTION("IF(IF(P$1="""","""",REGEXMATCH(LOWER($E69),XLOOKUP(P$1,Metadata!$A$2:$A1000,Metadata!$B$2:$B1000))),P$1,"""")"),"")</f>
        <v/>
      </c>
      <c r="Q69" s="33" t="str">
        <f>IFERROR(__xludf.DUMMYFUNCTION("IF(IF(Q$1="""","""",REGEXMATCH(LOWER($E69),XLOOKUP(Q$1,Metadata!$A$2:$A1000,Metadata!$B$2:$B1000))),Q$1,"""")"),"")</f>
        <v/>
      </c>
      <c r="R69" s="33" t="str">
        <f>IFERROR(__xludf.DUMMYFUNCTION("IF(IF(R$1="""","""",REGEXMATCH(LOWER($E69),XLOOKUP(R$1,Metadata!$A$2:$A1000,Metadata!$B$2:$B1000))),R$1,"""")"),"")</f>
        <v/>
      </c>
      <c r="S69" s="33" t="str">
        <f>IFERROR(__xludf.DUMMYFUNCTION("IF(IF(S$1="""","""",REGEXMATCH(LOWER($E69),XLOOKUP(S$1,Metadata!$A$2:$A1000,Metadata!$B$2:$B1000))),S$1,"""")"),"")</f>
        <v/>
      </c>
      <c r="T69" s="33" t="str">
        <f>IFERROR(__xludf.DUMMYFUNCTION("IF(IF(T$1="""","""",REGEXMATCH(LOWER($E69),XLOOKUP(T$1,Metadata!$A$2:$A1000,Metadata!$B$2:$B1000))),T$1,"""")"),"")</f>
        <v/>
      </c>
      <c r="U69" s="33" t="str">
        <f>IFERROR(__xludf.DUMMYFUNCTION("IF(IF(U$1="""","""",REGEXMATCH(LOWER($E69),XLOOKUP(U$1,Metadata!$A$2:$A1000,Metadata!$B$2:$B1000))),U$1,"""")"),"")</f>
        <v/>
      </c>
      <c r="V69" s="33" t="str">
        <f>IFERROR(__xludf.DUMMYFUNCTION("IF(IF(V$1="""","""",REGEXMATCH(LOWER($E69),XLOOKUP(V$1,Metadata!$A$2:$A1000,Metadata!$B$2:$B1000))),V$1,"""")"),"")</f>
        <v/>
      </c>
      <c r="W69" s="33" t="str">
        <f>IFERROR(__xludf.DUMMYFUNCTION("IF(IF(W$1="""","""",REGEXMATCH(LOWER($E69),XLOOKUP(W$1,Metadata!$A$2:$A1000,Metadata!$B$2:$B1000))),W$1,"""")"),"")</f>
        <v/>
      </c>
      <c r="X69" s="33" t="str">
        <f>IFERROR(__xludf.DUMMYFUNCTION("IF(IF(X$1="""","""",REGEXMATCH(LOWER($E69),XLOOKUP(X$1,Metadata!$A$2:$A1000,Metadata!$B$2:$B1000))),X$1,"""")"),"")</f>
        <v/>
      </c>
      <c r="Y69" s="33" t="str">
        <f>IFERROR(__xludf.DUMMYFUNCTION("IF(IF(Y$1="""","""",REGEXMATCH(LOWER($E69),XLOOKUP(Y$1,Metadata!$A$2:$A1000,Metadata!$B$2:$B1000))),Y$1,"""")"),"")</f>
        <v/>
      </c>
      <c r="Z69" s="33" t="str">
        <f>IFERROR(__xludf.DUMMYFUNCTION("IF(IF(Z$1="""","""",REGEXMATCH(LOWER($E69),XLOOKUP(Z$1,Metadata!$A$2:$A1000,Metadata!$B$2:$B1000))),Z$1,"""")"),"")</f>
        <v/>
      </c>
      <c r="AA69" s="33" t="str">
        <f>IFERROR(__xludf.DUMMYFUNCTION("IF(AA$1="""","""",REGEXMATCH(LOWER($E69),XLOOKUP(AA$1,Metadata!$A$2:$A1000,Metadata!$B$2:$B1000)))"),"")</f>
        <v/>
      </c>
    </row>
    <row r="70">
      <c r="A70" s="33" t="str">
        <f>IFERROR(__xludf.DUMMYFUNCTION("""COMPUTED_VALUE"""),"Thunderswarm Celestial")</f>
        <v>Thunderswarm Celestial</v>
      </c>
      <c r="B70" s="33" t="str">
        <f t="array" ref="B70:I70">XLOOKUP($A70,Cards!$A$2:$A1000,Cards!$B$2:$I1000,"")</f>
        <v>Divine Elemental</v>
      </c>
      <c r="C70" s="33">
        <v>1.0</v>
      </c>
      <c r="D70" s="33" t="s">
        <v>343</v>
      </c>
      <c r="E70" s="33"/>
      <c r="F70" s="33" t="s">
        <v>344</v>
      </c>
      <c r="G70" s="33">
        <v>2.0</v>
      </c>
      <c r="H70" s="33" t="s">
        <v>326</v>
      </c>
      <c r="I70" s="33" t="s">
        <v>26</v>
      </c>
      <c r="J70" s="33">
        <f>IFERROR(__xludf.DUMMYFUNCTION("LEN(REGEXREPLACE(XLOOKUP($A70,Cards!$A$2:$A1000,Cards!$H$2:$H1000,""""),"",\s"",""""))"),2.0)</f>
        <v>2</v>
      </c>
      <c r="K70" s="33" t="str">
        <f t="shared" si="1"/>
        <v>               </v>
      </c>
      <c r="L70" s="33" t="str">
        <f>IFERROR(__xludf.DUMMYFUNCTION("IF(IF(L$1="""","""",REGEXMATCH(LOWER($E70),XLOOKUP(L$1,Metadata!$A$2:$A1000,Metadata!$B$2:$B1000))),L$1,"""")"),"")</f>
        <v/>
      </c>
      <c r="M70" s="33" t="str">
        <f>IFERROR(__xludf.DUMMYFUNCTION("IF(IF(M$1="""","""",REGEXMATCH(LOWER($E70),XLOOKUP(M$1,Metadata!$A$2:$A1000,Metadata!$B$2:$B1000))),M$1,"""")"),"")</f>
        <v/>
      </c>
      <c r="N70" s="33" t="str">
        <f>IFERROR(__xludf.DUMMYFUNCTION("IF(IF(N$1="""","""",REGEXMATCH(LOWER($E70),XLOOKUP(N$1,Metadata!$A$2:$A1000,Metadata!$B$2:$B1000))),N$1,"""")"),"")</f>
        <v/>
      </c>
      <c r="O70" s="33" t="str">
        <f>IFERROR(__xludf.DUMMYFUNCTION("IF(IF(O$1="""","""",REGEXMATCH(LOWER($E70),XLOOKUP(O$1,Metadata!$A$2:$A1000,Metadata!$B$2:$B1000))),O$1,"""")"),"")</f>
        <v/>
      </c>
      <c r="P70" s="33" t="str">
        <f>IFERROR(__xludf.DUMMYFUNCTION("IF(IF(P$1="""","""",REGEXMATCH(LOWER($E70),XLOOKUP(P$1,Metadata!$A$2:$A1000,Metadata!$B$2:$B1000))),P$1,"""")"),"")</f>
        <v/>
      </c>
      <c r="Q70" s="33" t="str">
        <f>IFERROR(__xludf.DUMMYFUNCTION("IF(IF(Q$1="""","""",REGEXMATCH(LOWER($E70),XLOOKUP(Q$1,Metadata!$A$2:$A1000,Metadata!$B$2:$B1000))),Q$1,"""")"),"")</f>
        <v/>
      </c>
      <c r="R70" s="33" t="str">
        <f>IFERROR(__xludf.DUMMYFUNCTION("IF(IF(R$1="""","""",REGEXMATCH(LOWER($E70),XLOOKUP(R$1,Metadata!$A$2:$A1000,Metadata!$B$2:$B1000))),R$1,"""")"),"")</f>
        <v/>
      </c>
      <c r="S70" s="33" t="str">
        <f>IFERROR(__xludf.DUMMYFUNCTION("IF(IF(S$1="""","""",REGEXMATCH(LOWER($E70),XLOOKUP(S$1,Metadata!$A$2:$A1000,Metadata!$B$2:$B1000))),S$1,"""")"),"")</f>
        <v/>
      </c>
      <c r="T70" s="33" t="str">
        <f>IFERROR(__xludf.DUMMYFUNCTION("IF(IF(T$1="""","""",REGEXMATCH(LOWER($E70),XLOOKUP(T$1,Metadata!$A$2:$A1000,Metadata!$B$2:$B1000))),T$1,"""")"),"")</f>
        <v/>
      </c>
      <c r="U70" s="33" t="str">
        <f>IFERROR(__xludf.DUMMYFUNCTION("IF(IF(U$1="""","""",REGEXMATCH(LOWER($E70),XLOOKUP(U$1,Metadata!$A$2:$A1000,Metadata!$B$2:$B1000))),U$1,"""")"),"")</f>
        <v/>
      </c>
      <c r="V70" s="33" t="str">
        <f>IFERROR(__xludf.DUMMYFUNCTION("IF(IF(V$1="""","""",REGEXMATCH(LOWER($E70),XLOOKUP(V$1,Metadata!$A$2:$A1000,Metadata!$B$2:$B1000))),V$1,"""")"),"")</f>
        <v/>
      </c>
      <c r="W70" s="33" t="str">
        <f>IFERROR(__xludf.DUMMYFUNCTION("IF(IF(W$1="""","""",REGEXMATCH(LOWER($E70),XLOOKUP(W$1,Metadata!$A$2:$A1000,Metadata!$B$2:$B1000))),W$1,"""")"),"")</f>
        <v/>
      </c>
      <c r="X70" s="33" t="str">
        <f>IFERROR(__xludf.DUMMYFUNCTION("IF(IF(X$1="""","""",REGEXMATCH(LOWER($E70),XLOOKUP(X$1,Metadata!$A$2:$A1000,Metadata!$B$2:$B1000))),X$1,"""")"),"")</f>
        <v/>
      </c>
      <c r="Y70" s="33" t="str">
        <f>IFERROR(__xludf.DUMMYFUNCTION("IF(IF(Y$1="""","""",REGEXMATCH(LOWER($E70),XLOOKUP(Y$1,Metadata!$A$2:$A1000,Metadata!$B$2:$B1000))),Y$1,"""")"),"")</f>
        <v/>
      </c>
      <c r="Z70" s="33" t="str">
        <f>IFERROR(__xludf.DUMMYFUNCTION("IF(IF(Z$1="""","""",REGEXMATCH(LOWER($E70),XLOOKUP(Z$1,Metadata!$A$2:$A1000,Metadata!$B$2:$B1000))),Z$1,"""")"),"")</f>
        <v/>
      </c>
      <c r="AA70" s="33" t="str">
        <f>IFERROR(__xludf.DUMMYFUNCTION("IF(AA$1="""","""",REGEXMATCH(LOWER($E70),XLOOKUP(AA$1,Metadata!$A$2:$A1000,Metadata!$B$2:$B1000)))"),"")</f>
        <v/>
      </c>
    </row>
    <row r="71">
      <c r="A71" s="33" t="str">
        <f>IFERROR(__xludf.DUMMYFUNCTION("""COMPUTED_VALUE"""),"The Second Wing")</f>
        <v>The Second Wing</v>
      </c>
      <c r="B71" s="33" t="str">
        <f t="array" ref="B71:I71">XLOOKUP($A71,Cards!$A$2:$A1000,Cards!$B$2:$I1000,"")</f>
        <v>Divine Elemental</v>
      </c>
      <c r="C71" s="33">
        <v>1.0</v>
      </c>
      <c r="D71" s="33" t="s">
        <v>348</v>
      </c>
      <c r="E71" s="33" t="s">
        <v>349</v>
      </c>
      <c r="F71" s="33" t="s">
        <v>350</v>
      </c>
      <c r="G71" s="33">
        <v>5.0</v>
      </c>
      <c r="H71" s="33" t="s">
        <v>351</v>
      </c>
      <c r="I71" s="33" t="s">
        <v>32</v>
      </c>
      <c r="J71" s="33">
        <f>IFERROR(__xludf.DUMMYFUNCTION("LEN(REGEXREPLACE(XLOOKUP($A71,Cards!$A$2:$A1000,Cards!$H$2:$H1000,""""),"",\s"",""""))"),5.0)</f>
        <v>5</v>
      </c>
      <c r="K71" s="33" t="str">
        <f t="shared" si="1"/>
        <v>               </v>
      </c>
      <c r="L71" s="33" t="str">
        <f>IFERROR(__xludf.DUMMYFUNCTION("IF(IF(L$1="""","""",REGEXMATCH(LOWER($E71),XLOOKUP(L$1,Metadata!$A$2:$A1000,Metadata!$B$2:$B1000))),L$1,"""")"),"")</f>
        <v/>
      </c>
      <c r="M71" s="33" t="str">
        <f>IFERROR(__xludf.DUMMYFUNCTION("IF(IF(M$1="""","""",REGEXMATCH(LOWER($E71),XLOOKUP(M$1,Metadata!$A$2:$A1000,Metadata!$B$2:$B1000))),M$1,"""")"),"")</f>
        <v/>
      </c>
      <c r="N71" s="33" t="str">
        <f>IFERROR(__xludf.DUMMYFUNCTION("IF(IF(N$1="""","""",REGEXMATCH(LOWER($E71),XLOOKUP(N$1,Metadata!$A$2:$A1000,Metadata!$B$2:$B1000))),N$1,"""")"),"")</f>
        <v/>
      </c>
      <c r="O71" s="33" t="str">
        <f>IFERROR(__xludf.DUMMYFUNCTION("IF(IF(O$1="""","""",REGEXMATCH(LOWER($E71),XLOOKUP(O$1,Metadata!$A$2:$A1000,Metadata!$B$2:$B1000))),O$1,"""")"),"")</f>
        <v/>
      </c>
      <c r="P71" s="33" t="str">
        <f>IFERROR(__xludf.DUMMYFUNCTION("IF(IF(P$1="""","""",REGEXMATCH(LOWER($E71),XLOOKUP(P$1,Metadata!$A$2:$A1000,Metadata!$B$2:$B1000))),P$1,"""")"),"")</f>
        <v/>
      </c>
      <c r="Q71" s="33" t="str">
        <f>IFERROR(__xludf.DUMMYFUNCTION("IF(IF(Q$1="""","""",REGEXMATCH(LOWER($E71),XLOOKUP(Q$1,Metadata!$A$2:$A1000,Metadata!$B$2:$B1000))),Q$1,"""")"),"")</f>
        <v/>
      </c>
      <c r="R71" s="33" t="str">
        <f>IFERROR(__xludf.DUMMYFUNCTION("IF(IF(R$1="""","""",REGEXMATCH(LOWER($E71),XLOOKUP(R$1,Metadata!$A$2:$A1000,Metadata!$B$2:$B1000))),R$1,"""")"),"")</f>
        <v/>
      </c>
      <c r="S71" s="33" t="str">
        <f>IFERROR(__xludf.DUMMYFUNCTION("IF(IF(S$1="""","""",REGEXMATCH(LOWER($E71),XLOOKUP(S$1,Metadata!$A$2:$A1000,Metadata!$B$2:$B1000))),S$1,"""")"),"")</f>
        <v/>
      </c>
      <c r="T71" s="33" t="str">
        <f>IFERROR(__xludf.DUMMYFUNCTION("IF(IF(T$1="""","""",REGEXMATCH(LOWER($E71),XLOOKUP(T$1,Metadata!$A$2:$A1000,Metadata!$B$2:$B1000))),T$1,"""")"),"")</f>
        <v/>
      </c>
      <c r="U71" s="33" t="str">
        <f>IFERROR(__xludf.DUMMYFUNCTION("IF(IF(U$1="""","""",REGEXMATCH(LOWER($E71),XLOOKUP(U$1,Metadata!$A$2:$A1000,Metadata!$B$2:$B1000))),U$1,"""")"),"")</f>
        <v/>
      </c>
      <c r="V71" s="33" t="str">
        <f>IFERROR(__xludf.DUMMYFUNCTION("IF(IF(V$1="""","""",REGEXMATCH(LOWER($E71),XLOOKUP(V$1,Metadata!$A$2:$A1000,Metadata!$B$2:$B1000))),V$1,"""")"),"")</f>
        <v/>
      </c>
      <c r="W71" s="33" t="str">
        <f>IFERROR(__xludf.DUMMYFUNCTION("IF(IF(W$1="""","""",REGEXMATCH(LOWER($E71),XLOOKUP(W$1,Metadata!$A$2:$A1000,Metadata!$B$2:$B1000))),W$1,"""")"),"")</f>
        <v/>
      </c>
      <c r="X71" s="33" t="str">
        <f>IFERROR(__xludf.DUMMYFUNCTION("IF(IF(X$1="""","""",REGEXMATCH(LOWER($E71),XLOOKUP(X$1,Metadata!$A$2:$A1000,Metadata!$B$2:$B1000))),X$1,"""")"),"")</f>
        <v/>
      </c>
      <c r="Y71" s="33" t="str">
        <f>IFERROR(__xludf.DUMMYFUNCTION("IF(IF(Y$1="""","""",REGEXMATCH(LOWER($E71),XLOOKUP(Y$1,Metadata!$A$2:$A1000,Metadata!$B$2:$B1000))),Y$1,"""")"),"")</f>
        <v/>
      </c>
      <c r="Z71" s="33" t="str">
        <f>IFERROR(__xludf.DUMMYFUNCTION("IF(IF(Z$1="""","""",REGEXMATCH(LOWER($E71),XLOOKUP(Z$1,Metadata!$A$2:$A1000,Metadata!$B$2:$B1000))),Z$1,"""")"),"")</f>
        <v/>
      </c>
      <c r="AA71" s="33" t="str">
        <f>IFERROR(__xludf.DUMMYFUNCTION("IF(AA$1="""","""",REGEXMATCH(LOWER($E71),XLOOKUP(AA$1,Metadata!$A$2:$A1000,Metadata!$B$2:$B1000)))"),"")</f>
        <v/>
      </c>
    </row>
    <row r="72">
      <c r="A72" s="33" t="str">
        <f>IFERROR(__xludf.DUMMYFUNCTION("""COMPUTED_VALUE"""),"Ivoryscar Fatebreaker")</f>
        <v>Ivoryscar Fatebreaker</v>
      </c>
      <c r="B72" s="33" t="str">
        <f t="array" ref="B72:I72">XLOOKUP($A72,Cards!$A$2:$A1000,Cards!$B$2:$I1000,"")</f>
        <v>Divine Void</v>
      </c>
      <c r="C72" s="33">
        <v>2.0</v>
      </c>
      <c r="D72" s="33" t="s">
        <v>355</v>
      </c>
      <c r="E72" s="33" t="s">
        <v>356</v>
      </c>
      <c r="F72" s="33" t="s">
        <v>357</v>
      </c>
      <c r="G72" s="33">
        <v>6.0</v>
      </c>
      <c r="H72" s="33" t="s">
        <v>358</v>
      </c>
      <c r="I72" s="33" t="s">
        <v>62</v>
      </c>
      <c r="J72" s="33">
        <f>IFERROR(__xludf.DUMMYFUNCTION("LEN(REGEXREPLACE(XLOOKUP($A72,Cards!$A$2:$A1000,Cards!$H$2:$H1000,""""),"",\s"",""""))"),6.0)</f>
        <v>6</v>
      </c>
      <c r="K72" s="33" t="str">
        <f t="shared" si="1"/>
        <v>               </v>
      </c>
      <c r="L72" s="33" t="str">
        <f>IFERROR(__xludf.DUMMYFUNCTION("IF(IF(L$1="""","""",REGEXMATCH(LOWER($E72),XLOOKUP(L$1,Metadata!$A$2:$A1000,Metadata!$B$2:$B1000))),L$1,"""")"),"")</f>
        <v/>
      </c>
      <c r="M72" s="33" t="str">
        <f>IFERROR(__xludf.DUMMYFUNCTION("IF(IF(M$1="""","""",REGEXMATCH(LOWER($E72),XLOOKUP(M$1,Metadata!$A$2:$A1000,Metadata!$B$2:$B1000))),M$1,"""")"),"")</f>
        <v/>
      </c>
      <c r="N72" s="33" t="str">
        <f>IFERROR(__xludf.DUMMYFUNCTION("IF(IF(N$1="""","""",REGEXMATCH(LOWER($E72),XLOOKUP(N$1,Metadata!$A$2:$A1000,Metadata!$B$2:$B1000))),N$1,"""")"),"")</f>
        <v/>
      </c>
      <c r="O72" s="33" t="str">
        <f>IFERROR(__xludf.DUMMYFUNCTION("IF(IF(O$1="""","""",REGEXMATCH(LOWER($E72),XLOOKUP(O$1,Metadata!$A$2:$A1000,Metadata!$B$2:$B1000))),O$1,"""")"),"")</f>
        <v/>
      </c>
      <c r="P72" s="33" t="str">
        <f>IFERROR(__xludf.DUMMYFUNCTION("IF(IF(P$1="""","""",REGEXMATCH(LOWER($E72),XLOOKUP(P$1,Metadata!$A$2:$A1000,Metadata!$B$2:$B1000))),P$1,"""")"),"")</f>
        <v/>
      </c>
      <c r="Q72" s="33" t="str">
        <f>IFERROR(__xludf.DUMMYFUNCTION("IF(IF(Q$1="""","""",REGEXMATCH(LOWER($E72),XLOOKUP(Q$1,Metadata!$A$2:$A1000,Metadata!$B$2:$B1000))),Q$1,"""")"),"")</f>
        <v/>
      </c>
      <c r="R72" s="33" t="str">
        <f>IFERROR(__xludf.DUMMYFUNCTION("IF(IF(R$1="""","""",REGEXMATCH(LOWER($E72),XLOOKUP(R$1,Metadata!$A$2:$A1000,Metadata!$B$2:$B1000))),R$1,"""")"),"")</f>
        <v/>
      </c>
      <c r="S72" s="33" t="str">
        <f>IFERROR(__xludf.DUMMYFUNCTION("IF(IF(S$1="""","""",REGEXMATCH(LOWER($E72),XLOOKUP(S$1,Metadata!$A$2:$A1000,Metadata!$B$2:$B1000))),S$1,"""")"),"")</f>
        <v/>
      </c>
      <c r="T72" s="33" t="str">
        <f>IFERROR(__xludf.DUMMYFUNCTION("IF(IF(T$1="""","""",REGEXMATCH(LOWER($E72),XLOOKUP(T$1,Metadata!$A$2:$A1000,Metadata!$B$2:$B1000))),T$1,"""")"),"")</f>
        <v/>
      </c>
      <c r="U72" s="33" t="str">
        <f>IFERROR(__xludf.DUMMYFUNCTION("IF(IF(U$1="""","""",REGEXMATCH(LOWER($E72),XLOOKUP(U$1,Metadata!$A$2:$A1000,Metadata!$B$2:$B1000))),U$1,"""")"),"")</f>
        <v/>
      </c>
      <c r="V72" s="33" t="str">
        <f>IFERROR(__xludf.DUMMYFUNCTION("IF(IF(V$1="""","""",REGEXMATCH(LOWER($E72),XLOOKUP(V$1,Metadata!$A$2:$A1000,Metadata!$B$2:$B1000))),V$1,"""")"),"")</f>
        <v/>
      </c>
      <c r="W72" s="33" t="str">
        <f>IFERROR(__xludf.DUMMYFUNCTION("IF(IF(W$1="""","""",REGEXMATCH(LOWER($E72),XLOOKUP(W$1,Metadata!$A$2:$A1000,Metadata!$B$2:$B1000))),W$1,"""")"),"")</f>
        <v/>
      </c>
      <c r="X72" s="33" t="str">
        <f>IFERROR(__xludf.DUMMYFUNCTION("IF(IF(X$1="""","""",REGEXMATCH(LOWER($E72),XLOOKUP(X$1,Metadata!$A$2:$A1000,Metadata!$B$2:$B1000))),X$1,"""")"),"")</f>
        <v/>
      </c>
      <c r="Y72" s="33" t="str">
        <f>IFERROR(__xludf.DUMMYFUNCTION("IF(IF(Y$1="""","""",REGEXMATCH(LOWER($E72),XLOOKUP(Y$1,Metadata!$A$2:$A1000,Metadata!$B$2:$B1000))),Y$1,"""")"),"")</f>
        <v/>
      </c>
      <c r="Z72" s="33" t="str">
        <f>IFERROR(__xludf.DUMMYFUNCTION("IF(IF(Z$1="""","""",REGEXMATCH(LOWER($E72),XLOOKUP(Z$1,Metadata!$A$2:$A1000,Metadata!$B$2:$B1000))),Z$1,"""")"),"")</f>
        <v/>
      </c>
      <c r="AA72" s="33" t="str">
        <f>IFERROR(__xludf.DUMMYFUNCTION("IF(AA$1="""","""",REGEXMATCH(LOWER($E72),XLOOKUP(AA$1,Metadata!$A$2:$A1000,Metadata!$B$2:$B1000)))"),"")</f>
        <v/>
      </c>
    </row>
    <row r="73">
      <c r="A73" s="33" t="str">
        <f>IFERROR(__xludf.DUMMYFUNCTION("""COMPUTED_VALUE"""),"Moon Priestess")</f>
        <v>Moon Priestess</v>
      </c>
      <c r="B73" s="33" t="str">
        <f t="array" ref="B73:I73">XLOOKUP($A73,Cards!$A$2:$A1000,Cards!$B$2:$I1000,"")</f>
        <v>Divine Mortal</v>
      </c>
      <c r="C73" s="33">
        <v>1.0</v>
      </c>
      <c r="D73" s="33" t="s">
        <v>294</v>
      </c>
      <c r="E73" s="33" t="s">
        <v>360</v>
      </c>
      <c r="F73" s="33" t="s">
        <v>361</v>
      </c>
      <c r="G73" s="33">
        <v>3.0</v>
      </c>
      <c r="H73" s="33" t="s">
        <v>303</v>
      </c>
      <c r="I73" s="33" t="s">
        <v>62</v>
      </c>
      <c r="J73" s="33">
        <f>IFERROR(__xludf.DUMMYFUNCTION("LEN(REGEXREPLACE(XLOOKUP($A73,Cards!$A$2:$A1000,Cards!$H$2:$H1000,""""),"",\s"",""""))"),4.0)</f>
        <v>4</v>
      </c>
      <c r="K73" s="33" t="str">
        <f t="shared" si="1"/>
        <v>     Unearth          </v>
      </c>
      <c r="L73" s="33" t="str">
        <f>IFERROR(__xludf.DUMMYFUNCTION("IF(IF(L$1="""","""",REGEXMATCH(LOWER($E73),XLOOKUP(L$1,Metadata!$A$2:$A1000,Metadata!$B$2:$B1000))),L$1,"""")"),"")</f>
        <v/>
      </c>
      <c r="M73" s="33" t="str">
        <f>IFERROR(__xludf.DUMMYFUNCTION("IF(IF(M$1="""","""",REGEXMATCH(LOWER($E73),XLOOKUP(M$1,Metadata!$A$2:$A1000,Metadata!$B$2:$B1000))),M$1,"""")"),"")</f>
        <v/>
      </c>
      <c r="N73" s="33" t="str">
        <f>IFERROR(__xludf.DUMMYFUNCTION("IF(IF(N$1="""","""",REGEXMATCH(LOWER($E73),XLOOKUP(N$1,Metadata!$A$2:$A1000,Metadata!$B$2:$B1000))),N$1,"""")"),"")</f>
        <v/>
      </c>
      <c r="O73" s="33" t="str">
        <f>IFERROR(__xludf.DUMMYFUNCTION("IF(IF(O$1="""","""",REGEXMATCH(LOWER($E73),XLOOKUP(O$1,Metadata!$A$2:$A1000,Metadata!$B$2:$B1000))),O$1,"""")"),"")</f>
        <v/>
      </c>
      <c r="P73" s="33" t="str">
        <f>IFERROR(__xludf.DUMMYFUNCTION("IF(IF(P$1="""","""",REGEXMATCH(LOWER($E73),XLOOKUP(P$1,Metadata!$A$2:$A1000,Metadata!$B$2:$B1000))),P$1,"""")"),"")</f>
        <v/>
      </c>
      <c r="Q73" s="33" t="str">
        <f>IFERROR(__xludf.DUMMYFUNCTION("IF(IF(Q$1="""","""",REGEXMATCH(LOWER($E73),XLOOKUP(Q$1,Metadata!$A$2:$A1000,Metadata!$B$2:$B1000))),Q$1,"""")"),"Unearth")</f>
        <v>Unearth</v>
      </c>
      <c r="R73" s="33" t="str">
        <f>IFERROR(__xludf.DUMMYFUNCTION("IF(IF(R$1="""","""",REGEXMATCH(LOWER($E73),XLOOKUP(R$1,Metadata!$A$2:$A1000,Metadata!$B$2:$B1000))),R$1,"""")"),"")</f>
        <v/>
      </c>
      <c r="S73" s="33" t="str">
        <f>IFERROR(__xludf.DUMMYFUNCTION("IF(IF(S$1="""","""",REGEXMATCH(LOWER($E73),XLOOKUP(S$1,Metadata!$A$2:$A1000,Metadata!$B$2:$B1000))),S$1,"""")"),"")</f>
        <v/>
      </c>
      <c r="T73" s="33" t="str">
        <f>IFERROR(__xludf.DUMMYFUNCTION("IF(IF(T$1="""","""",REGEXMATCH(LOWER($E73),XLOOKUP(T$1,Metadata!$A$2:$A1000,Metadata!$B$2:$B1000))),T$1,"""")"),"")</f>
        <v/>
      </c>
      <c r="U73" s="33" t="str">
        <f>IFERROR(__xludf.DUMMYFUNCTION("IF(IF(U$1="""","""",REGEXMATCH(LOWER($E73),XLOOKUP(U$1,Metadata!$A$2:$A1000,Metadata!$B$2:$B1000))),U$1,"""")"),"")</f>
        <v/>
      </c>
      <c r="V73" s="33" t="str">
        <f>IFERROR(__xludf.DUMMYFUNCTION("IF(IF(V$1="""","""",REGEXMATCH(LOWER($E73),XLOOKUP(V$1,Metadata!$A$2:$A1000,Metadata!$B$2:$B1000))),V$1,"""")"),"")</f>
        <v/>
      </c>
      <c r="W73" s="33" t="str">
        <f>IFERROR(__xludf.DUMMYFUNCTION("IF(IF(W$1="""","""",REGEXMATCH(LOWER($E73),XLOOKUP(W$1,Metadata!$A$2:$A1000,Metadata!$B$2:$B1000))),W$1,"""")"),"")</f>
        <v/>
      </c>
      <c r="X73" s="33" t="str">
        <f>IFERROR(__xludf.DUMMYFUNCTION("IF(IF(X$1="""","""",REGEXMATCH(LOWER($E73),XLOOKUP(X$1,Metadata!$A$2:$A1000,Metadata!$B$2:$B1000))),X$1,"""")"),"")</f>
        <v/>
      </c>
      <c r="Y73" s="33" t="str">
        <f>IFERROR(__xludf.DUMMYFUNCTION("IF(IF(Y$1="""","""",REGEXMATCH(LOWER($E73),XLOOKUP(Y$1,Metadata!$A$2:$A1000,Metadata!$B$2:$B1000))),Y$1,"""")"),"")</f>
        <v/>
      </c>
      <c r="Z73" s="33" t="str">
        <f>IFERROR(__xludf.DUMMYFUNCTION("IF(IF(Z$1="""","""",REGEXMATCH(LOWER($E73),XLOOKUP(Z$1,Metadata!$A$2:$A1000,Metadata!$B$2:$B1000))),Z$1,"""")"),"")</f>
        <v/>
      </c>
      <c r="AA73" s="33" t="str">
        <f>IFERROR(__xludf.DUMMYFUNCTION("IF(AA$1="""","""",REGEXMATCH(LOWER($E73),XLOOKUP(AA$1,Metadata!$A$2:$A1000,Metadata!$B$2:$B1000)))"),"")</f>
        <v/>
      </c>
    </row>
    <row r="74">
      <c r="A74" s="33" t="str">
        <f>IFERROR(__xludf.DUMMYFUNCTION("""COMPUTED_VALUE"""),"Airstep Sifu")</f>
        <v>Airstep Sifu</v>
      </c>
      <c r="B74" s="33" t="str">
        <f t="array" ref="B74:I74">XLOOKUP($A74,Cards!$A$2:$A1000,Cards!$B$2:$I1000,"")</f>
        <v>Elemental</v>
      </c>
      <c r="C74" s="33">
        <v>2.0</v>
      </c>
      <c r="D74" s="33" t="s">
        <v>37</v>
      </c>
      <c r="E74" s="33" t="s">
        <v>366</v>
      </c>
      <c r="F74" s="33" t="s">
        <v>367</v>
      </c>
      <c r="G74" s="33">
        <v>2.0</v>
      </c>
      <c r="H74" s="33" t="s">
        <v>368</v>
      </c>
      <c r="I74" s="33" t="s">
        <v>26</v>
      </c>
      <c r="J74" s="33">
        <f>IFERROR(__xludf.DUMMYFUNCTION("LEN(REGEXREPLACE(XLOOKUP($A74,Cards!$A$2:$A1000,Cards!$H$2:$H1000,""""),"",\s"",""""))"),3.0)</f>
        <v>3</v>
      </c>
      <c r="K74" s="33" t="str">
        <f t="shared" si="1"/>
        <v>               </v>
      </c>
      <c r="L74" s="33" t="str">
        <f>IFERROR(__xludf.DUMMYFUNCTION("IF(IF(L$1="""","""",REGEXMATCH(LOWER($E74),XLOOKUP(L$1,Metadata!$A$2:$A1000,Metadata!$B$2:$B1000))),L$1,"""")"),"")</f>
        <v/>
      </c>
      <c r="M74" s="33" t="str">
        <f>IFERROR(__xludf.DUMMYFUNCTION("IF(IF(M$1="""","""",REGEXMATCH(LOWER($E74),XLOOKUP(M$1,Metadata!$A$2:$A1000,Metadata!$B$2:$B1000))),M$1,"""")"),"")</f>
        <v/>
      </c>
      <c r="N74" s="33" t="str">
        <f>IFERROR(__xludf.DUMMYFUNCTION("IF(IF(N$1="""","""",REGEXMATCH(LOWER($E74),XLOOKUP(N$1,Metadata!$A$2:$A1000,Metadata!$B$2:$B1000))),N$1,"""")"),"")</f>
        <v/>
      </c>
      <c r="O74" s="33" t="str">
        <f>IFERROR(__xludf.DUMMYFUNCTION("IF(IF(O$1="""","""",REGEXMATCH(LOWER($E74),XLOOKUP(O$1,Metadata!$A$2:$A1000,Metadata!$B$2:$B1000))),O$1,"""")"),"")</f>
        <v/>
      </c>
      <c r="P74" s="33" t="str">
        <f>IFERROR(__xludf.DUMMYFUNCTION("IF(IF(P$1="""","""",REGEXMATCH(LOWER($E74),XLOOKUP(P$1,Metadata!$A$2:$A1000,Metadata!$B$2:$B1000))),P$1,"""")"),"")</f>
        <v/>
      </c>
      <c r="Q74" s="33" t="str">
        <f>IFERROR(__xludf.DUMMYFUNCTION("IF(IF(Q$1="""","""",REGEXMATCH(LOWER($E74),XLOOKUP(Q$1,Metadata!$A$2:$A1000,Metadata!$B$2:$B1000))),Q$1,"""")"),"")</f>
        <v/>
      </c>
      <c r="R74" s="33" t="str">
        <f>IFERROR(__xludf.DUMMYFUNCTION("IF(IF(R$1="""","""",REGEXMATCH(LOWER($E74),XLOOKUP(R$1,Metadata!$A$2:$A1000,Metadata!$B$2:$B1000))),R$1,"""")"),"")</f>
        <v/>
      </c>
      <c r="S74" s="33" t="str">
        <f>IFERROR(__xludf.DUMMYFUNCTION("IF(IF(S$1="""","""",REGEXMATCH(LOWER($E74),XLOOKUP(S$1,Metadata!$A$2:$A1000,Metadata!$B$2:$B1000))),S$1,"""")"),"")</f>
        <v/>
      </c>
      <c r="T74" s="33" t="str">
        <f>IFERROR(__xludf.DUMMYFUNCTION("IF(IF(T$1="""","""",REGEXMATCH(LOWER($E74),XLOOKUP(T$1,Metadata!$A$2:$A1000,Metadata!$B$2:$B1000))),T$1,"""")"),"")</f>
        <v/>
      </c>
      <c r="U74" s="33" t="str">
        <f>IFERROR(__xludf.DUMMYFUNCTION("IF(IF(U$1="""","""",REGEXMATCH(LOWER($E74),XLOOKUP(U$1,Metadata!$A$2:$A1000,Metadata!$B$2:$B1000))),U$1,"""")"),"")</f>
        <v/>
      </c>
      <c r="V74" s="33" t="str">
        <f>IFERROR(__xludf.DUMMYFUNCTION("IF(IF(V$1="""","""",REGEXMATCH(LOWER($E74),XLOOKUP(V$1,Metadata!$A$2:$A1000,Metadata!$B$2:$B1000))),V$1,"""")"),"")</f>
        <v/>
      </c>
      <c r="W74" s="33" t="str">
        <f>IFERROR(__xludf.DUMMYFUNCTION("IF(IF(W$1="""","""",REGEXMATCH(LOWER($E74),XLOOKUP(W$1,Metadata!$A$2:$A1000,Metadata!$B$2:$B1000))),W$1,"""")"),"")</f>
        <v/>
      </c>
      <c r="X74" s="33" t="str">
        <f>IFERROR(__xludf.DUMMYFUNCTION("IF(IF(X$1="""","""",REGEXMATCH(LOWER($E74),XLOOKUP(X$1,Metadata!$A$2:$A1000,Metadata!$B$2:$B1000))),X$1,"""")"),"")</f>
        <v/>
      </c>
      <c r="Y74" s="33" t="str">
        <f>IFERROR(__xludf.DUMMYFUNCTION("IF(IF(Y$1="""","""",REGEXMATCH(LOWER($E74),XLOOKUP(Y$1,Metadata!$A$2:$A1000,Metadata!$B$2:$B1000))),Y$1,"""")"),"")</f>
        <v/>
      </c>
      <c r="Z74" s="33" t="str">
        <f>IFERROR(__xludf.DUMMYFUNCTION("IF(IF(Z$1="""","""",REGEXMATCH(LOWER($E74),XLOOKUP(Z$1,Metadata!$A$2:$A1000,Metadata!$B$2:$B1000))),Z$1,"""")"),"")</f>
        <v/>
      </c>
      <c r="AA74" s="33" t="str">
        <f>IFERROR(__xludf.DUMMYFUNCTION("IF(AA$1="""","""",REGEXMATCH(LOWER($E74),XLOOKUP(AA$1,Metadata!$A$2:$A1000,Metadata!$B$2:$B1000)))"),"")</f>
        <v/>
      </c>
    </row>
    <row r="75">
      <c r="A75" s="33" t="str">
        <f>IFERROR(__xludf.DUMMYFUNCTION("""COMPUTED_VALUE"""),"Moonspear Paladin")</f>
        <v>Moonspear Paladin</v>
      </c>
      <c r="B75" s="33" t="str">
        <f t="array" ref="B75:I75">XLOOKUP($A75,Cards!$A$2:$A1000,Cards!$B$2:$I1000,"")</f>
        <v>Divine Mortal</v>
      </c>
      <c r="C75" s="33">
        <v>1.0</v>
      </c>
      <c r="D75" s="33" t="s">
        <v>370</v>
      </c>
      <c r="E75" s="33"/>
      <c r="F75" s="33" t="s">
        <v>371</v>
      </c>
      <c r="G75" s="33">
        <v>2.0</v>
      </c>
      <c r="H75" s="33" t="s">
        <v>372</v>
      </c>
      <c r="I75" s="33" t="s">
        <v>26</v>
      </c>
      <c r="J75" s="33">
        <f>IFERROR(__xludf.DUMMYFUNCTION("LEN(REGEXREPLACE(XLOOKUP($A75,Cards!$A$2:$A1000,Cards!$H$2:$H1000,""""),"",\s"",""""))"),2.0)</f>
        <v>2</v>
      </c>
      <c r="K75" s="33" t="str">
        <f t="shared" si="1"/>
        <v>               </v>
      </c>
      <c r="L75" s="33" t="str">
        <f>IFERROR(__xludf.DUMMYFUNCTION("IF(IF(L$1="""","""",REGEXMATCH(LOWER($E75),XLOOKUP(L$1,Metadata!$A$2:$A1000,Metadata!$B$2:$B1000))),L$1,"""")"),"")</f>
        <v/>
      </c>
      <c r="M75" s="33" t="str">
        <f>IFERROR(__xludf.DUMMYFUNCTION("IF(IF(M$1="""","""",REGEXMATCH(LOWER($E75),XLOOKUP(M$1,Metadata!$A$2:$A1000,Metadata!$B$2:$B1000))),M$1,"""")"),"")</f>
        <v/>
      </c>
      <c r="N75" s="33" t="str">
        <f>IFERROR(__xludf.DUMMYFUNCTION("IF(IF(N$1="""","""",REGEXMATCH(LOWER($E75),XLOOKUP(N$1,Metadata!$A$2:$A1000,Metadata!$B$2:$B1000))),N$1,"""")"),"")</f>
        <v/>
      </c>
      <c r="O75" s="33" t="str">
        <f>IFERROR(__xludf.DUMMYFUNCTION("IF(IF(O$1="""","""",REGEXMATCH(LOWER($E75),XLOOKUP(O$1,Metadata!$A$2:$A1000,Metadata!$B$2:$B1000))),O$1,"""")"),"")</f>
        <v/>
      </c>
      <c r="P75" s="33" t="str">
        <f>IFERROR(__xludf.DUMMYFUNCTION("IF(IF(P$1="""","""",REGEXMATCH(LOWER($E75),XLOOKUP(P$1,Metadata!$A$2:$A1000,Metadata!$B$2:$B1000))),P$1,"""")"),"")</f>
        <v/>
      </c>
      <c r="Q75" s="33" t="str">
        <f>IFERROR(__xludf.DUMMYFUNCTION("IF(IF(Q$1="""","""",REGEXMATCH(LOWER($E75),XLOOKUP(Q$1,Metadata!$A$2:$A1000,Metadata!$B$2:$B1000))),Q$1,"""")"),"")</f>
        <v/>
      </c>
      <c r="R75" s="33" t="str">
        <f>IFERROR(__xludf.DUMMYFUNCTION("IF(IF(R$1="""","""",REGEXMATCH(LOWER($E75),XLOOKUP(R$1,Metadata!$A$2:$A1000,Metadata!$B$2:$B1000))),R$1,"""")"),"")</f>
        <v/>
      </c>
      <c r="S75" s="33" t="str">
        <f>IFERROR(__xludf.DUMMYFUNCTION("IF(IF(S$1="""","""",REGEXMATCH(LOWER($E75),XLOOKUP(S$1,Metadata!$A$2:$A1000,Metadata!$B$2:$B1000))),S$1,"""")"),"")</f>
        <v/>
      </c>
      <c r="T75" s="33" t="str">
        <f>IFERROR(__xludf.DUMMYFUNCTION("IF(IF(T$1="""","""",REGEXMATCH(LOWER($E75),XLOOKUP(T$1,Metadata!$A$2:$A1000,Metadata!$B$2:$B1000))),T$1,"""")"),"")</f>
        <v/>
      </c>
      <c r="U75" s="33" t="str">
        <f>IFERROR(__xludf.DUMMYFUNCTION("IF(IF(U$1="""","""",REGEXMATCH(LOWER($E75),XLOOKUP(U$1,Metadata!$A$2:$A1000,Metadata!$B$2:$B1000))),U$1,"""")"),"")</f>
        <v/>
      </c>
      <c r="V75" s="33" t="str">
        <f>IFERROR(__xludf.DUMMYFUNCTION("IF(IF(V$1="""","""",REGEXMATCH(LOWER($E75),XLOOKUP(V$1,Metadata!$A$2:$A1000,Metadata!$B$2:$B1000))),V$1,"""")"),"")</f>
        <v/>
      </c>
      <c r="W75" s="33" t="str">
        <f>IFERROR(__xludf.DUMMYFUNCTION("IF(IF(W$1="""","""",REGEXMATCH(LOWER($E75),XLOOKUP(W$1,Metadata!$A$2:$A1000,Metadata!$B$2:$B1000))),W$1,"""")"),"")</f>
        <v/>
      </c>
      <c r="X75" s="33" t="str">
        <f>IFERROR(__xludf.DUMMYFUNCTION("IF(IF(X$1="""","""",REGEXMATCH(LOWER($E75),XLOOKUP(X$1,Metadata!$A$2:$A1000,Metadata!$B$2:$B1000))),X$1,"""")"),"")</f>
        <v/>
      </c>
      <c r="Y75" s="33" t="str">
        <f>IFERROR(__xludf.DUMMYFUNCTION("IF(IF(Y$1="""","""",REGEXMATCH(LOWER($E75),XLOOKUP(Y$1,Metadata!$A$2:$A1000,Metadata!$B$2:$B1000))),Y$1,"""")"),"")</f>
        <v/>
      </c>
      <c r="Z75" s="33" t="str">
        <f>IFERROR(__xludf.DUMMYFUNCTION("IF(IF(Z$1="""","""",REGEXMATCH(LOWER($E75),XLOOKUP(Z$1,Metadata!$A$2:$A1000,Metadata!$B$2:$B1000))),Z$1,"""")"),"")</f>
        <v/>
      </c>
      <c r="AA75" s="33" t="str">
        <f>IFERROR(__xludf.DUMMYFUNCTION("IF(AA$1="""","""",REGEXMATCH(LOWER($E75),XLOOKUP(AA$1,Metadata!$A$2:$A1000,Metadata!$B$2:$B1000)))"),"")</f>
        <v/>
      </c>
    </row>
    <row r="76">
      <c r="A76" s="33" t="str">
        <f>IFERROR(__xludf.DUMMYFUNCTION("""COMPUTED_VALUE"""),"Arcanum Grandmaster")</f>
        <v>Arcanum Grandmaster</v>
      </c>
      <c r="B76" s="33" t="str">
        <f t="array" ref="B76:I76">XLOOKUP($A76,Cards!$A$2:$A1000,Cards!$B$2:$I1000,"")</f>
        <v>Elemental</v>
      </c>
      <c r="C76" s="33">
        <v>2.0</v>
      </c>
      <c r="D76" s="33" t="s">
        <v>294</v>
      </c>
      <c r="E76" s="33" t="s">
        <v>376</v>
      </c>
      <c r="F76" s="33" t="s">
        <v>377</v>
      </c>
      <c r="G76" s="33">
        <v>4.0</v>
      </c>
      <c r="H76" s="33" t="s">
        <v>378</v>
      </c>
      <c r="I76" s="33" t="s">
        <v>62</v>
      </c>
      <c r="J76" s="33">
        <f>IFERROR(__xludf.DUMMYFUNCTION("LEN(REGEXREPLACE(XLOOKUP($A76,Cards!$A$2:$A1000,Cards!$H$2:$H1000,""""),"",\s"",""""))"),5.0)</f>
        <v>5</v>
      </c>
      <c r="K76" s="33" t="str">
        <f t="shared" si="1"/>
        <v>               </v>
      </c>
      <c r="L76" s="33" t="str">
        <f>IFERROR(__xludf.DUMMYFUNCTION("IF(IF(L$1="""","""",REGEXMATCH(LOWER($E76),XLOOKUP(L$1,Metadata!$A$2:$A1000,Metadata!$B$2:$B1000))),L$1,"""")"),"")</f>
        <v/>
      </c>
      <c r="M76" s="33" t="str">
        <f>IFERROR(__xludf.DUMMYFUNCTION("IF(IF(M$1="""","""",REGEXMATCH(LOWER($E76),XLOOKUP(M$1,Metadata!$A$2:$A1000,Metadata!$B$2:$B1000))),M$1,"""")"),"")</f>
        <v/>
      </c>
      <c r="N76" s="33" t="str">
        <f>IFERROR(__xludf.DUMMYFUNCTION("IF(IF(N$1="""","""",REGEXMATCH(LOWER($E76),XLOOKUP(N$1,Metadata!$A$2:$A1000,Metadata!$B$2:$B1000))),N$1,"""")"),"")</f>
        <v/>
      </c>
      <c r="O76" s="33" t="str">
        <f>IFERROR(__xludf.DUMMYFUNCTION("IF(IF(O$1="""","""",REGEXMATCH(LOWER($E76),XLOOKUP(O$1,Metadata!$A$2:$A1000,Metadata!$B$2:$B1000))),O$1,"""")"),"")</f>
        <v/>
      </c>
      <c r="P76" s="33" t="str">
        <f>IFERROR(__xludf.DUMMYFUNCTION("IF(IF(P$1="""","""",REGEXMATCH(LOWER($E76),XLOOKUP(P$1,Metadata!$A$2:$A1000,Metadata!$B$2:$B1000))),P$1,"""")"),"")</f>
        <v/>
      </c>
      <c r="Q76" s="33" t="str">
        <f>IFERROR(__xludf.DUMMYFUNCTION("IF(IF(Q$1="""","""",REGEXMATCH(LOWER($E76),XLOOKUP(Q$1,Metadata!$A$2:$A1000,Metadata!$B$2:$B1000))),Q$1,"""")"),"")</f>
        <v/>
      </c>
      <c r="R76" s="33" t="str">
        <f>IFERROR(__xludf.DUMMYFUNCTION("IF(IF(R$1="""","""",REGEXMATCH(LOWER($E76),XLOOKUP(R$1,Metadata!$A$2:$A1000,Metadata!$B$2:$B1000))),R$1,"""")"),"")</f>
        <v/>
      </c>
      <c r="S76" s="33" t="str">
        <f>IFERROR(__xludf.DUMMYFUNCTION("IF(IF(S$1="""","""",REGEXMATCH(LOWER($E76),XLOOKUP(S$1,Metadata!$A$2:$A1000,Metadata!$B$2:$B1000))),S$1,"""")"),"")</f>
        <v/>
      </c>
      <c r="T76" s="33" t="str">
        <f>IFERROR(__xludf.DUMMYFUNCTION("IF(IF(T$1="""","""",REGEXMATCH(LOWER($E76),XLOOKUP(T$1,Metadata!$A$2:$A1000,Metadata!$B$2:$B1000))),T$1,"""")"),"")</f>
        <v/>
      </c>
      <c r="U76" s="33" t="str">
        <f>IFERROR(__xludf.DUMMYFUNCTION("IF(IF(U$1="""","""",REGEXMATCH(LOWER($E76),XLOOKUP(U$1,Metadata!$A$2:$A1000,Metadata!$B$2:$B1000))),U$1,"""")"),"")</f>
        <v/>
      </c>
      <c r="V76" s="33" t="str">
        <f>IFERROR(__xludf.DUMMYFUNCTION("IF(IF(V$1="""","""",REGEXMATCH(LOWER($E76),XLOOKUP(V$1,Metadata!$A$2:$A1000,Metadata!$B$2:$B1000))),V$1,"""")"),"")</f>
        <v/>
      </c>
      <c r="W76" s="33" t="str">
        <f>IFERROR(__xludf.DUMMYFUNCTION("IF(IF(W$1="""","""",REGEXMATCH(LOWER($E76),XLOOKUP(W$1,Metadata!$A$2:$A1000,Metadata!$B$2:$B1000))),W$1,"""")"),"")</f>
        <v/>
      </c>
      <c r="X76" s="33" t="str">
        <f>IFERROR(__xludf.DUMMYFUNCTION("IF(IF(X$1="""","""",REGEXMATCH(LOWER($E76),XLOOKUP(X$1,Metadata!$A$2:$A1000,Metadata!$B$2:$B1000))),X$1,"""")"),"")</f>
        <v/>
      </c>
      <c r="Y76" s="33" t="str">
        <f>IFERROR(__xludf.DUMMYFUNCTION("IF(IF(Y$1="""","""",REGEXMATCH(LOWER($E76),XLOOKUP(Y$1,Metadata!$A$2:$A1000,Metadata!$B$2:$B1000))),Y$1,"""")"),"")</f>
        <v/>
      </c>
      <c r="Z76" s="33" t="str">
        <f>IFERROR(__xludf.DUMMYFUNCTION("IF(IF(Z$1="""","""",REGEXMATCH(LOWER($E76),XLOOKUP(Z$1,Metadata!$A$2:$A1000,Metadata!$B$2:$B1000))),Z$1,"""")"),"")</f>
        <v/>
      </c>
      <c r="AA76" s="33" t="str">
        <f>IFERROR(__xludf.DUMMYFUNCTION("IF(AA$1="""","""",REGEXMATCH(LOWER($E76),XLOOKUP(AA$1,Metadata!$A$2:$A1000,Metadata!$B$2:$B1000)))"),"")</f>
        <v/>
      </c>
    </row>
    <row r="77">
      <c r="A77" s="33" t="str">
        <f>IFERROR(__xludf.DUMMYFUNCTION("""COMPUTED_VALUE"""),"Auraborne Wyvern")</f>
        <v>Auraborne Wyvern</v>
      </c>
      <c r="B77" s="33" t="str">
        <f t="array" ref="B77:I77">XLOOKUP($A77,Cards!$A$2:$A1000,Cards!$B$2:$I1000,"")</f>
        <v>Elemental</v>
      </c>
      <c r="C77" s="33">
        <v>2.0</v>
      </c>
      <c r="D77" s="33" t="s">
        <v>380</v>
      </c>
      <c r="E77" s="33" t="s">
        <v>381</v>
      </c>
      <c r="F77" s="33" t="s">
        <v>382</v>
      </c>
      <c r="G77" s="33">
        <v>3.0</v>
      </c>
      <c r="H77" s="33" t="s">
        <v>368</v>
      </c>
      <c r="I77" s="33" t="s">
        <v>26</v>
      </c>
      <c r="J77" s="33">
        <f>IFERROR(__xludf.DUMMYFUNCTION("LEN(REGEXREPLACE(XLOOKUP($A77,Cards!$A$2:$A1000,Cards!$H$2:$H1000,""""),"",\s"",""""))"),3.0)</f>
        <v>3</v>
      </c>
      <c r="K77" s="33" t="str">
        <f t="shared" si="1"/>
        <v>               </v>
      </c>
      <c r="L77" s="33" t="str">
        <f>IFERROR(__xludf.DUMMYFUNCTION("IF(IF(L$1="""","""",REGEXMATCH(LOWER($E77),XLOOKUP(L$1,Metadata!$A$2:$A1000,Metadata!$B$2:$B1000))),L$1,"""")"),"")</f>
        <v/>
      </c>
      <c r="M77" s="33" t="str">
        <f>IFERROR(__xludf.DUMMYFUNCTION("IF(IF(M$1="""","""",REGEXMATCH(LOWER($E77),XLOOKUP(M$1,Metadata!$A$2:$A1000,Metadata!$B$2:$B1000))),M$1,"""")"),"")</f>
        <v/>
      </c>
      <c r="N77" s="33" t="str">
        <f>IFERROR(__xludf.DUMMYFUNCTION("IF(IF(N$1="""","""",REGEXMATCH(LOWER($E77),XLOOKUP(N$1,Metadata!$A$2:$A1000,Metadata!$B$2:$B1000))),N$1,"""")"),"")</f>
        <v/>
      </c>
      <c r="O77" s="33" t="str">
        <f>IFERROR(__xludf.DUMMYFUNCTION("IF(IF(O$1="""","""",REGEXMATCH(LOWER($E77),XLOOKUP(O$1,Metadata!$A$2:$A1000,Metadata!$B$2:$B1000))),O$1,"""")"),"")</f>
        <v/>
      </c>
      <c r="P77" s="33" t="str">
        <f>IFERROR(__xludf.DUMMYFUNCTION("IF(IF(P$1="""","""",REGEXMATCH(LOWER($E77),XLOOKUP(P$1,Metadata!$A$2:$A1000,Metadata!$B$2:$B1000))),P$1,"""")"),"")</f>
        <v/>
      </c>
      <c r="Q77" s="33" t="str">
        <f>IFERROR(__xludf.DUMMYFUNCTION("IF(IF(Q$1="""","""",REGEXMATCH(LOWER($E77),XLOOKUP(Q$1,Metadata!$A$2:$A1000,Metadata!$B$2:$B1000))),Q$1,"""")"),"")</f>
        <v/>
      </c>
      <c r="R77" s="33" t="str">
        <f>IFERROR(__xludf.DUMMYFUNCTION("IF(IF(R$1="""","""",REGEXMATCH(LOWER($E77),XLOOKUP(R$1,Metadata!$A$2:$A1000,Metadata!$B$2:$B1000))),R$1,"""")"),"")</f>
        <v/>
      </c>
      <c r="S77" s="33" t="str">
        <f>IFERROR(__xludf.DUMMYFUNCTION("IF(IF(S$1="""","""",REGEXMATCH(LOWER($E77),XLOOKUP(S$1,Metadata!$A$2:$A1000,Metadata!$B$2:$B1000))),S$1,"""")"),"")</f>
        <v/>
      </c>
      <c r="T77" s="33" t="str">
        <f>IFERROR(__xludf.DUMMYFUNCTION("IF(IF(T$1="""","""",REGEXMATCH(LOWER($E77),XLOOKUP(T$1,Metadata!$A$2:$A1000,Metadata!$B$2:$B1000))),T$1,"""")"),"")</f>
        <v/>
      </c>
      <c r="U77" s="33" t="str">
        <f>IFERROR(__xludf.DUMMYFUNCTION("IF(IF(U$1="""","""",REGEXMATCH(LOWER($E77),XLOOKUP(U$1,Metadata!$A$2:$A1000,Metadata!$B$2:$B1000))),U$1,"""")"),"")</f>
        <v/>
      </c>
      <c r="V77" s="33" t="str">
        <f>IFERROR(__xludf.DUMMYFUNCTION("IF(IF(V$1="""","""",REGEXMATCH(LOWER($E77),XLOOKUP(V$1,Metadata!$A$2:$A1000,Metadata!$B$2:$B1000))),V$1,"""")"),"")</f>
        <v/>
      </c>
      <c r="W77" s="33" t="str">
        <f>IFERROR(__xludf.DUMMYFUNCTION("IF(IF(W$1="""","""",REGEXMATCH(LOWER($E77),XLOOKUP(W$1,Metadata!$A$2:$A1000,Metadata!$B$2:$B1000))),W$1,"""")"),"")</f>
        <v/>
      </c>
      <c r="X77" s="33" t="str">
        <f>IFERROR(__xludf.DUMMYFUNCTION("IF(IF(X$1="""","""",REGEXMATCH(LOWER($E77),XLOOKUP(X$1,Metadata!$A$2:$A1000,Metadata!$B$2:$B1000))),X$1,"""")"),"")</f>
        <v/>
      </c>
      <c r="Y77" s="33" t="str">
        <f>IFERROR(__xludf.DUMMYFUNCTION("IF(IF(Y$1="""","""",REGEXMATCH(LOWER($E77),XLOOKUP(Y$1,Metadata!$A$2:$A1000,Metadata!$B$2:$B1000))),Y$1,"""")"),"")</f>
        <v/>
      </c>
      <c r="Z77" s="33" t="str">
        <f>IFERROR(__xludf.DUMMYFUNCTION("IF(IF(Z$1="""","""",REGEXMATCH(LOWER($E77),XLOOKUP(Z$1,Metadata!$A$2:$A1000,Metadata!$B$2:$B1000))),Z$1,"""")"),"")</f>
        <v/>
      </c>
      <c r="AA77" s="33" t="str">
        <f>IFERROR(__xludf.DUMMYFUNCTION("IF(AA$1="""","""",REGEXMATCH(LOWER($E77),XLOOKUP(AA$1,Metadata!$A$2:$A1000,Metadata!$B$2:$B1000)))"),"")</f>
        <v/>
      </c>
    </row>
    <row r="78">
      <c r="A78" s="33" t="str">
        <f>IFERROR(__xludf.DUMMYFUNCTION("""COMPUTED_VALUE"""),"Blazecharm Kitsune")</f>
        <v>Blazecharm Kitsune</v>
      </c>
      <c r="B78" s="33" t="str">
        <f t="array" ref="B78:I78">XLOOKUP($A78,Cards!$A$2:$A1000,Cards!$B$2:$I1000,"")</f>
        <v>Elemental</v>
      </c>
      <c r="C78" s="33">
        <v>2.0</v>
      </c>
      <c r="D78" s="33" t="s">
        <v>217</v>
      </c>
      <c r="E78" s="33" t="s">
        <v>384</v>
      </c>
      <c r="F78" s="33" t="s">
        <v>385</v>
      </c>
      <c r="G78" s="33">
        <v>2.0</v>
      </c>
      <c r="H78" s="33" t="s">
        <v>386</v>
      </c>
      <c r="I78" s="33" t="s">
        <v>32</v>
      </c>
      <c r="J78" s="33">
        <f>IFERROR(__xludf.DUMMYFUNCTION("LEN(REGEXREPLACE(XLOOKUP($A78,Cards!$A$2:$A1000,Cards!$H$2:$H1000,""""),"",\s"",""""))"),1.0)</f>
        <v>1</v>
      </c>
      <c r="K78" s="33" t="str">
        <f t="shared" si="1"/>
        <v>       Control  Aggro  Move Ambush   </v>
      </c>
      <c r="L78" s="33" t="str">
        <f>IFERROR(__xludf.DUMMYFUNCTION("IF(IF(L$1="""","""",REGEXMATCH(LOWER($E78),XLOOKUP(L$1,Metadata!$A$2:$A1000,Metadata!$B$2:$B1000))),L$1,"""")"),"")</f>
        <v/>
      </c>
      <c r="M78" s="33" t="str">
        <f>IFERROR(__xludf.DUMMYFUNCTION("IF(IF(M$1="""","""",REGEXMATCH(LOWER($E78),XLOOKUP(M$1,Metadata!$A$2:$A1000,Metadata!$B$2:$B1000))),M$1,"""")"),"")</f>
        <v/>
      </c>
      <c r="N78" s="33" t="str">
        <f>IFERROR(__xludf.DUMMYFUNCTION("IF(IF(N$1="""","""",REGEXMATCH(LOWER($E78),XLOOKUP(N$1,Metadata!$A$2:$A1000,Metadata!$B$2:$B1000))),N$1,"""")"),"")</f>
        <v/>
      </c>
      <c r="O78" s="33" t="str">
        <f>IFERROR(__xludf.DUMMYFUNCTION("IF(IF(O$1="""","""",REGEXMATCH(LOWER($E78),XLOOKUP(O$1,Metadata!$A$2:$A1000,Metadata!$B$2:$B1000))),O$1,"""")"),"")</f>
        <v/>
      </c>
      <c r="P78" s="33" t="str">
        <f>IFERROR(__xludf.DUMMYFUNCTION("IF(IF(P$1="""","""",REGEXMATCH(LOWER($E78),XLOOKUP(P$1,Metadata!$A$2:$A1000,Metadata!$B$2:$B1000))),P$1,"""")"),"")</f>
        <v/>
      </c>
      <c r="Q78" s="33" t="str">
        <f>IFERROR(__xludf.DUMMYFUNCTION("IF(IF(Q$1="""","""",REGEXMATCH(LOWER($E78),XLOOKUP(Q$1,Metadata!$A$2:$A1000,Metadata!$B$2:$B1000))),Q$1,"""")"),"")</f>
        <v/>
      </c>
      <c r="R78" s="33" t="str">
        <f>IFERROR(__xludf.DUMMYFUNCTION("IF(IF(R$1="""","""",REGEXMATCH(LOWER($E78),XLOOKUP(R$1,Metadata!$A$2:$A1000,Metadata!$B$2:$B1000))),R$1,"""")"),"")</f>
        <v/>
      </c>
      <c r="S78" s="33" t="str">
        <f>IFERROR(__xludf.DUMMYFUNCTION("IF(IF(S$1="""","""",REGEXMATCH(LOWER($E78),XLOOKUP(S$1,Metadata!$A$2:$A1000,Metadata!$B$2:$B1000))),S$1,"""")"),"Control")</f>
        <v>Control</v>
      </c>
      <c r="T78" s="33" t="str">
        <f>IFERROR(__xludf.DUMMYFUNCTION("IF(IF(T$1="""","""",REGEXMATCH(LOWER($E78),XLOOKUP(T$1,Metadata!$A$2:$A1000,Metadata!$B$2:$B1000))),T$1,"""")"),"")</f>
        <v/>
      </c>
      <c r="U78" s="33" t="str">
        <f>IFERROR(__xludf.DUMMYFUNCTION("IF(IF(U$1="""","""",REGEXMATCH(LOWER($E78),XLOOKUP(U$1,Metadata!$A$2:$A1000,Metadata!$B$2:$B1000))),U$1,"""")"),"Aggro")</f>
        <v>Aggro</v>
      </c>
      <c r="V78" s="33" t="str">
        <f>IFERROR(__xludf.DUMMYFUNCTION("IF(IF(V$1="""","""",REGEXMATCH(LOWER($E78),XLOOKUP(V$1,Metadata!$A$2:$A1000,Metadata!$B$2:$B1000))),V$1,"""")"),"")</f>
        <v/>
      </c>
      <c r="W78" s="33" t="str">
        <f>IFERROR(__xludf.DUMMYFUNCTION("IF(IF(W$1="""","""",REGEXMATCH(LOWER($E78),XLOOKUP(W$1,Metadata!$A$2:$A1000,Metadata!$B$2:$B1000))),W$1,"""")"),"Move")</f>
        <v>Move</v>
      </c>
      <c r="X78" s="33" t="str">
        <f>IFERROR(__xludf.DUMMYFUNCTION("IF(IF(X$1="""","""",REGEXMATCH(LOWER($E78),XLOOKUP(X$1,Metadata!$A$2:$A1000,Metadata!$B$2:$B1000))),X$1,"""")"),"Ambush")</f>
        <v>Ambush</v>
      </c>
      <c r="Y78" s="33" t="str">
        <f>IFERROR(__xludf.DUMMYFUNCTION("IF(IF(Y$1="""","""",REGEXMATCH(LOWER($E78),XLOOKUP(Y$1,Metadata!$A$2:$A1000,Metadata!$B$2:$B1000))),Y$1,"""")"),"")</f>
        <v/>
      </c>
      <c r="Z78" s="33" t="str">
        <f>IFERROR(__xludf.DUMMYFUNCTION("IF(IF(Z$1="""","""",REGEXMATCH(LOWER($E78),XLOOKUP(Z$1,Metadata!$A$2:$A1000,Metadata!$B$2:$B1000))),Z$1,"""")"),"")</f>
        <v/>
      </c>
      <c r="AA78" s="33" t="str">
        <f>IFERROR(__xludf.DUMMYFUNCTION("IF(AA$1="""","""",REGEXMATCH(LOWER($E78),XLOOKUP(AA$1,Metadata!$A$2:$A1000,Metadata!$B$2:$B1000)))"),"")</f>
        <v/>
      </c>
    </row>
    <row r="79">
      <c r="A79" s="33" t="str">
        <f>IFERROR(__xludf.DUMMYFUNCTION("""COMPUTED_VALUE"""),"Glowing Gearhulk")</f>
        <v>Glowing Gearhulk</v>
      </c>
      <c r="B79" s="33" t="str">
        <f t="array" ref="B79:I79">XLOOKUP($A79,Cards!$A$2:$A1000,Cards!$B$2:$I1000,"")</f>
        <v>Divine Mortal</v>
      </c>
      <c r="C79" s="33">
        <v>1.0</v>
      </c>
      <c r="D79" s="33" t="s">
        <v>229</v>
      </c>
      <c r="E79" s="33" t="s">
        <v>388</v>
      </c>
      <c r="F79" s="33" t="s">
        <v>389</v>
      </c>
      <c r="G79" s="33">
        <v>4.0</v>
      </c>
      <c r="H79" s="33" t="s">
        <v>390</v>
      </c>
      <c r="I79" s="33" t="s">
        <v>32</v>
      </c>
      <c r="J79" s="33">
        <f>IFERROR(__xludf.DUMMYFUNCTION("LEN(REGEXREPLACE(XLOOKUP($A79,Cards!$A$2:$A1000,Cards!$H$2:$H1000,""""),"",\s"",""""))"),5.0)</f>
        <v>5</v>
      </c>
      <c r="K79" s="33" t="str">
        <f t="shared" si="1"/>
        <v>      Ramp   Aggro      </v>
      </c>
      <c r="L79" s="33" t="str">
        <f>IFERROR(__xludf.DUMMYFUNCTION("IF(IF(L$1="""","""",REGEXMATCH(LOWER($E79),XLOOKUP(L$1,Metadata!$A$2:$A1000,Metadata!$B$2:$B1000))),L$1,"""")"),"")</f>
        <v/>
      </c>
      <c r="M79" s="33" t="str">
        <f>IFERROR(__xludf.DUMMYFUNCTION("IF(IF(M$1="""","""",REGEXMATCH(LOWER($E79),XLOOKUP(M$1,Metadata!$A$2:$A1000,Metadata!$B$2:$B1000))),M$1,"""")"),"")</f>
        <v/>
      </c>
      <c r="N79" s="33" t="str">
        <f>IFERROR(__xludf.DUMMYFUNCTION("IF(IF(N$1="""","""",REGEXMATCH(LOWER($E79),XLOOKUP(N$1,Metadata!$A$2:$A1000,Metadata!$B$2:$B1000))),N$1,"""")"),"")</f>
        <v/>
      </c>
      <c r="O79" s="33" t="str">
        <f>IFERROR(__xludf.DUMMYFUNCTION("IF(IF(O$1="""","""",REGEXMATCH(LOWER($E79),XLOOKUP(O$1,Metadata!$A$2:$A1000,Metadata!$B$2:$B1000))),O$1,"""")"),"")</f>
        <v/>
      </c>
      <c r="P79" s="33" t="str">
        <f>IFERROR(__xludf.DUMMYFUNCTION("IF(IF(P$1="""","""",REGEXMATCH(LOWER($E79),XLOOKUP(P$1,Metadata!$A$2:$A1000,Metadata!$B$2:$B1000))),P$1,"""")"),"")</f>
        <v/>
      </c>
      <c r="Q79" s="33" t="str">
        <f>IFERROR(__xludf.DUMMYFUNCTION("IF(IF(Q$1="""","""",REGEXMATCH(LOWER($E79),XLOOKUP(Q$1,Metadata!$A$2:$A1000,Metadata!$B$2:$B1000))),Q$1,"""")"),"")</f>
        <v/>
      </c>
      <c r="R79" s="33" t="str">
        <f>IFERROR(__xludf.DUMMYFUNCTION("IF(IF(R$1="""","""",REGEXMATCH(LOWER($E79),XLOOKUP(R$1,Metadata!$A$2:$A1000,Metadata!$B$2:$B1000))),R$1,"""")"),"Ramp")</f>
        <v>Ramp</v>
      </c>
      <c r="S79" s="33" t="str">
        <f>IFERROR(__xludf.DUMMYFUNCTION("IF(IF(S$1="""","""",REGEXMATCH(LOWER($E79),XLOOKUP(S$1,Metadata!$A$2:$A1000,Metadata!$B$2:$B1000))),S$1,"""")"),"")</f>
        <v/>
      </c>
      <c r="T79" s="33" t="str">
        <f>IFERROR(__xludf.DUMMYFUNCTION("IF(IF(T$1="""","""",REGEXMATCH(LOWER($E79),XLOOKUP(T$1,Metadata!$A$2:$A1000,Metadata!$B$2:$B1000))),T$1,"""")"),"")</f>
        <v/>
      </c>
      <c r="U79" s="33" t="str">
        <f>IFERROR(__xludf.DUMMYFUNCTION("IF(IF(U$1="""","""",REGEXMATCH(LOWER($E79),XLOOKUP(U$1,Metadata!$A$2:$A1000,Metadata!$B$2:$B1000))),U$1,"""")"),"Aggro")</f>
        <v>Aggro</v>
      </c>
      <c r="V79" s="33" t="str">
        <f>IFERROR(__xludf.DUMMYFUNCTION("IF(IF(V$1="""","""",REGEXMATCH(LOWER($E79),XLOOKUP(V$1,Metadata!$A$2:$A1000,Metadata!$B$2:$B1000))),V$1,"""")"),"")</f>
        <v/>
      </c>
      <c r="W79" s="33" t="str">
        <f>IFERROR(__xludf.DUMMYFUNCTION("IF(IF(W$1="""","""",REGEXMATCH(LOWER($E79),XLOOKUP(W$1,Metadata!$A$2:$A1000,Metadata!$B$2:$B1000))),W$1,"""")"),"")</f>
        <v/>
      </c>
      <c r="X79" s="33" t="str">
        <f>IFERROR(__xludf.DUMMYFUNCTION("IF(IF(X$1="""","""",REGEXMATCH(LOWER($E79),XLOOKUP(X$1,Metadata!$A$2:$A1000,Metadata!$B$2:$B1000))),X$1,"""")"),"")</f>
        <v/>
      </c>
      <c r="Y79" s="33" t="str">
        <f>IFERROR(__xludf.DUMMYFUNCTION("IF(IF(Y$1="""","""",REGEXMATCH(LOWER($E79),XLOOKUP(Y$1,Metadata!$A$2:$A1000,Metadata!$B$2:$B1000))),Y$1,"""")"),"")</f>
        <v/>
      </c>
      <c r="Z79" s="33" t="str">
        <f>IFERROR(__xludf.DUMMYFUNCTION("IF(IF(Z$1="""","""",REGEXMATCH(LOWER($E79),XLOOKUP(Z$1,Metadata!$A$2:$A1000,Metadata!$B$2:$B1000))),Z$1,"""")"),"")</f>
        <v/>
      </c>
      <c r="AA79" s="33" t="str">
        <f>IFERROR(__xludf.DUMMYFUNCTION("IF(AA$1="""","""",REGEXMATCH(LOWER($E79),XLOOKUP(AA$1,Metadata!$A$2:$A1000,Metadata!$B$2:$B1000)))"),"")</f>
        <v/>
      </c>
    </row>
    <row r="80">
      <c r="A80" s="33" t="str">
        <f>IFERROR(__xludf.DUMMYFUNCTION("""COMPUTED_VALUE"""),"Boiling Blood Berserker")</f>
        <v>Boiling Blood Berserker</v>
      </c>
      <c r="B80" s="33" t="str">
        <f t="array" ref="B80:I80">XLOOKUP($A80,Cards!$A$2:$A1000,Cards!$B$2:$I1000,"")</f>
        <v>Elemental</v>
      </c>
      <c r="C80" s="33">
        <v>2.0</v>
      </c>
      <c r="D80" s="33" t="s">
        <v>394</v>
      </c>
      <c r="E80" s="33" t="s">
        <v>395</v>
      </c>
      <c r="F80" s="33" t="s">
        <v>396</v>
      </c>
      <c r="G80" s="33">
        <v>3.0</v>
      </c>
      <c r="H80" s="33" t="s">
        <v>368</v>
      </c>
      <c r="I80" s="33" t="s">
        <v>26</v>
      </c>
      <c r="J80" s="33">
        <f>IFERROR(__xludf.DUMMYFUNCTION("LEN(REGEXREPLACE(XLOOKUP($A80,Cards!$A$2:$A1000,Cards!$H$2:$H1000,""""),"",\s"",""""))"),3.0)</f>
        <v>3</v>
      </c>
      <c r="K80" s="33" t="str">
        <f t="shared" si="1"/>
        <v>               </v>
      </c>
      <c r="L80" s="33" t="str">
        <f>IFERROR(__xludf.DUMMYFUNCTION("IF(IF(L$1="""","""",REGEXMATCH(LOWER($E80),XLOOKUP(L$1,Metadata!$A$2:$A1000,Metadata!$B$2:$B1000))),L$1,"""")"),"")</f>
        <v/>
      </c>
      <c r="M80" s="33" t="str">
        <f>IFERROR(__xludf.DUMMYFUNCTION("IF(IF(M$1="""","""",REGEXMATCH(LOWER($E80),XLOOKUP(M$1,Metadata!$A$2:$A1000,Metadata!$B$2:$B1000))),M$1,"""")"),"")</f>
        <v/>
      </c>
      <c r="N80" s="33" t="str">
        <f>IFERROR(__xludf.DUMMYFUNCTION("IF(IF(N$1="""","""",REGEXMATCH(LOWER($E80),XLOOKUP(N$1,Metadata!$A$2:$A1000,Metadata!$B$2:$B1000))),N$1,"""")"),"")</f>
        <v/>
      </c>
      <c r="O80" s="33" t="str">
        <f>IFERROR(__xludf.DUMMYFUNCTION("IF(IF(O$1="""","""",REGEXMATCH(LOWER($E80),XLOOKUP(O$1,Metadata!$A$2:$A1000,Metadata!$B$2:$B1000))),O$1,"""")"),"")</f>
        <v/>
      </c>
      <c r="P80" s="33" t="str">
        <f>IFERROR(__xludf.DUMMYFUNCTION("IF(IF(P$1="""","""",REGEXMATCH(LOWER($E80),XLOOKUP(P$1,Metadata!$A$2:$A1000,Metadata!$B$2:$B1000))),P$1,"""")"),"")</f>
        <v/>
      </c>
      <c r="Q80" s="33" t="str">
        <f>IFERROR(__xludf.DUMMYFUNCTION("IF(IF(Q$1="""","""",REGEXMATCH(LOWER($E80),XLOOKUP(Q$1,Metadata!$A$2:$A1000,Metadata!$B$2:$B1000))),Q$1,"""")"),"")</f>
        <v/>
      </c>
      <c r="R80" s="33" t="str">
        <f>IFERROR(__xludf.DUMMYFUNCTION("IF(IF(R$1="""","""",REGEXMATCH(LOWER($E80),XLOOKUP(R$1,Metadata!$A$2:$A1000,Metadata!$B$2:$B1000))),R$1,"""")"),"")</f>
        <v/>
      </c>
      <c r="S80" s="33" t="str">
        <f>IFERROR(__xludf.DUMMYFUNCTION("IF(IF(S$1="""","""",REGEXMATCH(LOWER($E80),XLOOKUP(S$1,Metadata!$A$2:$A1000,Metadata!$B$2:$B1000))),S$1,"""")"),"")</f>
        <v/>
      </c>
      <c r="T80" s="33" t="str">
        <f>IFERROR(__xludf.DUMMYFUNCTION("IF(IF(T$1="""","""",REGEXMATCH(LOWER($E80),XLOOKUP(T$1,Metadata!$A$2:$A1000,Metadata!$B$2:$B1000))),T$1,"""")"),"")</f>
        <v/>
      </c>
      <c r="U80" s="33" t="str">
        <f>IFERROR(__xludf.DUMMYFUNCTION("IF(IF(U$1="""","""",REGEXMATCH(LOWER($E80),XLOOKUP(U$1,Metadata!$A$2:$A1000,Metadata!$B$2:$B1000))),U$1,"""")"),"")</f>
        <v/>
      </c>
      <c r="V80" s="33" t="str">
        <f>IFERROR(__xludf.DUMMYFUNCTION("IF(IF(V$1="""","""",REGEXMATCH(LOWER($E80),XLOOKUP(V$1,Metadata!$A$2:$A1000,Metadata!$B$2:$B1000))),V$1,"""")"),"")</f>
        <v/>
      </c>
      <c r="W80" s="33" t="str">
        <f>IFERROR(__xludf.DUMMYFUNCTION("IF(IF(W$1="""","""",REGEXMATCH(LOWER($E80),XLOOKUP(W$1,Metadata!$A$2:$A1000,Metadata!$B$2:$B1000))),W$1,"""")"),"")</f>
        <v/>
      </c>
      <c r="X80" s="33" t="str">
        <f>IFERROR(__xludf.DUMMYFUNCTION("IF(IF(X$1="""","""",REGEXMATCH(LOWER($E80),XLOOKUP(X$1,Metadata!$A$2:$A1000,Metadata!$B$2:$B1000))),X$1,"""")"),"")</f>
        <v/>
      </c>
      <c r="Y80" s="33" t="str">
        <f>IFERROR(__xludf.DUMMYFUNCTION("IF(IF(Y$1="""","""",REGEXMATCH(LOWER($E80),XLOOKUP(Y$1,Metadata!$A$2:$A1000,Metadata!$B$2:$B1000))),Y$1,"""")"),"")</f>
        <v/>
      </c>
      <c r="Z80" s="33" t="str">
        <f>IFERROR(__xludf.DUMMYFUNCTION("IF(IF(Z$1="""","""",REGEXMATCH(LOWER($E80),XLOOKUP(Z$1,Metadata!$A$2:$A1000,Metadata!$B$2:$B1000))),Z$1,"""")"),"")</f>
        <v/>
      </c>
      <c r="AA80" s="33" t="str">
        <f>IFERROR(__xludf.DUMMYFUNCTION("IF(AA$1="""","""",REGEXMATCH(LOWER($E80),XLOOKUP(AA$1,Metadata!$A$2:$A1000,Metadata!$B$2:$B1000)))"),"")</f>
        <v/>
      </c>
    </row>
    <row r="81">
      <c r="A81" s="33" t="str">
        <f>IFERROR(__xludf.DUMMYFUNCTION("""COMPUTED_VALUE"""),"Goat Oracle")</f>
        <v>Goat Oracle</v>
      </c>
      <c r="B81" s="33" t="str">
        <f t="array" ref="B81:I81">XLOOKUP($A81,Cards!$A$2:$A1000,Cards!$B$2:$I1000,"")</f>
        <v>Divine Nature</v>
      </c>
      <c r="C81" s="33">
        <v>1.0</v>
      </c>
      <c r="D81" s="33" t="s">
        <v>398</v>
      </c>
      <c r="E81" s="33" t="s">
        <v>399</v>
      </c>
      <c r="F81" s="33" t="s">
        <v>400</v>
      </c>
      <c r="G81" s="33">
        <v>3.0</v>
      </c>
      <c r="H81" s="33" t="s">
        <v>401</v>
      </c>
      <c r="I81" s="33" t="s">
        <v>62</v>
      </c>
      <c r="J81" s="33">
        <f>IFERROR(__xludf.DUMMYFUNCTION("LEN(REGEXREPLACE(XLOOKUP($A81,Cards!$A$2:$A1000,Cards!$H$2:$H1000,""""),"",\s"",""""))"),4.0)</f>
        <v>4</v>
      </c>
      <c r="K81" s="33" t="str">
        <f t="shared" si="1"/>
        <v>               </v>
      </c>
      <c r="L81" s="33" t="str">
        <f>IFERROR(__xludf.DUMMYFUNCTION("IF(IF(L$1="""","""",REGEXMATCH(LOWER($E81),XLOOKUP(L$1,Metadata!$A$2:$A1000,Metadata!$B$2:$B1000))),L$1,"""")"),"")</f>
        <v/>
      </c>
      <c r="M81" s="33" t="str">
        <f>IFERROR(__xludf.DUMMYFUNCTION("IF(IF(M$1="""","""",REGEXMATCH(LOWER($E81),XLOOKUP(M$1,Metadata!$A$2:$A1000,Metadata!$B$2:$B1000))),M$1,"""")"),"")</f>
        <v/>
      </c>
      <c r="N81" s="33" t="str">
        <f>IFERROR(__xludf.DUMMYFUNCTION("IF(IF(N$1="""","""",REGEXMATCH(LOWER($E81),XLOOKUP(N$1,Metadata!$A$2:$A1000,Metadata!$B$2:$B1000))),N$1,"""")"),"")</f>
        <v/>
      </c>
      <c r="O81" s="33" t="str">
        <f>IFERROR(__xludf.DUMMYFUNCTION("IF(IF(O$1="""","""",REGEXMATCH(LOWER($E81),XLOOKUP(O$1,Metadata!$A$2:$A1000,Metadata!$B$2:$B1000))),O$1,"""")"),"")</f>
        <v/>
      </c>
      <c r="P81" s="33" t="str">
        <f>IFERROR(__xludf.DUMMYFUNCTION("IF(IF(P$1="""","""",REGEXMATCH(LOWER($E81),XLOOKUP(P$1,Metadata!$A$2:$A1000,Metadata!$B$2:$B1000))),P$1,"""")"),"")</f>
        <v/>
      </c>
      <c r="Q81" s="33" t="str">
        <f>IFERROR(__xludf.DUMMYFUNCTION("IF(IF(Q$1="""","""",REGEXMATCH(LOWER($E81),XLOOKUP(Q$1,Metadata!$A$2:$A1000,Metadata!$B$2:$B1000))),Q$1,"""")"),"")</f>
        <v/>
      </c>
      <c r="R81" s="33" t="str">
        <f>IFERROR(__xludf.DUMMYFUNCTION("IF(IF(R$1="""","""",REGEXMATCH(LOWER($E81),XLOOKUP(R$1,Metadata!$A$2:$A1000,Metadata!$B$2:$B1000))),R$1,"""")"),"")</f>
        <v/>
      </c>
      <c r="S81" s="33" t="str">
        <f>IFERROR(__xludf.DUMMYFUNCTION("IF(IF(S$1="""","""",REGEXMATCH(LOWER($E81),XLOOKUP(S$1,Metadata!$A$2:$A1000,Metadata!$B$2:$B1000))),S$1,"""")"),"")</f>
        <v/>
      </c>
      <c r="T81" s="33" t="str">
        <f>IFERROR(__xludf.DUMMYFUNCTION("IF(IF(T$1="""","""",REGEXMATCH(LOWER($E81),XLOOKUP(T$1,Metadata!$A$2:$A1000,Metadata!$B$2:$B1000))),T$1,"""")"),"")</f>
        <v/>
      </c>
      <c r="U81" s="33" t="str">
        <f>IFERROR(__xludf.DUMMYFUNCTION("IF(IF(U$1="""","""",REGEXMATCH(LOWER($E81),XLOOKUP(U$1,Metadata!$A$2:$A1000,Metadata!$B$2:$B1000))),U$1,"""")"),"")</f>
        <v/>
      </c>
      <c r="V81" s="33" t="str">
        <f>IFERROR(__xludf.DUMMYFUNCTION("IF(IF(V$1="""","""",REGEXMATCH(LOWER($E81),XLOOKUP(V$1,Metadata!$A$2:$A1000,Metadata!$B$2:$B1000))),V$1,"""")"),"")</f>
        <v/>
      </c>
      <c r="W81" s="33" t="str">
        <f>IFERROR(__xludf.DUMMYFUNCTION("IF(IF(W$1="""","""",REGEXMATCH(LOWER($E81),XLOOKUP(W$1,Metadata!$A$2:$A1000,Metadata!$B$2:$B1000))),W$1,"""")"),"")</f>
        <v/>
      </c>
      <c r="X81" s="33" t="str">
        <f>IFERROR(__xludf.DUMMYFUNCTION("IF(IF(X$1="""","""",REGEXMATCH(LOWER($E81),XLOOKUP(X$1,Metadata!$A$2:$A1000,Metadata!$B$2:$B1000))),X$1,"""")"),"")</f>
        <v/>
      </c>
      <c r="Y81" s="33" t="str">
        <f>IFERROR(__xludf.DUMMYFUNCTION("IF(IF(Y$1="""","""",REGEXMATCH(LOWER($E81),XLOOKUP(Y$1,Metadata!$A$2:$A1000,Metadata!$B$2:$B1000))),Y$1,"""")"),"")</f>
        <v/>
      </c>
      <c r="Z81" s="33" t="str">
        <f>IFERROR(__xludf.DUMMYFUNCTION("IF(IF(Z$1="""","""",REGEXMATCH(LOWER($E81),XLOOKUP(Z$1,Metadata!$A$2:$A1000,Metadata!$B$2:$B1000))),Z$1,"""")"),"")</f>
        <v/>
      </c>
      <c r="AA81" s="33" t="str">
        <f>IFERROR(__xludf.DUMMYFUNCTION("IF(AA$1="""","""",REGEXMATCH(LOWER($E81),XLOOKUP(AA$1,Metadata!$A$2:$A1000,Metadata!$B$2:$B1000)))"),"")</f>
        <v/>
      </c>
    </row>
    <row r="82">
      <c r="A82" s="33" t="str">
        <f>IFERROR(__xludf.DUMMYFUNCTION("""COMPUTED_VALUE"""),"Tranquil Herd Sagehorn")</f>
        <v>Tranquil Herd Sagehorn</v>
      </c>
      <c r="B82" s="33" t="str">
        <f t="array" ref="B82:I82">XLOOKUP($A82,Cards!$A$2:$A1000,Cards!$B$2:$I1000,"")</f>
        <v>Divine Nature</v>
      </c>
      <c r="C82" s="33">
        <v>1.0</v>
      </c>
      <c r="D82" s="33" t="s">
        <v>405</v>
      </c>
      <c r="E82" s="33"/>
      <c r="F82" s="33" t="s">
        <v>406</v>
      </c>
      <c r="G82" s="33">
        <v>2.0</v>
      </c>
      <c r="H82" s="33" t="s">
        <v>407</v>
      </c>
      <c r="I82" s="33" t="s">
        <v>26</v>
      </c>
      <c r="J82" s="33">
        <f>IFERROR(__xludf.DUMMYFUNCTION("LEN(REGEXREPLACE(XLOOKUP($A82,Cards!$A$2:$A1000,Cards!$H$2:$H1000,""""),"",\s"",""""))"),2.0)</f>
        <v>2</v>
      </c>
      <c r="K82" s="33" t="str">
        <f t="shared" si="1"/>
        <v>               </v>
      </c>
      <c r="L82" s="33" t="str">
        <f>IFERROR(__xludf.DUMMYFUNCTION("IF(IF(L$1="""","""",REGEXMATCH(LOWER($E82),XLOOKUP(L$1,Metadata!$A$2:$A1000,Metadata!$B$2:$B1000))),L$1,"""")"),"")</f>
        <v/>
      </c>
      <c r="M82" s="33" t="str">
        <f>IFERROR(__xludf.DUMMYFUNCTION("IF(IF(M$1="""","""",REGEXMATCH(LOWER($E82),XLOOKUP(M$1,Metadata!$A$2:$A1000,Metadata!$B$2:$B1000))),M$1,"""")"),"")</f>
        <v/>
      </c>
      <c r="N82" s="33" t="str">
        <f>IFERROR(__xludf.DUMMYFUNCTION("IF(IF(N$1="""","""",REGEXMATCH(LOWER($E82),XLOOKUP(N$1,Metadata!$A$2:$A1000,Metadata!$B$2:$B1000))),N$1,"""")"),"")</f>
        <v/>
      </c>
      <c r="O82" s="33" t="str">
        <f>IFERROR(__xludf.DUMMYFUNCTION("IF(IF(O$1="""","""",REGEXMATCH(LOWER($E82),XLOOKUP(O$1,Metadata!$A$2:$A1000,Metadata!$B$2:$B1000))),O$1,"""")"),"")</f>
        <v/>
      </c>
      <c r="P82" s="33" t="str">
        <f>IFERROR(__xludf.DUMMYFUNCTION("IF(IF(P$1="""","""",REGEXMATCH(LOWER($E82),XLOOKUP(P$1,Metadata!$A$2:$A1000,Metadata!$B$2:$B1000))),P$1,"""")"),"")</f>
        <v/>
      </c>
      <c r="Q82" s="33" t="str">
        <f>IFERROR(__xludf.DUMMYFUNCTION("IF(IF(Q$1="""","""",REGEXMATCH(LOWER($E82),XLOOKUP(Q$1,Metadata!$A$2:$A1000,Metadata!$B$2:$B1000))),Q$1,"""")"),"")</f>
        <v/>
      </c>
      <c r="R82" s="33" t="str">
        <f>IFERROR(__xludf.DUMMYFUNCTION("IF(IF(R$1="""","""",REGEXMATCH(LOWER($E82),XLOOKUP(R$1,Metadata!$A$2:$A1000,Metadata!$B$2:$B1000))),R$1,"""")"),"")</f>
        <v/>
      </c>
      <c r="S82" s="33" t="str">
        <f>IFERROR(__xludf.DUMMYFUNCTION("IF(IF(S$1="""","""",REGEXMATCH(LOWER($E82),XLOOKUP(S$1,Metadata!$A$2:$A1000,Metadata!$B$2:$B1000))),S$1,"""")"),"")</f>
        <v/>
      </c>
      <c r="T82" s="33" t="str">
        <f>IFERROR(__xludf.DUMMYFUNCTION("IF(IF(T$1="""","""",REGEXMATCH(LOWER($E82),XLOOKUP(T$1,Metadata!$A$2:$A1000,Metadata!$B$2:$B1000))),T$1,"""")"),"")</f>
        <v/>
      </c>
      <c r="U82" s="33" t="str">
        <f>IFERROR(__xludf.DUMMYFUNCTION("IF(IF(U$1="""","""",REGEXMATCH(LOWER($E82),XLOOKUP(U$1,Metadata!$A$2:$A1000,Metadata!$B$2:$B1000))),U$1,"""")"),"")</f>
        <v/>
      </c>
      <c r="V82" s="33" t="str">
        <f>IFERROR(__xludf.DUMMYFUNCTION("IF(IF(V$1="""","""",REGEXMATCH(LOWER($E82),XLOOKUP(V$1,Metadata!$A$2:$A1000,Metadata!$B$2:$B1000))),V$1,"""")"),"")</f>
        <v/>
      </c>
      <c r="W82" s="33" t="str">
        <f>IFERROR(__xludf.DUMMYFUNCTION("IF(IF(W$1="""","""",REGEXMATCH(LOWER($E82),XLOOKUP(W$1,Metadata!$A$2:$A1000,Metadata!$B$2:$B1000))),W$1,"""")"),"")</f>
        <v/>
      </c>
      <c r="X82" s="33" t="str">
        <f>IFERROR(__xludf.DUMMYFUNCTION("IF(IF(X$1="""","""",REGEXMATCH(LOWER($E82),XLOOKUP(X$1,Metadata!$A$2:$A1000,Metadata!$B$2:$B1000))),X$1,"""")"),"")</f>
        <v/>
      </c>
      <c r="Y82" s="33" t="str">
        <f>IFERROR(__xludf.DUMMYFUNCTION("IF(IF(Y$1="""","""",REGEXMATCH(LOWER($E82),XLOOKUP(Y$1,Metadata!$A$2:$A1000,Metadata!$B$2:$B1000))),Y$1,"""")"),"")</f>
        <v/>
      </c>
      <c r="Z82" s="33" t="str">
        <f>IFERROR(__xludf.DUMMYFUNCTION("IF(IF(Z$1="""","""",REGEXMATCH(LOWER($E82),XLOOKUP(Z$1,Metadata!$A$2:$A1000,Metadata!$B$2:$B1000))),Z$1,"""")"),"")</f>
        <v/>
      </c>
      <c r="AA82" s="33" t="str">
        <f>IFERROR(__xludf.DUMMYFUNCTION("IF(AA$1="""","""",REGEXMATCH(LOWER($E82),XLOOKUP(AA$1,Metadata!$A$2:$A1000,Metadata!$B$2:$B1000)))"),"")</f>
        <v/>
      </c>
    </row>
    <row r="83">
      <c r="A83" s="33" t="str">
        <f>IFERROR(__xludf.DUMMYFUNCTION("""COMPUTED_VALUE"""),"Sunblessed Crocodile")</f>
        <v>Sunblessed Crocodile</v>
      </c>
      <c r="B83" s="33" t="str">
        <f t="array" ref="B83:I83">XLOOKUP($A83,Cards!$A$2:$A1000,Cards!$B$2:$I1000,"")</f>
        <v>Divine Nature</v>
      </c>
      <c r="C83" s="33">
        <v>1.0</v>
      </c>
      <c r="D83" s="33" t="s">
        <v>413</v>
      </c>
      <c r="E83" s="33" t="s">
        <v>414</v>
      </c>
      <c r="F83" s="33" t="s">
        <v>415</v>
      </c>
      <c r="G83" s="33">
        <v>0.0</v>
      </c>
      <c r="H83" s="33" t="s">
        <v>416</v>
      </c>
      <c r="I83" s="33" t="s">
        <v>32</v>
      </c>
      <c r="J83" s="33">
        <f>IFERROR(__xludf.DUMMYFUNCTION("LEN(REGEXREPLACE(XLOOKUP($A83,Cards!$A$2:$A1000,Cards!$H$2:$H1000,""""),"",\s"",""""))"),5.0)</f>
        <v>5</v>
      </c>
      <c r="K83" s="33" t="str">
        <f t="shared" si="1"/>
        <v>      Ramp         </v>
      </c>
      <c r="L83" s="33" t="str">
        <f>IFERROR(__xludf.DUMMYFUNCTION("IF(IF(L$1="""","""",REGEXMATCH(LOWER($E83),XLOOKUP(L$1,Metadata!$A$2:$A1000,Metadata!$B$2:$B1000))),L$1,"""")"),"")</f>
        <v/>
      </c>
      <c r="M83" s="33" t="str">
        <f>IFERROR(__xludf.DUMMYFUNCTION("IF(IF(M$1="""","""",REGEXMATCH(LOWER($E83),XLOOKUP(M$1,Metadata!$A$2:$A1000,Metadata!$B$2:$B1000))),M$1,"""")"),"")</f>
        <v/>
      </c>
      <c r="N83" s="33" t="str">
        <f>IFERROR(__xludf.DUMMYFUNCTION("IF(IF(N$1="""","""",REGEXMATCH(LOWER($E83),XLOOKUP(N$1,Metadata!$A$2:$A1000,Metadata!$B$2:$B1000))),N$1,"""")"),"")</f>
        <v/>
      </c>
      <c r="O83" s="33" t="str">
        <f>IFERROR(__xludf.DUMMYFUNCTION("IF(IF(O$1="""","""",REGEXMATCH(LOWER($E83),XLOOKUP(O$1,Metadata!$A$2:$A1000,Metadata!$B$2:$B1000))),O$1,"""")"),"")</f>
        <v/>
      </c>
      <c r="P83" s="33" t="str">
        <f>IFERROR(__xludf.DUMMYFUNCTION("IF(IF(P$1="""","""",REGEXMATCH(LOWER($E83),XLOOKUP(P$1,Metadata!$A$2:$A1000,Metadata!$B$2:$B1000))),P$1,"""")"),"")</f>
        <v/>
      </c>
      <c r="Q83" s="33" t="str">
        <f>IFERROR(__xludf.DUMMYFUNCTION("IF(IF(Q$1="""","""",REGEXMATCH(LOWER($E83),XLOOKUP(Q$1,Metadata!$A$2:$A1000,Metadata!$B$2:$B1000))),Q$1,"""")"),"")</f>
        <v/>
      </c>
      <c r="R83" s="33" t="str">
        <f>IFERROR(__xludf.DUMMYFUNCTION("IF(IF(R$1="""","""",REGEXMATCH(LOWER($E83),XLOOKUP(R$1,Metadata!$A$2:$A1000,Metadata!$B$2:$B1000))),R$1,"""")"),"Ramp")</f>
        <v>Ramp</v>
      </c>
      <c r="S83" s="33" t="str">
        <f>IFERROR(__xludf.DUMMYFUNCTION("IF(IF(S$1="""","""",REGEXMATCH(LOWER($E83),XLOOKUP(S$1,Metadata!$A$2:$A1000,Metadata!$B$2:$B1000))),S$1,"""")"),"")</f>
        <v/>
      </c>
      <c r="T83" s="33" t="str">
        <f>IFERROR(__xludf.DUMMYFUNCTION("IF(IF(T$1="""","""",REGEXMATCH(LOWER($E83),XLOOKUP(T$1,Metadata!$A$2:$A1000,Metadata!$B$2:$B1000))),T$1,"""")"),"")</f>
        <v/>
      </c>
      <c r="U83" s="33" t="str">
        <f>IFERROR(__xludf.DUMMYFUNCTION("IF(IF(U$1="""","""",REGEXMATCH(LOWER($E83),XLOOKUP(U$1,Metadata!$A$2:$A1000,Metadata!$B$2:$B1000))),U$1,"""")"),"")</f>
        <v/>
      </c>
      <c r="V83" s="33" t="str">
        <f>IFERROR(__xludf.DUMMYFUNCTION("IF(IF(V$1="""","""",REGEXMATCH(LOWER($E83),XLOOKUP(V$1,Metadata!$A$2:$A1000,Metadata!$B$2:$B1000))),V$1,"""")"),"")</f>
        <v/>
      </c>
      <c r="W83" s="33" t="str">
        <f>IFERROR(__xludf.DUMMYFUNCTION("IF(IF(W$1="""","""",REGEXMATCH(LOWER($E83),XLOOKUP(W$1,Metadata!$A$2:$A1000,Metadata!$B$2:$B1000))),W$1,"""")"),"")</f>
        <v/>
      </c>
      <c r="X83" s="33" t="str">
        <f>IFERROR(__xludf.DUMMYFUNCTION("IF(IF(X$1="""","""",REGEXMATCH(LOWER($E83),XLOOKUP(X$1,Metadata!$A$2:$A1000,Metadata!$B$2:$B1000))),X$1,"""")"),"")</f>
        <v/>
      </c>
      <c r="Y83" s="33" t="str">
        <f>IFERROR(__xludf.DUMMYFUNCTION("IF(IF(Y$1="""","""",REGEXMATCH(LOWER($E83),XLOOKUP(Y$1,Metadata!$A$2:$A1000,Metadata!$B$2:$B1000))),Y$1,"""")"),"")</f>
        <v/>
      </c>
      <c r="Z83" s="33" t="str">
        <f>IFERROR(__xludf.DUMMYFUNCTION("IF(IF(Z$1="""","""",REGEXMATCH(LOWER($E83),XLOOKUP(Z$1,Metadata!$A$2:$A1000,Metadata!$B$2:$B1000))),Z$1,"""")"),"")</f>
        <v/>
      </c>
      <c r="AA83" s="33" t="str">
        <f>IFERROR(__xludf.DUMMYFUNCTION("IF(AA$1="""","""",REGEXMATCH(LOWER($E83),XLOOKUP(AA$1,Metadata!$A$2:$A1000,Metadata!$B$2:$B1000)))"),"")</f>
        <v/>
      </c>
    </row>
    <row r="84">
      <c r="A84" s="33" t="str">
        <f>IFERROR(__xludf.DUMMYFUNCTION("""COMPUTED_VALUE"""),"Kois of Duality")</f>
        <v>Kois of Duality</v>
      </c>
      <c r="B84" s="33" t="str">
        <f t="array" ref="B84:I84">XLOOKUP($A84,Cards!$A$2:$A1000,Cards!$B$2:$I1000,"")</f>
        <v>Divine Void</v>
      </c>
      <c r="C84" s="33">
        <v>1.0</v>
      </c>
      <c r="D84" s="33" t="s">
        <v>217</v>
      </c>
      <c r="E84" s="33" t="s">
        <v>420</v>
      </c>
      <c r="F84" s="33" t="s">
        <v>421</v>
      </c>
      <c r="G84" s="33">
        <v>3.0</v>
      </c>
      <c r="H84" s="33" t="s">
        <v>422</v>
      </c>
      <c r="I84" s="33" t="s">
        <v>62</v>
      </c>
      <c r="J84" s="33">
        <f>IFERROR(__xludf.DUMMYFUNCTION("LEN(REGEXREPLACE(XLOOKUP($A84,Cards!$A$2:$A1000,Cards!$H$2:$H1000,""""),"",\s"",""""))"),3.0)</f>
        <v>3</v>
      </c>
      <c r="K84" s="33" t="str">
        <f t="shared" si="1"/>
        <v>Divine    Void           </v>
      </c>
      <c r="L84" s="33" t="str">
        <f>IFERROR(__xludf.DUMMYFUNCTION("IF(IF(L$1="""","""",REGEXMATCH(LOWER($E84),XLOOKUP(L$1,Metadata!$A$2:$A1000,Metadata!$B$2:$B1000))),L$1,"""")"),"Divine")</f>
        <v>Divine</v>
      </c>
      <c r="M84" s="33" t="str">
        <f>IFERROR(__xludf.DUMMYFUNCTION("IF(IF(M$1="""","""",REGEXMATCH(LOWER($E84),XLOOKUP(M$1,Metadata!$A$2:$A1000,Metadata!$B$2:$B1000))),M$1,"""")"),"")</f>
        <v/>
      </c>
      <c r="N84" s="33" t="str">
        <f>IFERROR(__xludf.DUMMYFUNCTION("IF(IF(N$1="""","""",REGEXMATCH(LOWER($E84),XLOOKUP(N$1,Metadata!$A$2:$A1000,Metadata!$B$2:$B1000))),N$1,"""")"),"")</f>
        <v/>
      </c>
      <c r="O84" s="33" t="str">
        <f>IFERROR(__xludf.DUMMYFUNCTION("IF(IF(O$1="""","""",REGEXMATCH(LOWER($E84),XLOOKUP(O$1,Metadata!$A$2:$A1000,Metadata!$B$2:$B1000))),O$1,"""")"),"")</f>
        <v/>
      </c>
      <c r="P84" s="33" t="str">
        <f>IFERROR(__xludf.DUMMYFUNCTION("IF(IF(P$1="""","""",REGEXMATCH(LOWER($E84),XLOOKUP(P$1,Metadata!$A$2:$A1000,Metadata!$B$2:$B1000))),P$1,"""")"),"Void")</f>
        <v>Void</v>
      </c>
      <c r="Q84" s="33" t="str">
        <f>IFERROR(__xludf.DUMMYFUNCTION("IF(IF(Q$1="""","""",REGEXMATCH(LOWER($E84),XLOOKUP(Q$1,Metadata!$A$2:$A1000,Metadata!$B$2:$B1000))),Q$1,"""")"),"")</f>
        <v/>
      </c>
      <c r="R84" s="33" t="str">
        <f>IFERROR(__xludf.DUMMYFUNCTION("IF(IF(R$1="""","""",REGEXMATCH(LOWER($E84),XLOOKUP(R$1,Metadata!$A$2:$A1000,Metadata!$B$2:$B1000))),R$1,"""")"),"")</f>
        <v/>
      </c>
      <c r="S84" s="33" t="str">
        <f>IFERROR(__xludf.DUMMYFUNCTION("IF(IF(S$1="""","""",REGEXMATCH(LOWER($E84),XLOOKUP(S$1,Metadata!$A$2:$A1000,Metadata!$B$2:$B1000))),S$1,"""")"),"")</f>
        <v/>
      </c>
      <c r="T84" s="33" t="str">
        <f>IFERROR(__xludf.DUMMYFUNCTION("IF(IF(T$1="""","""",REGEXMATCH(LOWER($E84),XLOOKUP(T$1,Metadata!$A$2:$A1000,Metadata!$B$2:$B1000))),T$1,"""")"),"")</f>
        <v/>
      </c>
      <c r="U84" s="33" t="str">
        <f>IFERROR(__xludf.DUMMYFUNCTION("IF(IF(U$1="""","""",REGEXMATCH(LOWER($E84),XLOOKUP(U$1,Metadata!$A$2:$A1000,Metadata!$B$2:$B1000))),U$1,"""")"),"")</f>
        <v/>
      </c>
      <c r="V84" s="33" t="str">
        <f>IFERROR(__xludf.DUMMYFUNCTION("IF(IF(V$1="""","""",REGEXMATCH(LOWER($E84),XLOOKUP(V$1,Metadata!$A$2:$A1000,Metadata!$B$2:$B1000))),V$1,"""")"),"")</f>
        <v/>
      </c>
      <c r="W84" s="33" t="str">
        <f>IFERROR(__xludf.DUMMYFUNCTION("IF(IF(W$1="""","""",REGEXMATCH(LOWER($E84),XLOOKUP(W$1,Metadata!$A$2:$A1000,Metadata!$B$2:$B1000))),W$1,"""")"),"")</f>
        <v/>
      </c>
      <c r="X84" s="33" t="str">
        <f>IFERROR(__xludf.DUMMYFUNCTION("IF(IF(X$1="""","""",REGEXMATCH(LOWER($E84),XLOOKUP(X$1,Metadata!$A$2:$A1000,Metadata!$B$2:$B1000))),X$1,"""")"),"")</f>
        <v/>
      </c>
      <c r="Y84" s="33" t="str">
        <f>IFERROR(__xludf.DUMMYFUNCTION("IF(IF(Y$1="""","""",REGEXMATCH(LOWER($E84),XLOOKUP(Y$1,Metadata!$A$2:$A1000,Metadata!$B$2:$B1000))),Y$1,"""")"),"")</f>
        <v/>
      </c>
      <c r="Z84" s="33" t="str">
        <f>IFERROR(__xludf.DUMMYFUNCTION("IF(IF(Z$1="""","""",REGEXMATCH(LOWER($E84),XLOOKUP(Z$1,Metadata!$A$2:$A1000,Metadata!$B$2:$B1000))),Z$1,"""")"),"")</f>
        <v/>
      </c>
      <c r="AA84" s="33" t="str">
        <f>IFERROR(__xludf.DUMMYFUNCTION("IF(AA$1="""","""",REGEXMATCH(LOWER($E84),XLOOKUP(AA$1,Metadata!$A$2:$A1000,Metadata!$B$2:$B1000)))"),"")</f>
        <v/>
      </c>
    </row>
    <row r="85">
      <c r="A85" s="33" t="str">
        <f>IFERROR(__xludf.DUMMYFUNCTION("""COMPUTED_VALUE"""),"Ivoryscar Eclipsion")</f>
        <v>Ivoryscar Eclipsion</v>
      </c>
      <c r="B85" s="33" t="str">
        <f t="array" ref="B85:I85">XLOOKUP($A85,Cards!$A$2:$A1000,Cards!$B$2:$I1000,"")</f>
        <v>Divine Void</v>
      </c>
      <c r="C85" s="33">
        <v>1.0</v>
      </c>
      <c r="D85" s="33" t="s">
        <v>432</v>
      </c>
      <c r="E85" s="33"/>
      <c r="F85" s="33" t="s">
        <v>433</v>
      </c>
      <c r="G85" s="33">
        <v>2.0</v>
      </c>
      <c r="H85" s="33" t="s">
        <v>434</v>
      </c>
      <c r="I85" s="33" t="s">
        <v>26</v>
      </c>
      <c r="J85" s="33">
        <f>IFERROR(__xludf.DUMMYFUNCTION("LEN(REGEXREPLACE(XLOOKUP($A85,Cards!$A$2:$A1000,Cards!$H$2:$H1000,""""),"",\s"",""""))"),2.0)</f>
        <v>2</v>
      </c>
      <c r="K85" s="33" t="str">
        <f t="shared" si="1"/>
        <v>               </v>
      </c>
      <c r="L85" s="33" t="str">
        <f>IFERROR(__xludf.DUMMYFUNCTION("IF(IF(L$1="""","""",REGEXMATCH(LOWER($E85),XLOOKUP(L$1,Metadata!$A$2:$A1000,Metadata!$B$2:$B1000))),L$1,"""")"),"")</f>
        <v/>
      </c>
      <c r="M85" s="33" t="str">
        <f>IFERROR(__xludf.DUMMYFUNCTION("IF(IF(M$1="""","""",REGEXMATCH(LOWER($E85),XLOOKUP(M$1,Metadata!$A$2:$A1000,Metadata!$B$2:$B1000))),M$1,"""")"),"")</f>
        <v/>
      </c>
      <c r="N85" s="33" t="str">
        <f>IFERROR(__xludf.DUMMYFUNCTION("IF(IF(N$1="""","""",REGEXMATCH(LOWER($E85),XLOOKUP(N$1,Metadata!$A$2:$A1000,Metadata!$B$2:$B1000))),N$1,"""")"),"")</f>
        <v/>
      </c>
      <c r="O85" s="33" t="str">
        <f>IFERROR(__xludf.DUMMYFUNCTION("IF(IF(O$1="""","""",REGEXMATCH(LOWER($E85),XLOOKUP(O$1,Metadata!$A$2:$A1000,Metadata!$B$2:$B1000))),O$1,"""")"),"")</f>
        <v/>
      </c>
      <c r="P85" s="33" t="str">
        <f>IFERROR(__xludf.DUMMYFUNCTION("IF(IF(P$1="""","""",REGEXMATCH(LOWER($E85),XLOOKUP(P$1,Metadata!$A$2:$A1000,Metadata!$B$2:$B1000))),P$1,"""")"),"")</f>
        <v/>
      </c>
      <c r="Q85" s="33" t="str">
        <f>IFERROR(__xludf.DUMMYFUNCTION("IF(IF(Q$1="""","""",REGEXMATCH(LOWER($E85),XLOOKUP(Q$1,Metadata!$A$2:$A1000,Metadata!$B$2:$B1000))),Q$1,"""")"),"")</f>
        <v/>
      </c>
      <c r="R85" s="33" t="str">
        <f>IFERROR(__xludf.DUMMYFUNCTION("IF(IF(R$1="""","""",REGEXMATCH(LOWER($E85),XLOOKUP(R$1,Metadata!$A$2:$A1000,Metadata!$B$2:$B1000))),R$1,"""")"),"")</f>
        <v/>
      </c>
      <c r="S85" s="33" t="str">
        <f>IFERROR(__xludf.DUMMYFUNCTION("IF(IF(S$1="""","""",REGEXMATCH(LOWER($E85),XLOOKUP(S$1,Metadata!$A$2:$A1000,Metadata!$B$2:$B1000))),S$1,"""")"),"")</f>
        <v/>
      </c>
      <c r="T85" s="33" t="str">
        <f>IFERROR(__xludf.DUMMYFUNCTION("IF(IF(T$1="""","""",REGEXMATCH(LOWER($E85),XLOOKUP(T$1,Metadata!$A$2:$A1000,Metadata!$B$2:$B1000))),T$1,"""")"),"")</f>
        <v/>
      </c>
      <c r="U85" s="33" t="str">
        <f>IFERROR(__xludf.DUMMYFUNCTION("IF(IF(U$1="""","""",REGEXMATCH(LOWER($E85),XLOOKUP(U$1,Metadata!$A$2:$A1000,Metadata!$B$2:$B1000))),U$1,"""")"),"")</f>
        <v/>
      </c>
      <c r="V85" s="33" t="str">
        <f>IFERROR(__xludf.DUMMYFUNCTION("IF(IF(V$1="""","""",REGEXMATCH(LOWER($E85),XLOOKUP(V$1,Metadata!$A$2:$A1000,Metadata!$B$2:$B1000))),V$1,"""")"),"")</f>
        <v/>
      </c>
      <c r="W85" s="33" t="str">
        <f>IFERROR(__xludf.DUMMYFUNCTION("IF(IF(W$1="""","""",REGEXMATCH(LOWER($E85),XLOOKUP(W$1,Metadata!$A$2:$A1000,Metadata!$B$2:$B1000))),W$1,"""")"),"")</f>
        <v/>
      </c>
      <c r="X85" s="33" t="str">
        <f>IFERROR(__xludf.DUMMYFUNCTION("IF(IF(X$1="""","""",REGEXMATCH(LOWER($E85),XLOOKUP(X$1,Metadata!$A$2:$A1000,Metadata!$B$2:$B1000))),X$1,"""")"),"")</f>
        <v/>
      </c>
      <c r="Y85" s="33" t="str">
        <f>IFERROR(__xludf.DUMMYFUNCTION("IF(IF(Y$1="""","""",REGEXMATCH(LOWER($E85),XLOOKUP(Y$1,Metadata!$A$2:$A1000,Metadata!$B$2:$B1000))),Y$1,"""")"),"")</f>
        <v/>
      </c>
      <c r="Z85" s="33" t="str">
        <f>IFERROR(__xludf.DUMMYFUNCTION("IF(IF(Z$1="""","""",REGEXMATCH(LOWER($E85),XLOOKUP(Z$1,Metadata!$A$2:$A1000,Metadata!$B$2:$B1000))),Z$1,"""")"),"")</f>
        <v/>
      </c>
      <c r="AA85" s="33" t="str">
        <f>IFERROR(__xludf.DUMMYFUNCTION("IF(AA$1="""","""",REGEXMATCH(LOWER($E85),XLOOKUP(AA$1,Metadata!$A$2:$A1000,Metadata!$B$2:$B1000)))"),"")</f>
        <v/>
      </c>
    </row>
    <row r="86">
      <c r="A86" s="33" t="str">
        <f>IFERROR(__xludf.DUMMYFUNCTION("""COMPUTED_VALUE"""),"Fallen Angel")</f>
        <v>Fallen Angel</v>
      </c>
      <c r="B86" s="33" t="str">
        <f t="array" ref="B86:I86">XLOOKUP($A86,Cards!$A$2:$A1000,Cards!$B$2:$I1000,"")</f>
        <v>Divine Void</v>
      </c>
      <c r="C86" s="33">
        <v>1.0</v>
      </c>
      <c r="D86" s="33" t="s">
        <v>28</v>
      </c>
      <c r="E86" s="33" t="s">
        <v>447</v>
      </c>
      <c r="F86" s="33" t="s">
        <v>448</v>
      </c>
      <c r="G86" s="33">
        <v>4.0</v>
      </c>
      <c r="H86" s="33" t="s">
        <v>449</v>
      </c>
      <c r="I86" s="33" t="s">
        <v>32</v>
      </c>
      <c r="J86" s="33">
        <f>IFERROR(__xludf.DUMMYFUNCTION("LEN(REGEXREPLACE(XLOOKUP($A86,Cards!$A$2:$A1000,Cards!$H$2:$H1000,""""),"",\s"",""""))"),7.0)</f>
        <v>7</v>
      </c>
      <c r="K86" s="33" t="str">
        <f t="shared" si="1"/>
        <v>Divine    Void           </v>
      </c>
      <c r="L86" s="33" t="str">
        <f>IFERROR(__xludf.DUMMYFUNCTION("IF(IF(L$1="""","""",REGEXMATCH(LOWER($E86),XLOOKUP(L$1,Metadata!$A$2:$A1000,Metadata!$B$2:$B1000))),L$1,"""")"),"Divine")</f>
        <v>Divine</v>
      </c>
      <c r="M86" s="33" t="str">
        <f>IFERROR(__xludf.DUMMYFUNCTION("IF(IF(M$1="""","""",REGEXMATCH(LOWER($E86),XLOOKUP(M$1,Metadata!$A$2:$A1000,Metadata!$B$2:$B1000))),M$1,"""")"),"")</f>
        <v/>
      </c>
      <c r="N86" s="33" t="str">
        <f>IFERROR(__xludf.DUMMYFUNCTION("IF(IF(N$1="""","""",REGEXMATCH(LOWER($E86),XLOOKUP(N$1,Metadata!$A$2:$A1000,Metadata!$B$2:$B1000))),N$1,"""")"),"")</f>
        <v/>
      </c>
      <c r="O86" s="33" t="str">
        <f>IFERROR(__xludf.DUMMYFUNCTION("IF(IF(O$1="""","""",REGEXMATCH(LOWER($E86),XLOOKUP(O$1,Metadata!$A$2:$A1000,Metadata!$B$2:$B1000))),O$1,"""")"),"")</f>
        <v/>
      </c>
      <c r="P86" s="33" t="str">
        <f>IFERROR(__xludf.DUMMYFUNCTION("IF(IF(P$1="""","""",REGEXMATCH(LOWER($E86),XLOOKUP(P$1,Metadata!$A$2:$A1000,Metadata!$B$2:$B1000))),P$1,"""")"),"Void")</f>
        <v>Void</v>
      </c>
      <c r="Q86" s="33" t="str">
        <f>IFERROR(__xludf.DUMMYFUNCTION("IF(IF(Q$1="""","""",REGEXMATCH(LOWER($E86),XLOOKUP(Q$1,Metadata!$A$2:$A1000,Metadata!$B$2:$B1000))),Q$1,"""")"),"")</f>
        <v/>
      </c>
      <c r="R86" s="33" t="str">
        <f>IFERROR(__xludf.DUMMYFUNCTION("IF(IF(R$1="""","""",REGEXMATCH(LOWER($E86),XLOOKUP(R$1,Metadata!$A$2:$A1000,Metadata!$B$2:$B1000))),R$1,"""")"),"")</f>
        <v/>
      </c>
      <c r="S86" s="33" t="str">
        <f>IFERROR(__xludf.DUMMYFUNCTION("IF(IF(S$1="""","""",REGEXMATCH(LOWER($E86),XLOOKUP(S$1,Metadata!$A$2:$A1000,Metadata!$B$2:$B1000))),S$1,"""")"),"")</f>
        <v/>
      </c>
      <c r="T86" s="33" t="str">
        <f>IFERROR(__xludf.DUMMYFUNCTION("IF(IF(T$1="""","""",REGEXMATCH(LOWER($E86),XLOOKUP(T$1,Metadata!$A$2:$A1000,Metadata!$B$2:$B1000))),T$1,"""")"),"")</f>
        <v/>
      </c>
      <c r="U86" s="33" t="str">
        <f>IFERROR(__xludf.DUMMYFUNCTION("IF(IF(U$1="""","""",REGEXMATCH(LOWER($E86),XLOOKUP(U$1,Metadata!$A$2:$A1000,Metadata!$B$2:$B1000))),U$1,"""")"),"")</f>
        <v/>
      </c>
      <c r="V86" s="33" t="str">
        <f>IFERROR(__xludf.DUMMYFUNCTION("IF(IF(V$1="""","""",REGEXMATCH(LOWER($E86),XLOOKUP(V$1,Metadata!$A$2:$A1000,Metadata!$B$2:$B1000))),V$1,"""")"),"")</f>
        <v/>
      </c>
      <c r="W86" s="33" t="str">
        <f>IFERROR(__xludf.DUMMYFUNCTION("IF(IF(W$1="""","""",REGEXMATCH(LOWER($E86),XLOOKUP(W$1,Metadata!$A$2:$A1000,Metadata!$B$2:$B1000))),W$1,"""")"),"")</f>
        <v/>
      </c>
      <c r="X86" s="33" t="str">
        <f>IFERROR(__xludf.DUMMYFUNCTION("IF(IF(X$1="""","""",REGEXMATCH(LOWER($E86),XLOOKUP(X$1,Metadata!$A$2:$A1000,Metadata!$B$2:$B1000))),X$1,"""")"),"")</f>
        <v/>
      </c>
      <c r="Y86" s="33" t="str">
        <f>IFERROR(__xludf.DUMMYFUNCTION("IF(IF(Y$1="""","""",REGEXMATCH(LOWER($E86),XLOOKUP(Y$1,Metadata!$A$2:$A1000,Metadata!$B$2:$B1000))),Y$1,"""")"),"")</f>
        <v/>
      </c>
      <c r="Z86" s="33" t="str">
        <f>IFERROR(__xludf.DUMMYFUNCTION("IF(IF(Z$1="""","""",REGEXMATCH(LOWER($E86),XLOOKUP(Z$1,Metadata!$A$2:$A1000,Metadata!$B$2:$B1000))),Z$1,"""")"),"")</f>
        <v/>
      </c>
      <c r="AA86" s="33" t="str">
        <f>IFERROR(__xludf.DUMMYFUNCTION("IF(AA$1="""","""",REGEXMATCH(LOWER($E86),XLOOKUP(AA$1,Metadata!$A$2:$A1000,Metadata!$B$2:$B1000)))"),"")</f>
        <v/>
      </c>
    </row>
    <row r="87">
      <c r="A87" s="33" t="str">
        <f>IFERROR(__xludf.DUMMYFUNCTION("""COMPUTED_VALUE"""),"Diamond Phantom")</f>
        <v>Diamond Phantom</v>
      </c>
      <c r="B87" s="33" t="str">
        <f t="array" ref="B87:I87">XLOOKUP($A87,Cards!$A$2:$A1000,Cards!$B$2:$I1000,"")</f>
        <v>Elemental</v>
      </c>
      <c r="C87" s="33">
        <v>2.0</v>
      </c>
      <c r="D87" s="33" t="s">
        <v>462</v>
      </c>
      <c r="E87" s="33" t="s">
        <v>463</v>
      </c>
      <c r="F87" s="33" t="s">
        <v>464</v>
      </c>
      <c r="G87" s="33">
        <v>3.0</v>
      </c>
      <c r="H87" s="33" t="s">
        <v>465</v>
      </c>
      <c r="I87" s="33" t="s">
        <v>32</v>
      </c>
      <c r="J87" s="33">
        <f>IFERROR(__xludf.DUMMYFUNCTION("LEN(REGEXREPLACE(XLOOKUP($A87,Cards!$A$2:$A1000,Cards!$H$2:$H1000,""""),"",\s"",""""))"),3.0)</f>
        <v>3</v>
      </c>
      <c r="K87" s="33" t="str">
        <f t="shared" si="1"/>
        <v>      Ramp   Aggro      </v>
      </c>
      <c r="L87" s="33" t="str">
        <f>IFERROR(__xludf.DUMMYFUNCTION("IF(IF(L$1="""","""",REGEXMATCH(LOWER($E87),XLOOKUP(L$1,Metadata!$A$2:$A1000,Metadata!$B$2:$B1000))),L$1,"""")"),"")</f>
        <v/>
      </c>
      <c r="M87" s="33" t="str">
        <f>IFERROR(__xludf.DUMMYFUNCTION("IF(IF(M$1="""","""",REGEXMATCH(LOWER($E87),XLOOKUP(M$1,Metadata!$A$2:$A1000,Metadata!$B$2:$B1000))),M$1,"""")"),"")</f>
        <v/>
      </c>
      <c r="N87" s="33" t="str">
        <f>IFERROR(__xludf.DUMMYFUNCTION("IF(IF(N$1="""","""",REGEXMATCH(LOWER($E87),XLOOKUP(N$1,Metadata!$A$2:$A1000,Metadata!$B$2:$B1000))),N$1,"""")"),"")</f>
        <v/>
      </c>
      <c r="O87" s="33" t="str">
        <f>IFERROR(__xludf.DUMMYFUNCTION("IF(IF(O$1="""","""",REGEXMATCH(LOWER($E87),XLOOKUP(O$1,Metadata!$A$2:$A1000,Metadata!$B$2:$B1000))),O$1,"""")"),"")</f>
        <v/>
      </c>
      <c r="P87" s="33" t="str">
        <f>IFERROR(__xludf.DUMMYFUNCTION("IF(IF(P$1="""","""",REGEXMATCH(LOWER($E87),XLOOKUP(P$1,Metadata!$A$2:$A1000,Metadata!$B$2:$B1000))),P$1,"""")"),"")</f>
        <v/>
      </c>
      <c r="Q87" s="33" t="str">
        <f>IFERROR(__xludf.DUMMYFUNCTION("IF(IF(Q$1="""","""",REGEXMATCH(LOWER($E87),XLOOKUP(Q$1,Metadata!$A$2:$A1000,Metadata!$B$2:$B1000))),Q$1,"""")"),"")</f>
        <v/>
      </c>
      <c r="R87" s="33" t="str">
        <f>IFERROR(__xludf.DUMMYFUNCTION("IF(IF(R$1="""","""",REGEXMATCH(LOWER($E87),XLOOKUP(R$1,Metadata!$A$2:$A1000,Metadata!$B$2:$B1000))),R$1,"""")"),"Ramp")</f>
        <v>Ramp</v>
      </c>
      <c r="S87" s="33" t="str">
        <f>IFERROR(__xludf.DUMMYFUNCTION("IF(IF(S$1="""","""",REGEXMATCH(LOWER($E87),XLOOKUP(S$1,Metadata!$A$2:$A1000,Metadata!$B$2:$B1000))),S$1,"""")"),"")</f>
        <v/>
      </c>
      <c r="T87" s="33" t="str">
        <f>IFERROR(__xludf.DUMMYFUNCTION("IF(IF(T$1="""","""",REGEXMATCH(LOWER($E87),XLOOKUP(T$1,Metadata!$A$2:$A1000,Metadata!$B$2:$B1000))),T$1,"""")"),"")</f>
        <v/>
      </c>
      <c r="U87" s="33" t="str">
        <f>IFERROR(__xludf.DUMMYFUNCTION("IF(IF(U$1="""","""",REGEXMATCH(LOWER($E87),XLOOKUP(U$1,Metadata!$A$2:$A1000,Metadata!$B$2:$B1000))),U$1,"""")"),"Aggro")</f>
        <v>Aggro</v>
      </c>
      <c r="V87" s="33" t="str">
        <f>IFERROR(__xludf.DUMMYFUNCTION("IF(IF(V$1="""","""",REGEXMATCH(LOWER($E87),XLOOKUP(V$1,Metadata!$A$2:$A1000,Metadata!$B$2:$B1000))),V$1,"""")"),"")</f>
        <v/>
      </c>
      <c r="W87" s="33" t="str">
        <f>IFERROR(__xludf.DUMMYFUNCTION("IF(IF(W$1="""","""",REGEXMATCH(LOWER($E87),XLOOKUP(W$1,Metadata!$A$2:$A1000,Metadata!$B$2:$B1000))),W$1,"""")"),"")</f>
        <v/>
      </c>
      <c r="X87" s="33" t="str">
        <f>IFERROR(__xludf.DUMMYFUNCTION("IF(IF(X$1="""","""",REGEXMATCH(LOWER($E87),XLOOKUP(X$1,Metadata!$A$2:$A1000,Metadata!$B$2:$B1000))),X$1,"""")"),"")</f>
        <v/>
      </c>
      <c r="Y87" s="33" t="str">
        <f>IFERROR(__xludf.DUMMYFUNCTION("IF(IF(Y$1="""","""",REGEXMATCH(LOWER($E87),XLOOKUP(Y$1,Metadata!$A$2:$A1000,Metadata!$B$2:$B1000))),Y$1,"""")"),"")</f>
        <v/>
      </c>
      <c r="Z87" s="33" t="str">
        <f>IFERROR(__xludf.DUMMYFUNCTION("IF(IF(Z$1="""","""",REGEXMATCH(LOWER($E87),XLOOKUP(Z$1,Metadata!$A$2:$A1000,Metadata!$B$2:$B1000))),Z$1,"""")"),"")</f>
        <v/>
      </c>
      <c r="AA87" s="33" t="str">
        <f>IFERROR(__xludf.DUMMYFUNCTION("IF(AA$1="""","""",REGEXMATCH(LOWER($E87),XLOOKUP(AA$1,Metadata!$A$2:$A1000,Metadata!$B$2:$B1000)))"),"")</f>
        <v/>
      </c>
    </row>
    <row r="88">
      <c r="A88" s="33" t="str">
        <f>IFERROR(__xludf.DUMMYFUNCTION("""COMPUTED_VALUE"""),"Draconic Highpriest")</f>
        <v>Draconic Highpriest</v>
      </c>
      <c r="B88" s="33" t="str">
        <f t="array" ref="B88:I88">XLOOKUP($A88,Cards!$A$2:$A1000,Cards!$B$2:$I1000,"")</f>
        <v>Elemental</v>
      </c>
      <c r="C88" s="33">
        <v>2.0</v>
      </c>
      <c r="D88" s="33" t="s">
        <v>467</v>
      </c>
      <c r="E88" s="33" t="s">
        <v>468</v>
      </c>
      <c r="F88" s="33" t="s">
        <v>469</v>
      </c>
      <c r="G88" s="33">
        <v>3.0</v>
      </c>
      <c r="H88" s="33" t="s">
        <v>470</v>
      </c>
      <c r="I88" s="33" t="s">
        <v>32</v>
      </c>
      <c r="J88" s="33">
        <f>IFERROR(__xludf.DUMMYFUNCTION("LEN(REGEXREPLACE(XLOOKUP($A88,Cards!$A$2:$A1000,Cards!$H$2:$H1000,""""),"",\s"",""""))"),4.0)</f>
        <v>4</v>
      </c>
      <c r="K88" s="33" t="str">
        <f t="shared" si="1"/>
        <v>       Control     Ambush   </v>
      </c>
      <c r="L88" s="33" t="str">
        <f>IFERROR(__xludf.DUMMYFUNCTION("IF(IF(L$1="""","""",REGEXMATCH(LOWER($E88),XLOOKUP(L$1,Metadata!$A$2:$A1000,Metadata!$B$2:$B1000))),L$1,"""")"),"")</f>
        <v/>
      </c>
      <c r="M88" s="33" t="str">
        <f>IFERROR(__xludf.DUMMYFUNCTION("IF(IF(M$1="""","""",REGEXMATCH(LOWER($E88),XLOOKUP(M$1,Metadata!$A$2:$A1000,Metadata!$B$2:$B1000))),M$1,"""")"),"")</f>
        <v/>
      </c>
      <c r="N88" s="33" t="str">
        <f>IFERROR(__xludf.DUMMYFUNCTION("IF(IF(N$1="""","""",REGEXMATCH(LOWER($E88),XLOOKUP(N$1,Metadata!$A$2:$A1000,Metadata!$B$2:$B1000))),N$1,"""")"),"")</f>
        <v/>
      </c>
      <c r="O88" s="33" t="str">
        <f>IFERROR(__xludf.DUMMYFUNCTION("IF(IF(O$1="""","""",REGEXMATCH(LOWER($E88),XLOOKUP(O$1,Metadata!$A$2:$A1000,Metadata!$B$2:$B1000))),O$1,"""")"),"")</f>
        <v/>
      </c>
      <c r="P88" s="33" t="str">
        <f>IFERROR(__xludf.DUMMYFUNCTION("IF(IF(P$1="""","""",REGEXMATCH(LOWER($E88),XLOOKUP(P$1,Metadata!$A$2:$A1000,Metadata!$B$2:$B1000))),P$1,"""")"),"")</f>
        <v/>
      </c>
      <c r="Q88" s="33" t="str">
        <f>IFERROR(__xludf.DUMMYFUNCTION("IF(IF(Q$1="""","""",REGEXMATCH(LOWER($E88),XLOOKUP(Q$1,Metadata!$A$2:$A1000,Metadata!$B$2:$B1000))),Q$1,"""")"),"")</f>
        <v/>
      </c>
      <c r="R88" s="33" t="str">
        <f>IFERROR(__xludf.DUMMYFUNCTION("IF(IF(R$1="""","""",REGEXMATCH(LOWER($E88),XLOOKUP(R$1,Metadata!$A$2:$A1000,Metadata!$B$2:$B1000))),R$1,"""")"),"")</f>
        <v/>
      </c>
      <c r="S88" s="33" t="str">
        <f>IFERROR(__xludf.DUMMYFUNCTION("IF(IF(S$1="""","""",REGEXMATCH(LOWER($E88),XLOOKUP(S$1,Metadata!$A$2:$A1000,Metadata!$B$2:$B1000))),S$1,"""")"),"Control")</f>
        <v>Control</v>
      </c>
      <c r="T88" s="33" t="str">
        <f>IFERROR(__xludf.DUMMYFUNCTION("IF(IF(T$1="""","""",REGEXMATCH(LOWER($E88),XLOOKUP(T$1,Metadata!$A$2:$A1000,Metadata!$B$2:$B1000))),T$1,"""")"),"")</f>
        <v/>
      </c>
      <c r="U88" s="33" t="str">
        <f>IFERROR(__xludf.DUMMYFUNCTION("IF(IF(U$1="""","""",REGEXMATCH(LOWER($E88),XLOOKUP(U$1,Metadata!$A$2:$A1000,Metadata!$B$2:$B1000))),U$1,"""")"),"")</f>
        <v/>
      </c>
      <c r="V88" s="33" t="str">
        <f>IFERROR(__xludf.DUMMYFUNCTION("IF(IF(V$1="""","""",REGEXMATCH(LOWER($E88),XLOOKUP(V$1,Metadata!$A$2:$A1000,Metadata!$B$2:$B1000))),V$1,"""")"),"")</f>
        <v/>
      </c>
      <c r="W88" s="33" t="str">
        <f>IFERROR(__xludf.DUMMYFUNCTION("IF(IF(W$1="""","""",REGEXMATCH(LOWER($E88),XLOOKUP(W$1,Metadata!$A$2:$A1000,Metadata!$B$2:$B1000))),W$1,"""")"),"")</f>
        <v/>
      </c>
      <c r="X88" s="33" t="str">
        <f>IFERROR(__xludf.DUMMYFUNCTION("IF(IF(X$1="""","""",REGEXMATCH(LOWER($E88),XLOOKUP(X$1,Metadata!$A$2:$A1000,Metadata!$B$2:$B1000))),X$1,"""")"),"Ambush")</f>
        <v>Ambush</v>
      </c>
      <c r="Y88" s="33" t="str">
        <f>IFERROR(__xludf.DUMMYFUNCTION("IF(IF(Y$1="""","""",REGEXMATCH(LOWER($E88),XLOOKUP(Y$1,Metadata!$A$2:$A1000,Metadata!$B$2:$B1000))),Y$1,"""")"),"")</f>
        <v/>
      </c>
      <c r="Z88" s="33" t="str">
        <f>IFERROR(__xludf.DUMMYFUNCTION("IF(IF(Z$1="""","""",REGEXMATCH(LOWER($E88),XLOOKUP(Z$1,Metadata!$A$2:$A1000,Metadata!$B$2:$B1000))),Z$1,"""")"),"")</f>
        <v/>
      </c>
      <c r="AA88" s="33" t="str">
        <f>IFERROR(__xludf.DUMMYFUNCTION("IF(AA$1="""","""",REGEXMATCH(LOWER($E88),XLOOKUP(AA$1,Metadata!$A$2:$A1000,Metadata!$B$2:$B1000)))"),"")</f>
        <v/>
      </c>
    </row>
    <row r="89">
      <c r="A89" s="33" t="str">
        <f>IFERROR(__xludf.DUMMYFUNCTION("""COMPUTED_VALUE"""),"Cavern Lindwurm")</f>
        <v>Cavern Lindwurm</v>
      </c>
      <c r="B89" s="33" t="str">
        <f t="array" ref="B89:I89">XLOOKUP($A89,Cards!$A$2:$A1000,Cards!$B$2:$I1000,"")</f>
        <v>Elemental</v>
      </c>
      <c r="C89" s="33">
        <v>1.0</v>
      </c>
      <c r="D89" s="33" t="s">
        <v>380</v>
      </c>
      <c r="E89" s="33" t="s">
        <v>472</v>
      </c>
      <c r="F89" s="33" t="s">
        <v>473</v>
      </c>
      <c r="G89" s="33">
        <v>5.0</v>
      </c>
      <c r="H89" s="33" t="s">
        <v>474</v>
      </c>
      <c r="I89" s="33" t="s">
        <v>26</v>
      </c>
      <c r="J89" s="33">
        <f>IFERROR(__xludf.DUMMYFUNCTION("LEN(REGEXREPLACE(XLOOKUP($A89,Cards!$A$2:$A1000,Cards!$H$2:$H1000,""""),"",\s"",""""))"),5.0)</f>
        <v>5</v>
      </c>
      <c r="K89" s="33" t="str">
        <f t="shared" si="1"/>
        <v>               </v>
      </c>
      <c r="L89" s="33" t="str">
        <f>IFERROR(__xludf.DUMMYFUNCTION("IF(IF(L$1="""","""",REGEXMATCH(LOWER($E89),XLOOKUP(L$1,Metadata!$A$2:$A1000,Metadata!$B$2:$B1000))),L$1,"""")"),"")</f>
        <v/>
      </c>
      <c r="M89" s="33" t="str">
        <f>IFERROR(__xludf.DUMMYFUNCTION("IF(IF(M$1="""","""",REGEXMATCH(LOWER($E89),XLOOKUP(M$1,Metadata!$A$2:$A1000,Metadata!$B$2:$B1000))),M$1,"""")"),"")</f>
        <v/>
      </c>
      <c r="N89" s="33" t="str">
        <f>IFERROR(__xludf.DUMMYFUNCTION("IF(IF(N$1="""","""",REGEXMATCH(LOWER($E89),XLOOKUP(N$1,Metadata!$A$2:$A1000,Metadata!$B$2:$B1000))),N$1,"""")"),"")</f>
        <v/>
      </c>
      <c r="O89" s="33" t="str">
        <f>IFERROR(__xludf.DUMMYFUNCTION("IF(IF(O$1="""","""",REGEXMATCH(LOWER($E89),XLOOKUP(O$1,Metadata!$A$2:$A1000,Metadata!$B$2:$B1000))),O$1,"""")"),"")</f>
        <v/>
      </c>
      <c r="P89" s="33" t="str">
        <f>IFERROR(__xludf.DUMMYFUNCTION("IF(IF(P$1="""","""",REGEXMATCH(LOWER($E89),XLOOKUP(P$1,Metadata!$A$2:$A1000,Metadata!$B$2:$B1000))),P$1,"""")"),"")</f>
        <v/>
      </c>
      <c r="Q89" s="33" t="str">
        <f>IFERROR(__xludf.DUMMYFUNCTION("IF(IF(Q$1="""","""",REGEXMATCH(LOWER($E89),XLOOKUP(Q$1,Metadata!$A$2:$A1000,Metadata!$B$2:$B1000))),Q$1,"""")"),"")</f>
        <v/>
      </c>
      <c r="R89" s="33" t="str">
        <f>IFERROR(__xludf.DUMMYFUNCTION("IF(IF(R$1="""","""",REGEXMATCH(LOWER($E89),XLOOKUP(R$1,Metadata!$A$2:$A1000,Metadata!$B$2:$B1000))),R$1,"""")"),"")</f>
        <v/>
      </c>
      <c r="S89" s="33" t="str">
        <f>IFERROR(__xludf.DUMMYFUNCTION("IF(IF(S$1="""","""",REGEXMATCH(LOWER($E89),XLOOKUP(S$1,Metadata!$A$2:$A1000,Metadata!$B$2:$B1000))),S$1,"""")"),"")</f>
        <v/>
      </c>
      <c r="T89" s="33" t="str">
        <f>IFERROR(__xludf.DUMMYFUNCTION("IF(IF(T$1="""","""",REGEXMATCH(LOWER($E89),XLOOKUP(T$1,Metadata!$A$2:$A1000,Metadata!$B$2:$B1000))),T$1,"""")"),"")</f>
        <v/>
      </c>
      <c r="U89" s="33" t="str">
        <f>IFERROR(__xludf.DUMMYFUNCTION("IF(IF(U$1="""","""",REGEXMATCH(LOWER($E89),XLOOKUP(U$1,Metadata!$A$2:$A1000,Metadata!$B$2:$B1000))),U$1,"""")"),"")</f>
        <v/>
      </c>
      <c r="V89" s="33" t="str">
        <f>IFERROR(__xludf.DUMMYFUNCTION("IF(IF(V$1="""","""",REGEXMATCH(LOWER($E89),XLOOKUP(V$1,Metadata!$A$2:$A1000,Metadata!$B$2:$B1000))),V$1,"""")"),"")</f>
        <v/>
      </c>
      <c r="W89" s="33" t="str">
        <f>IFERROR(__xludf.DUMMYFUNCTION("IF(IF(W$1="""","""",REGEXMATCH(LOWER($E89),XLOOKUP(W$1,Metadata!$A$2:$A1000,Metadata!$B$2:$B1000))),W$1,"""")"),"")</f>
        <v/>
      </c>
      <c r="X89" s="33" t="str">
        <f>IFERROR(__xludf.DUMMYFUNCTION("IF(IF(X$1="""","""",REGEXMATCH(LOWER($E89),XLOOKUP(X$1,Metadata!$A$2:$A1000,Metadata!$B$2:$B1000))),X$1,"""")"),"")</f>
        <v/>
      </c>
      <c r="Y89" s="33" t="str">
        <f>IFERROR(__xludf.DUMMYFUNCTION("IF(IF(Y$1="""","""",REGEXMATCH(LOWER($E89),XLOOKUP(Y$1,Metadata!$A$2:$A1000,Metadata!$B$2:$B1000))),Y$1,"""")"),"")</f>
        <v/>
      </c>
      <c r="Z89" s="33" t="str">
        <f>IFERROR(__xludf.DUMMYFUNCTION("IF(IF(Z$1="""","""",REGEXMATCH(LOWER($E89),XLOOKUP(Z$1,Metadata!$A$2:$A1000,Metadata!$B$2:$B1000))),Z$1,"""")"),"")</f>
        <v/>
      </c>
      <c r="AA89" s="33" t="str">
        <f>IFERROR(__xludf.DUMMYFUNCTION("IF(AA$1="""","""",REGEXMATCH(LOWER($E89),XLOOKUP(AA$1,Metadata!$A$2:$A1000,Metadata!$B$2:$B1000)))"),"")</f>
        <v/>
      </c>
    </row>
    <row r="90">
      <c r="A90" s="33" t="str">
        <f>IFERROR(__xludf.DUMMYFUNCTION("""COMPUTED_VALUE"""),"Cheerful Pixies")</f>
        <v>Cheerful Pixies</v>
      </c>
      <c r="B90" s="33" t="str">
        <f t="array" ref="B90:I90">XLOOKUP($A90,Cards!$A$2:$A1000,Cards!$B$2:$I1000,"")</f>
        <v>Elemental</v>
      </c>
      <c r="C90" s="33">
        <v>1.0</v>
      </c>
      <c r="D90" s="33" t="s">
        <v>487</v>
      </c>
      <c r="E90" s="33" t="s">
        <v>488</v>
      </c>
      <c r="F90" s="33" t="s">
        <v>489</v>
      </c>
      <c r="G90" s="33">
        <v>1.0</v>
      </c>
      <c r="H90" s="33" t="s">
        <v>386</v>
      </c>
      <c r="I90" s="33" t="s">
        <v>26</v>
      </c>
      <c r="J90" s="33">
        <f>IFERROR(__xludf.DUMMYFUNCTION("LEN(REGEXREPLACE(XLOOKUP($A90,Cards!$A$2:$A1000,Cards!$H$2:$H1000,""""),"",\s"",""""))"),1.0)</f>
        <v>1</v>
      </c>
      <c r="K90" s="33" t="str">
        <f t="shared" si="1"/>
        <v> Elemental              </v>
      </c>
      <c r="L90" s="33" t="str">
        <f>IFERROR(__xludf.DUMMYFUNCTION("IF(IF(L$1="""","""",REGEXMATCH(LOWER($E90),XLOOKUP(L$1,Metadata!$A$2:$A1000,Metadata!$B$2:$B1000))),L$1,"""")"),"")</f>
        <v/>
      </c>
      <c r="M90" s="33" t="str">
        <f>IFERROR(__xludf.DUMMYFUNCTION("IF(IF(M$1="""","""",REGEXMATCH(LOWER($E90),XLOOKUP(M$1,Metadata!$A$2:$A1000,Metadata!$B$2:$B1000))),M$1,"""")"),"Elemental")</f>
        <v>Elemental</v>
      </c>
      <c r="N90" s="33" t="str">
        <f>IFERROR(__xludf.DUMMYFUNCTION("IF(IF(N$1="""","""",REGEXMATCH(LOWER($E90),XLOOKUP(N$1,Metadata!$A$2:$A1000,Metadata!$B$2:$B1000))),N$1,"""")"),"")</f>
        <v/>
      </c>
      <c r="O90" s="33" t="str">
        <f>IFERROR(__xludf.DUMMYFUNCTION("IF(IF(O$1="""","""",REGEXMATCH(LOWER($E90),XLOOKUP(O$1,Metadata!$A$2:$A1000,Metadata!$B$2:$B1000))),O$1,"""")"),"")</f>
        <v/>
      </c>
      <c r="P90" s="33" t="str">
        <f>IFERROR(__xludf.DUMMYFUNCTION("IF(IF(P$1="""","""",REGEXMATCH(LOWER($E90),XLOOKUP(P$1,Metadata!$A$2:$A1000,Metadata!$B$2:$B1000))),P$1,"""")"),"")</f>
        <v/>
      </c>
      <c r="Q90" s="33" t="str">
        <f>IFERROR(__xludf.DUMMYFUNCTION("IF(IF(Q$1="""","""",REGEXMATCH(LOWER($E90),XLOOKUP(Q$1,Metadata!$A$2:$A1000,Metadata!$B$2:$B1000))),Q$1,"""")"),"")</f>
        <v/>
      </c>
      <c r="R90" s="33" t="str">
        <f>IFERROR(__xludf.DUMMYFUNCTION("IF(IF(R$1="""","""",REGEXMATCH(LOWER($E90),XLOOKUP(R$1,Metadata!$A$2:$A1000,Metadata!$B$2:$B1000))),R$1,"""")"),"")</f>
        <v/>
      </c>
      <c r="S90" s="33" t="str">
        <f>IFERROR(__xludf.DUMMYFUNCTION("IF(IF(S$1="""","""",REGEXMATCH(LOWER($E90),XLOOKUP(S$1,Metadata!$A$2:$A1000,Metadata!$B$2:$B1000))),S$1,"""")"),"")</f>
        <v/>
      </c>
      <c r="T90" s="33" t="str">
        <f>IFERROR(__xludf.DUMMYFUNCTION("IF(IF(T$1="""","""",REGEXMATCH(LOWER($E90),XLOOKUP(T$1,Metadata!$A$2:$A1000,Metadata!$B$2:$B1000))),T$1,"""")"),"")</f>
        <v/>
      </c>
      <c r="U90" s="33" t="str">
        <f>IFERROR(__xludf.DUMMYFUNCTION("IF(IF(U$1="""","""",REGEXMATCH(LOWER($E90),XLOOKUP(U$1,Metadata!$A$2:$A1000,Metadata!$B$2:$B1000))),U$1,"""")"),"")</f>
        <v/>
      </c>
      <c r="V90" s="33" t="str">
        <f>IFERROR(__xludf.DUMMYFUNCTION("IF(IF(V$1="""","""",REGEXMATCH(LOWER($E90),XLOOKUP(V$1,Metadata!$A$2:$A1000,Metadata!$B$2:$B1000))),V$1,"""")"),"")</f>
        <v/>
      </c>
      <c r="W90" s="33" t="str">
        <f>IFERROR(__xludf.DUMMYFUNCTION("IF(IF(W$1="""","""",REGEXMATCH(LOWER($E90),XLOOKUP(W$1,Metadata!$A$2:$A1000,Metadata!$B$2:$B1000))),W$1,"""")"),"")</f>
        <v/>
      </c>
      <c r="X90" s="33" t="str">
        <f>IFERROR(__xludf.DUMMYFUNCTION("IF(IF(X$1="""","""",REGEXMATCH(LOWER($E90),XLOOKUP(X$1,Metadata!$A$2:$A1000,Metadata!$B$2:$B1000))),X$1,"""")"),"")</f>
        <v/>
      </c>
      <c r="Y90" s="33" t="str">
        <f>IFERROR(__xludf.DUMMYFUNCTION("IF(IF(Y$1="""","""",REGEXMATCH(LOWER($E90),XLOOKUP(Y$1,Metadata!$A$2:$A1000,Metadata!$B$2:$B1000))),Y$1,"""")"),"")</f>
        <v/>
      </c>
      <c r="Z90" s="33" t="str">
        <f>IFERROR(__xludf.DUMMYFUNCTION("IF(IF(Z$1="""","""",REGEXMATCH(LOWER($E90),XLOOKUP(Z$1,Metadata!$A$2:$A1000,Metadata!$B$2:$B1000))),Z$1,"""")"),"")</f>
        <v/>
      </c>
      <c r="AA90" s="33" t="str">
        <f>IFERROR(__xludf.DUMMYFUNCTION("IF(AA$1="""","""",REGEXMATCH(LOWER($E90),XLOOKUP(AA$1,Metadata!$A$2:$A1000,Metadata!$B$2:$B1000)))"),"")</f>
        <v/>
      </c>
    </row>
    <row r="91">
      <c r="A91" s="33" t="str">
        <f>IFERROR(__xludf.DUMMYFUNCTION("""COMPUTED_VALUE"""),"Cinderguard Scribe")</f>
        <v>Cinderguard Scribe</v>
      </c>
      <c r="B91" s="33" t="str">
        <f t="array" ref="B91:I91">XLOOKUP($A91,Cards!$A$2:$A1000,Cards!$B$2:$I1000,"")</f>
        <v>Elemental</v>
      </c>
      <c r="C91" s="33">
        <v>1.0</v>
      </c>
      <c r="D91" s="33" t="s">
        <v>37</v>
      </c>
      <c r="E91" s="33" t="s">
        <v>502</v>
      </c>
      <c r="F91" s="33" t="s">
        <v>503</v>
      </c>
      <c r="G91" s="33">
        <v>1.0</v>
      </c>
      <c r="H91" s="33" t="s">
        <v>386</v>
      </c>
      <c r="I91" s="33" t="s">
        <v>26</v>
      </c>
      <c r="J91" s="33">
        <f>IFERROR(__xludf.DUMMYFUNCTION("LEN(REGEXREPLACE(XLOOKUP($A91,Cards!$A$2:$A1000,Cards!$H$2:$H1000,""""),"",\s"",""""))"),1.0)</f>
        <v>1</v>
      </c>
      <c r="K91" s="33" t="str">
        <f t="shared" si="1"/>
        <v>               </v>
      </c>
      <c r="L91" s="33" t="str">
        <f>IFERROR(__xludf.DUMMYFUNCTION("IF(IF(L$1="""","""",REGEXMATCH(LOWER($E91),XLOOKUP(L$1,Metadata!$A$2:$A1000,Metadata!$B$2:$B1000))),L$1,"""")"),"")</f>
        <v/>
      </c>
      <c r="M91" s="33" t="str">
        <f>IFERROR(__xludf.DUMMYFUNCTION("IF(IF(M$1="""","""",REGEXMATCH(LOWER($E91),XLOOKUP(M$1,Metadata!$A$2:$A1000,Metadata!$B$2:$B1000))),M$1,"""")"),"")</f>
        <v/>
      </c>
      <c r="N91" s="33" t="str">
        <f>IFERROR(__xludf.DUMMYFUNCTION("IF(IF(N$1="""","""",REGEXMATCH(LOWER($E91),XLOOKUP(N$1,Metadata!$A$2:$A1000,Metadata!$B$2:$B1000))),N$1,"""")"),"")</f>
        <v/>
      </c>
      <c r="O91" s="33" t="str">
        <f>IFERROR(__xludf.DUMMYFUNCTION("IF(IF(O$1="""","""",REGEXMATCH(LOWER($E91),XLOOKUP(O$1,Metadata!$A$2:$A1000,Metadata!$B$2:$B1000))),O$1,"""")"),"")</f>
        <v/>
      </c>
      <c r="P91" s="33" t="str">
        <f>IFERROR(__xludf.DUMMYFUNCTION("IF(IF(P$1="""","""",REGEXMATCH(LOWER($E91),XLOOKUP(P$1,Metadata!$A$2:$A1000,Metadata!$B$2:$B1000))),P$1,"""")"),"")</f>
        <v/>
      </c>
      <c r="Q91" s="33" t="str">
        <f>IFERROR(__xludf.DUMMYFUNCTION("IF(IF(Q$1="""","""",REGEXMATCH(LOWER($E91),XLOOKUP(Q$1,Metadata!$A$2:$A1000,Metadata!$B$2:$B1000))),Q$1,"""")"),"")</f>
        <v/>
      </c>
      <c r="R91" s="33" t="str">
        <f>IFERROR(__xludf.DUMMYFUNCTION("IF(IF(R$1="""","""",REGEXMATCH(LOWER($E91),XLOOKUP(R$1,Metadata!$A$2:$A1000,Metadata!$B$2:$B1000))),R$1,"""")"),"")</f>
        <v/>
      </c>
      <c r="S91" s="33" t="str">
        <f>IFERROR(__xludf.DUMMYFUNCTION("IF(IF(S$1="""","""",REGEXMATCH(LOWER($E91),XLOOKUP(S$1,Metadata!$A$2:$A1000,Metadata!$B$2:$B1000))),S$1,"""")"),"")</f>
        <v/>
      </c>
      <c r="T91" s="33" t="str">
        <f>IFERROR(__xludf.DUMMYFUNCTION("IF(IF(T$1="""","""",REGEXMATCH(LOWER($E91),XLOOKUP(T$1,Metadata!$A$2:$A1000,Metadata!$B$2:$B1000))),T$1,"""")"),"")</f>
        <v/>
      </c>
      <c r="U91" s="33" t="str">
        <f>IFERROR(__xludf.DUMMYFUNCTION("IF(IF(U$1="""","""",REGEXMATCH(LOWER($E91),XLOOKUP(U$1,Metadata!$A$2:$A1000,Metadata!$B$2:$B1000))),U$1,"""")"),"")</f>
        <v/>
      </c>
      <c r="V91" s="33" t="str">
        <f>IFERROR(__xludf.DUMMYFUNCTION("IF(IF(V$1="""","""",REGEXMATCH(LOWER($E91),XLOOKUP(V$1,Metadata!$A$2:$A1000,Metadata!$B$2:$B1000))),V$1,"""")"),"")</f>
        <v/>
      </c>
      <c r="W91" s="33" t="str">
        <f>IFERROR(__xludf.DUMMYFUNCTION("IF(IF(W$1="""","""",REGEXMATCH(LOWER($E91),XLOOKUP(W$1,Metadata!$A$2:$A1000,Metadata!$B$2:$B1000))),W$1,"""")"),"")</f>
        <v/>
      </c>
      <c r="X91" s="33" t="str">
        <f>IFERROR(__xludf.DUMMYFUNCTION("IF(IF(X$1="""","""",REGEXMATCH(LOWER($E91),XLOOKUP(X$1,Metadata!$A$2:$A1000,Metadata!$B$2:$B1000))),X$1,"""")"),"")</f>
        <v/>
      </c>
      <c r="Y91" s="33" t="str">
        <f>IFERROR(__xludf.DUMMYFUNCTION("IF(IF(Y$1="""","""",REGEXMATCH(LOWER($E91),XLOOKUP(Y$1,Metadata!$A$2:$A1000,Metadata!$B$2:$B1000))),Y$1,"""")"),"")</f>
        <v/>
      </c>
      <c r="Z91" s="33" t="str">
        <f>IFERROR(__xludf.DUMMYFUNCTION("IF(IF(Z$1="""","""",REGEXMATCH(LOWER($E91),XLOOKUP(Z$1,Metadata!$A$2:$A1000,Metadata!$B$2:$B1000))),Z$1,"""")"),"")</f>
        <v/>
      </c>
      <c r="AA91" s="33" t="str">
        <f>IFERROR(__xludf.DUMMYFUNCTION("IF(AA$1="""","""",REGEXMATCH(LOWER($E91),XLOOKUP(AA$1,Metadata!$A$2:$A1000,Metadata!$B$2:$B1000)))"),"")</f>
        <v/>
      </c>
    </row>
    <row r="92">
      <c r="A92" s="33" t="str">
        <f>IFERROR(__xludf.DUMMYFUNCTION("""COMPUTED_VALUE"""),"Daredevil Duo")</f>
        <v>Daredevil Duo</v>
      </c>
      <c r="B92" s="33" t="str">
        <f t="array" ref="B92:I92">XLOOKUP($A92,Cards!$A$2:$A1000,Cards!$B$2:$I1000,"")</f>
        <v>Elemental</v>
      </c>
      <c r="C92" s="33">
        <v>1.0</v>
      </c>
      <c r="D92" s="33" t="s">
        <v>516</v>
      </c>
      <c r="E92" s="33" t="s">
        <v>517</v>
      </c>
      <c r="F92" s="33" t="s">
        <v>518</v>
      </c>
      <c r="G92" s="33">
        <v>5.0</v>
      </c>
      <c r="H92" s="33" t="s">
        <v>519</v>
      </c>
      <c r="I92" s="33" t="s">
        <v>26</v>
      </c>
      <c r="J92" s="33">
        <f>IFERROR(__xludf.DUMMYFUNCTION("LEN(REGEXREPLACE(XLOOKUP($A92,Cards!$A$2:$A1000,Cards!$H$2:$H1000,""""),"",\s"",""""))"),6.0)</f>
        <v>6</v>
      </c>
      <c r="K92" s="33" t="str">
        <f t="shared" si="1"/>
        <v>      Ramp         </v>
      </c>
      <c r="L92" s="33" t="str">
        <f>IFERROR(__xludf.DUMMYFUNCTION("IF(IF(L$1="""","""",REGEXMATCH(LOWER($E92),XLOOKUP(L$1,Metadata!$A$2:$A1000,Metadata!$B$2:$B1000))),L$1,"""")"),"")</f>
        <v/>
      </c>
      <c r="M92" s="33" t="str">
        <f>IFERROR(__xludf.DUMMYFUNCTION("IF(IF(M$1="""","""",REGEXMATCH(LOWER($E92),XLOOKUP(M$1,Metadata!$A$2:$A1000,Metadata!$B$2:$B1000))),M$1,"""")"),"")</f>
        <v/>
      </c>
      <c r="N92" s="33" t="str">
        <f>IFERROR(__xludf.DUMMYFUNCTION("IF(IF(N$1="""","""",REGEXMATCH(LOWER($E92),XLOOKUP(N$1,Metadata!$A$2:$A1000,Metadata!$B$2:$B1000))),N$1,"""")"),"")</f>
        <v/>
      </c>
      <c r="O92" s="33" t="str">
        <f>IFERROR(__xludf.DUMMYFUNCTION("IF(IF(O$1="""","""",REGEXMATCH(LOWER($E92),XLOOKUP(O$1,Metadata!$A$2:$A1000,Metadata!$B$2:$B1000))),O$1,"""")"),"")</f>
        <v/>
      </c>
      <c r="P92" s="33" t="str">
        <f>IFERROR(__xludf.DUMMYFUNCTION("IF(IF(P$1="""","""",REGEXMATCH(LOWER($E92),XLOOKUP(P$1,Metadata!$A$2:$A1000,Metadata!$B$2:$B1000))),P$1,"""")"),"")</f>
        <v/>
      </c>
      <c r="Q92" s="33" t="str">
        <f>IFERROR(__xludf.DUMMYFUNCTION("IF(IF(Q$1="""","""",REGEXMATCH(LOWER($E92),XLOOKUP(Q$1,Metadata!$A$2:$A1000,Metadata!$B$2:$B1000))),Q$1,"""")"),"")</f>
        <v/>
      </c>
      <c r="R92" s="33" t="str">
        <f>IFERROR(__xludf.DUMMYFUNCTION("IF(IF(R$1="""","""",REGEXMATCH(LOWER($E92),XLOOKUP(R$1,Metadata!$A$2:$A1000,Metadata!$B$2:$B1000))),R$1,"""")"),"Ramp")</f>
        <v>Ramp</v>
      </c>
      <c r="S92" s="33" t="str">
        <f>IFERROR(__xludf.DUMMYFUNCTION("IF(IF(S$1="""","""",REGEXMATCH(LOWER($E92),XLOOKUP(S$1,Metadata!$A$2:$A1000,Metadata!$B$2:$B1000))),S$1,"""")"),"")</f>
        <v/>
      </c>
      <c r="T92" s="33" t="str">
        <f>IFERROR(__xludf.DUMMYFUNCTION("IF(IF(T$1="""","""",REGEXMATCH(LOWER($E92),XLOOKUP(T$1,Metadata!$A$2:$A1000,Metadata!$B$2:$B1000))),T$1,"""")"),"")</f>
        <v/>
      </c>
      <c r="U92" s="33" t="str">
        <f>IFERROR(__xludf.DUMMYFUNCTION("IF(IF(U$1="""","""",REGEXMATCH(LOWER($E92),XLOOKUP(U$1,Metadata!$A$2:$A1000,Metadata!$B$2:$B1000))),U$1,"""")"),"")</f>
        <v/>
      </c>
      <c r="V92" s="33" t="str">
        <f>IFERROR(__xludf.DUMMYFUNCTION("IF(IF(V$1="""","""",REGEXMATCH(LOWER($E92),XLOOKUP(V$1,Metadata!$A$2:$A1000,Metadata!$B$2:$B1000))),V$1,"""")"),"")</f>
        <v/>
      </c>
      <c r="W92" s="33" t="str">
        <f>IFERROR(__xludf.DUMMYFUNCTION("IF(IF(W$1="""","""",REGEXMATCH(LOWER($E92),XLOOKUP(W$1,Metadata!$A$2:$A1000,Metadata!$B$2:$B1000))),W$1,"""")"),"")</f>
        <v/>
      </c>
      <c r="X92" s="33" t="str">
        <f>IFERROR(__xludf.DUMMYFUNCTION("IF(IF(X$1="""","""",REGEXMATCH(LOWER($E92),XLOOKUP(X$1,Metadata!$A$2:$A1000,Metadata!$B$2:$B1000))),X$1,"""")"),"")</f>
        <v/>
      </c>
      <c r="Y92" s="33" t="str">
        <f>IFERROR(__xludf.DUMMYFUNCTION("IF(IF(Y$1="""","""",REGEXMATCH(LOWER($E92),XLOOKUP(Y$1,Metadata!$A$2:$A1000,Metadata!$B$2:$B1000))),Y$1,"""")"),"")</f>
        <v/>
      </c>
      <c r="Z92" s="33" t="str">
        <f>IFERROR(__xludf.DUMMYFUNCTION("IF(IF(Z$1="""","""",REGEXMATCH(LOWER($E92),XLOOKUP(Z$1,Metadata!$A$2:$A1000,Metadata!$B$2:$B1000))),Z$1,"""")"),"")</f>
        <v/>
      </c>
      <c r="AA92" s="33" t="str">
        <f>IFERROR(__xludf.DUMMYFUNCTION("IF(AA$1="""","""",REGEXMATCH(LOWER($E92),XLOOKUP(AA$1,Metadata!$A$2:$A1000,Metadata!$B$2:$B1000)))"),"")</f>
        <v/>
      </c>
    </row>
    <row r="93">
      <c r="A93" s="33" t="str">
        <f>IFERROR(__xludf.DUMMYFUNCTION("""COMPUTED_VALUE"""),"Echo Beetle")</f>
        <v>Echo Beetle</v>
      </c>
      <c r="B93" s="33" t="str">
        <f t="array" ref="B93:I93">XLOOKUP($A93,Cards!$A$2:$A1000,Cards!$B$2:$I1000,"")</f>
        <v>Elemental</v>
      </c>
      <c r="C93" s="33">
        <v>0.0</v>
      </c>
      <c r="D93" s="33" t="s">
        <v>199</v>
      </c>
      <c r="E93" s="33" t="s">
        <v>532</v>
      </c>
      <c r="F93" s="33" t="s">
        <v>533</v>
      </c>
      <c r="G93" s="33">
        <v>2.0</v>
      </c>
      <c r="H93" s="33" t="s">
        <v>534</v>
      </c>
      <c r="I93" s="33" t="s">
        <v>62</v>
      </c>
      <c r="J93" s="33">
        <f>IFERROR(__xludf.DUMMYFUNCTION("LEN(REGEXREPLACE(XLOOKUP($A93,Cards!$A$2:$A1000,Cards!$H$2:$H1000,""""),"",\s"",""""))"),2.0)</f>
        <v>2</v>
      </c>
      <c r="K93" s="33" t="str">
        <f t="shared" si="1"/>
        <v>           Move    </v>
      </c>
      <c r="L93" s="33" t="str">
        <f>IFERROR(__xludf.DUMMYFUNCTION("IF(IF(L$1="""","""",REGEXMATCH(LOWER($E93),XLOOKUP(L$1,Metadata!$A$2:$A1000,Metadata!$B$2:$B1000))),L$1,"""")"),"")</f>
        <v/>
      </c>
      <c r="M93" s="33" t="str">
        <f>IFERROR(__xludf.DUMMYFUNCTION("IF(IF(M$1="""","""",REGEXMATCH(LOWER($E93),XLOOKUP(M$1,Metadata!$A$2:$A1000,Metadata!$B$2:$B1000))),M$1,"""")"),"")</f>
        <v/>
      </c>
      <c r="N93" s="33" t="str">
        <f>IFERROR(__xludf.DUMMYFUNCTION("IF(IF(N$1="""","""",REGEXMATCH(LOWER($E93),XLOOKUP(N$1,Metadata!$A$2:$A1000,Metadata!$B$2:$B1000))),N$1,"""")"),"")</f>
        <v/>
      </c>
      <c r="O93" s="33" t="str">
        <f>IFERROR(__xludf.DUMMYFUNCTION("IF(IF(O$1="""","""",REGEXMATCH(LOWER($E93),XLOOKUP(O$1,Metadata!$A$2:$A1000,Metadata!$B$2:$B1000))),O$1,"""")"),"")</f>
        <v/>
      </c>
      <c r="P93" s="33" t="str">
        <f>IFERROR(__xludf.DUMMYFUNCTION("IF(IF(P$1="""","""",REGEXMATCH(LOWER($E93),XLOOKUP(P$1,Metadata!$A$2:$A1000,Metadata!$B$2:$B1000))),P$1,"""")"),"")</f>
        <v/>
      </c>
      <c r="Q93" s="33" t="str">
        <f>IFERROR(__xludf.DUMMYFUNCTION("IF(IF(Q$1="""","""",REGEXMATCH(LOWER($E93),XLOOKUP(Q$1,Metadata!$A$2:$A1000,Metadata!$B$2:$B1000))),Q$1,"""")"),"")</f>
        <v/>
      </c>
      <c r="R93" s="33" t="str">
        <f>IFERROR(__xludf.DUMMYFUNCTION("IF(IF(R$1="""","""",REGEXMATCH(LOWER($E93),XLOOKUP(R$1,Metadata!$A$2:$A1000,Metadata!$B$2:$B1000))),R$1,"""")"),"")</f>
        <v/>
      </c>
      <c r="S93" s="33" t="str">
        <f>IFERROR(__xludf.DUMMYFUNCTION("IF(IF(S$1="""","""",REGEXMATCH(LOWER($E93),XLOOKUP(S$1,Metadata!$A$2:$A1000,Metadata!$B$2:$B1000))),S$1,"""")"),"")</f>
        <v/>
      </c>
      <c r="T93" s="33" t="str">
        <f>IFERROR(__xludf.DUMMYFUNCTION("IF(IF(T$1="""","""",REGEXMATCH(LOWER($E93),XLOOKUP(T$1,Metadata!$A$2:$A1000,Metadata!$B$2:$B1000))),T$1,"""")"),"")</f>
        <v/>
      </c>
      <c r="U93" s="33" t="str">
        <f>IFERROR(__xludf.DUMMYFUNCTION("IF(IF(U$1="""","""",REGEXMATCH(LOWER($E93),XLOOKUP(U$1,Metadata!$A$2:$A1000,Metadata!$B$2:$B1000))),U$1,"""")"),"")</f>
        <v/>
      </c>
      <c r="V93" s="33" t="str">
        <f>IFERROR(__xludf.DUMMYFUNCTION("IF(IF(V$1="""","""",REGEXMATCH(LOWER($E93),XLOOKUP(V$1,Metadata!$A$2:$A1000,Metadata!$B$2:$B1000))),V$1,"""")"),"")</f>
        <v/>
      </c>
      <c r="W93" s="33" t="str">
        <f>IFERROR(__xludf.DUMMYFUNCTION("IF(IF(W$1="""","""",REGEXMATCH(LOWER($E93),XLOOKUP(W$1,Metadata!$A$2:$A1000,Metadata!$B$2:$B1000))),W$1,"""")"),"Move")</f>
        <v>Move</v>
      </c>
      <c r="X93" s="33" t="str">
        <f>IFERROR(__xludf.DUMMYFUNCTION("IF(IF(X$1="""","""",REGEXMATCH(LOWER($E93),XLOOKUP(X$1,Metadata!$A$2:$A1000,Metadata!$B$2:$B1000))),X$1,"""")"),"")</f>
        <v/>
      </c>
      <c r="Y93" s="33" t="str">
        <f>IFERROR(__xludf.DUMMYFUNCTION("IF(IF(Y$1="""","""",REGEXMATCH(LOWER($E93),XLOOKUP(Y$1,Metadata!$A$2:$A1000,Metadata!$B$2:$B1000))),Y$1,"""")"),"")</f>
        <v/>
      </c>
      <c r="Z93" s="33" t="str">
        <f>IFERROR(__xludf.DUMMYFUNCTION("IF(IF(Z$1="""","""",REGEXMATCH(LOWER($E93),XLOOKUP(Z$1,Metadata!$A$2:$A1000,Metadata!$B$2:$B1000))),Z$1,"""")"),"")</f>
        <v/>
      </c>
      <c r="AA93" s="33" t="str">
        <f>IFERROR(__xludf.DUMMYFUNCTION("IF(AA$1="""","""",REGEXMATCH(LOWER($E93),XLOOKUP(AA$1,Metadata!$A$2:$A1000,Metadata!$B$2:$B1000)))"),"")</f>
        <v/>
      </c>
    </row>
    <row r="94">
      <c r="A94" s="33" t="str">
        <f>IFERROR(__xludf.DUMMYFUNCTION("""COMPUTED_VALUE"""),"Ember Whelp")</f>
        <v>Ember Whelp</v>
      </c>
      <c r="B94" s="33" t="str">
        <f t="array" ref="B94:I94">XLOOKUP($A94,Cards!$A$2:$A1000,Cards!$B$2:$I1000,"")</f>
        <v>Elemental</v>
      </c>
      <c r="C94" s="33">
        <v>2.0</v>
      </c>
      <c r="D94" s="33" t="s">
        <v>536</v>
      </c>
      <c r="E94" s="33" t="s">
        <v>537</v>
      </c>
      <c r="F94" s="33" t="s">
        <v>538</v>
      </c>
      <c r="G94" s="33">
        <v>1.0</v>
      </c>
      <c r="H94" s="33" t="s">
        <v>368</v>
      </c>
      <c r="I94" s="33" t="s">
        <v>26</v>
      </c>
      <c r="J94" s="33">
        <f>IFERROR(__xludf.DUMMYFUNCTION("LEN(REGEXREPLACE(XLOOKUP($A94,Cards!$A$2:$A1000,Cards!$H$2:$H1000,""""),"",\s"",""""))"),3.0)</f>
        <v>3</v>
      </c>
      <c r="K94" s="33" t="str">
        <f t="shared" si="1"/>
        <v>               </v>
      </c>
      <c r="L94" s="33" t="str">
        <f>IFERROR(__xludf.DUMMYFUNCTION("IF(IF(L$1="""","""",REGEXMATCH(LOWER($E94),XLOOKUP(L$1,Metadata!$A$2:$A1000,Metadata!$B$2:$B1000))),L$1,"""")"),"")</f>
        <v/>
      </c>
      <c r="M94" s="33" t="str">
        <f>IFERROR(__xludf.DUMMYFUNCTION("IF(IF(M$1="""","""",REGEXMATCH(LOWER($E94),XLOOKUP(M$1,Metadata!$A$2:$A1000,Metadata!$B$2:$B1000))),M$1,"""")"),"")</f>
        <v/>
      </c>
      <c r="N94" s="33" t="str">
        <f>IFERROR(__xludf.DUMMYFUNCTION("IF(IF(N$1="""","""",REGEXMATCH(LOWER($E94),XLOOKUP(N$1,Metadata!$A$2:$A1000,Metadata!$B$2:$B1000))),N$1,"""")"),"")</f>
        <v/>
      </c>
      <c r="O94" s="33" t="str">
        <f>IFERROR(__xludf.DUMMYFUNCTION("IF(IF(O$1="""","""",REGEXMATCH(LOWER($E94),XLOOKUP(O$1,Metadata!$A$2:$A1000,Metadata!$B$2:$B1000))),O$1,"""")"),"")</f>
        <v/>
      </c>
      <c r="P94" s="33" t="str">
        <f>IFERROR(__xludf.DUMMYFUNCTION("IF(IF(P$1="""","""",REGEXMATCH(LOWER($E94),XLOOKUP(P$1,Metadata!$A$2:$A1000,Metadata!$B$2:$B1000))),P$1,"""")"),"")</f>
        <v/>
      </c>
      <c r="Q94" s="33" t="str">
        <f>IFERROR(__xludf.DUMMYFUNCTION("IF(IF(Q$1="""","""",REGEXMATCH(LOWER($E94),XLOOKUP(Q$1,Metadata!$A$2:$A1000,Metadata!$B$2:$B1000))),Q$1,"""")"),"")</f>
        <v/>
      </c>
      <c r="R94" s="33" t="str">
        <f>IFERROR(__xludf.DUMMYFUNCTION("IF(IF(R$1="""","""",REGEXMATCH(LOWER($E94),XLOOKUP(R$1,Metadata!$A$2:$A1000,Metadata!$B$2:$B1000))),R$1,"""")"),"")</f>
        <v/>
      </c>
      <c r="S94" s="33" t="str">
        <f>IFERROR(__xludf.DUMMYFUNCTION("IF(IF(S$1="""","""",REGEXMATCH(LOWER($E94),XLOOKUP(S$1,Metadata!$A$2:$A1000,Metadata!$B$2:$B1000))),S$1,"""")"),"")</f>
        <v/>
      </c>
      <c r="T94" s="33" t="str">
        <f>IFERROR(__xludf.DUMMYFUNCTION("IF(IF(T$1="""","""",REGEXMATCH(LOWER($E94),XLOOKUP(T$1,Metadata!$A$2:$A1000,Metadata!$B$2:$B1000))),T$1,"""")"),"")</f>
        <v/>
      </c>
      <c r="U94" s="33" t="str">
        <f>IFERROR(__xludf.DUMMYFUNCTION("IF(IF(U$1="""","""",REGEXMATCH(LOWER($E94),XLOOKUP(U$1,Metadata!$A$2:$A1000,Metadata!$B$2:$B1000))),U$1,"""")"),"")</f>
        <v/>
      </c>
      <c r="V94" s="33" t="str">
        <f>IFERROR(__xludf.DUMMYFUNCTION("IF(IF(V$1="""","""",REGEXMATCH(LOWER($E94),XLOOKUP(V$1,Metadata!$A$2:$A1000,Metadata!$B$2:$B1000))),V$1,"""")"),"")</f>
        <v/>
      </c>
      <c r="W94" s="33" t="str">
        <f>IFERROR(__xludf.DUMMYFUNCTION("IF(IF(W$1="""","""",REGEXMATCH(LOWER($E94),XLOOKUP(W$1,Metadata!$A$2:$A1000,Metadata!$B$2:$B1000))),W$1,"""")"),"")</f>
        <v/>
      </c>
      <c r="X94" s="33" t="str">
        <f>IFERROR(__xludf.DUMMYFUNCTION("IF(IF(X$1="""","""",REGEXMATCH(LOWER($E94),XLOOKUP(X$1,Metadata!$A$2:$A1000,Metadata!$B$2:$B1000))),X$1,"""")"),"")</f>
        <v/>
      </c>
      <c r="Y94" s="33" t="str">
        <f>IFERROR(__xludf.DUMMYFUNCTION("IF(IF(Y$1="""","""",REGEXMATCH(LOWER($E94),XLOOKUP(Y$1,Metadata!$A$2:$A1000,Metadata!$B$2:$B1000))),Y$1,"""")"),"")</f>
        <v/>
      </c>
      <c r="Z94" s="33" t="str">
        <f>IFERROR(__xludf.DUMMYFUNCTION("IF(IF(Z$1="""","""",REGEXMATCH(LOWER($E94),XLOOKUP(Z$1,Metadata!$A$2:$A1000,Metadata!$B$2:$B1000))),Z$1,"""")"),"")</f>
        <v/>
      </c>
      <c r="AA94" s="33" t="str">
        <f>IFERROR(__xludf.DUMMYFUNCTION("IF(AA$1="""","""",REGEXMATCH(LOWER($E94),XLOOKUP(AA$1,Metadata!$A$2:$A1000,Metadata!$B$2:$B1000)))"),"")</f>
        <v/>
      </c>
    </row>
    <row r="95">
      <c r="A95" s="33" t="str">
        <f>IFERROR(__xludf.DUMMYFUNCTION("""COMPUTED_VALUE"""),"Floating Djinn")</f>
        <v>Floating Djinn</v>
      </c>
      <c r="B95" s="33" t="str">
        <f t="array" ref="B95:I95">XLOOKUP($A95,Cards!$A$2:$A1000,Cards!$B$2:$I1000,"")</f>
        <v>Elemental</v>
      </c>
      <c r="C95" s="33">
        <v>2.0</v>
      </c>
      <c r="D95" s="33" t="s">
        <v>355</v>
      </c>
      <c r="E95" s="33" t="s">
        <v>540</v>
      </c>
      <c r="F95" s="33" t="s">
        <v>541</v>
      </c>
      <c r="G95" s="33">
        <v>2.0</v>
      </c>
      <c r="H95" s="33" t="s">
        <v>534</v>
      </c>
      <c r="I95" s="33" t="s">
        <v>26</v>
      </c>
      <c r="J95" s="33">
        <f>IFERROR(__xludf.DUMMYFUNCTION("LEN(REGEXREPLACE(XLOOKUP($A95,Cards!$A$2:$A1000,Cards!$H$2:$H1000,""""),"",\s"",""""))"),2.0)</f>
        <v>2</v>
      </c>
      <c r="K95" s="33" t="str">
        <f t="shared" si="1"/>
        <v>       Control     Ambush   </v>
      </c>
      <c r="L95" s="33" t="str">
        <f>IFERROR(__xludf.DUMMYFUNCTION("IF(IF(L$1="""","""",REGEXMATCH(LOWER($E95),XLOOKUP(L$1,Metadata!$A$2:$A1000,Metadata!$B$2:$B1000))),L$1,"""")"),"")</f>
        <v/>
      </c>
      <c r="M95" s="33" t="str">
        <f>IFERROR(__xludf.DUMMYFUNCTION("IF(IF(M$1="""","""",REGEXMATCH(LOWER($E95),XLOOKUP(M$1,Metadata!$A$2:$A1000,Metadata!$B$2:$B1000))),M$1,"""")"),"")</f>
        <v/>
      </c>
      <c r="N95" s="33" t="str">
        <f>IFERROR(__xludf.DUMMYFUNCTION("IF(IF(N$1="""","""",REGEXMATCH(LOWER($E95),XLOOKUP(N$1,Metadata!$A$2:$A1000,Metadata!$B$2:$B1000))),N$1,"""")"),"")</f>
        <v/>
      </c>
      <c r="O95" s="33" t="str">
        <f>IFERROR(__xludf.DUMMYFUNCTION("IF(IF(O$1="""","""",REGEXMATCH(LOWER($E95),XLOOKUP(O$1,Metadata!$A$2:$A1000,Metadata!$B$2:$B1000))),O$1,"""")"),"")</f>
        <v/>
      </c>
      <c r="P95" s="33" t="str">
        <f>IFERROR(__xludf.DUMMYFUNCTION("IF(IF(P$1="""","""",REGEXMATCH(LOWER($E95),XLOOKUP(P$1,Metadata!$A$2:$A1000,Metadata!$B$2:$B1000))),P$1,"""")"),"")</f>
        <v/>
      </c>
      <c r="Q95" s="33" t="str">
        <f>IFERROR(__xludf.DUMMYFUNCTION("IF(IF(Q$1="""","""",REGEXMATCH(LOWER($E95),XLOOKUP(Q$1,Metadata!$A$2:$A1000,Metadata!$B$2:$B1000))),Q$1,"""")"),"")</f>
        <v/>
      </c>
      <c r="R95" s="33" t="str">
        <f>IFERROR(__xludf.DUMMYFUNCTION("IF(IF(R$1="""","""",REGEXMATCH(LOWER($E95),XLOOKUP(R$1,Metadata!$A$2:$A1000,Metadata!$B$2:$B1000))),R$1,"""")"),"")</f>
        <v/>
      </c>
      <c r="S95" s="33" t="str">
        <f>IFERROR(__xludf.DUMMYFUNCTION("IF(IF(S$1="""","""",REGEXMATCH(LOWER($E95),XLOOKUP(S$1,Metadata!$A$2:$A1000,Metadata!$B$2:$B1000))),S$1,"""")"),"Control")</f>
        <v>Control</v>
      </c>
      <c r="T95" s="33" t="str">
        <f>IFERROR(__xludf.DUMMYFUNCTION("IF(IF(T$1="""","""",REGEXMATCH(LOWER($E95),XLOOKUP(T$1,Metadata!$A$2:$A1000,Metadata!$B$2:$B1000))),T$1,"""")"),"")</f>
        <v/>
      </c>
      <c r="U95" s="33" t="str">
        <f>IFERROR(__xludf.DUMMYFUNCTION("IF(IF(U$1="""","""",REGEXMATCH(LOWER($E95),XLOOKUP(U$1,Metadata!$A$2:$A1000,Metadata!$B$2:$B1000))),U$1,"""")"),"")</f>
        <v/>
      </c>
      <c r="V95" s="33" t="str">
        <f>IFERROR(__xludf.DUMMYFUNCTION("IF(IF(V$1="""","""",REGEXMATCH(LOWER($E95),XLOOKUP(V$1,Metadata!$A$2:$A1000,Metadata!$B$2:$B1000))),V$1,"""")"),"")</f>
        <v/>
      </c>
      <c r="W95" s="33" t="str">
        <f>IFERROR(__xludf.DUMMYFUNCTION("IF(IF(W$1="""","""",REGEXMATCH(LOWER($E95),XLOOKUP(W$1,Metadata!$A$2:$A1000,Metadata!$B$2:$B1000))),W$1,"""")"),"")</f>
        <v/>
      </c>
      <c r="X95" s="33" t="str">
        <f>IFERROR(__xludf.DUMMYFUNCTION("IF(IF(X$1="""","""",REGEXMATCH(LOWER($E95),XLOOKUP(X$1,Metadata!$A$2:$A1000,Metadata!$B$2:$B1000))),X$1,"""")"),"Ambush")</f>
        <v>Ambush</v>
      </c>
      <c r="Y95" s="33" t="str">
        <f>IFERROR(__xludf.DUMMYFUNCTION("IF(IF(Y$1="""","""",REGEXMATCH(LOWER($E95),XLOOKUP(Y$1,Metadata!$A$2:$A1000,Metadata!$B$2:$B1000))),Y$1,"""")"),"")</f>
        <v/>
      </c>
      <c r="Z95" s="33" t="str">
        <f>IFERROR(__xludf.DUMMYFUNCTION("IF(IF(Z$1="""","""",REGEXMATCH(LOWER($E95),XLOOKUP(Z$1,Metadata!$A$2:$A1000,Metadata!$B$2:$B1000))),Z$1,"""")"),"")</f>
        <v/>
      </c>
      <c r="AA95" s="33" t="str">
        <f>IFERROR(__xludf.DUMMYFUNCTION("IF(AA$1="""","""",REGEXMATCH(LOWER($E95),XLOOKUP(AA$1,Metadata!$A$2:$A1000,Metadata!$B$2:$B1000)))"),"")</f>
        <v/>
      </c>
    </row>
    <row r="96">
      <c r="A96" s="33" t="str">
        <f>IFERROR(__xludf.DUMMYFUNCTION("""COMPUTED_VALUE"""),"Dewdrop Sprite")</f>
        <v>Dewdrop Sprite</v>
      </c>
      <c r="B96" s="33" t="str">
        <f t="array" ref="B96:I96">XLOOKUP($A96,Cards!$A$2:$A1000,Cards!$B$2:$I1000,"")</f>
        <v>Elemental</v>
      </c>
      <c r="C96" s="33">
        <v>1.0</v>
      </c>
      <c r="D96" s="33" t="s">
        <v>355</v>
      </c>
      <c r="E96" s="33" t="s">
        <v>543</v>
      </c>
      <c r="F96" s="33" t="s">
        <v>544</v>
      </c>
      <c r="G96" s="33">
        <v>1.0</v>
      </c>
      <c r="H96" s="33" t="s">
        <v>534</v>
      </c>
      <c r="I96" s="33" t="s">
        <v>26</v>
      </c>
      <c r="J96" s="33">
        <f>IFERROR(__xludf.DUMMYFUNCTION("LEN(REGEXREPLACE(XLOOKUP($A96,Cards!$A$2:$A1000,Cards!$H$2:$H1000,""""),"",\s"",""""))"),2.0)</f>
        <v>2</v>
      </c>
      <c r="K96" s="33" t="str">
        <f t="shared" si="1"/>
        <v> Elemental              </v>
      </c>
      <c r="L96" s="33" t="str">
        <f>IFERROR(__xludf.DUMMYFUNCTION("IF(IF(L$1="""","""",REGEXMATCH(LOWER($E96),XLOOKUP(L$1,Metadata!$A$2:$A1000,Metadata!$B$2:$B1000))),L$1,"""")"),"")</f>
        <v/>
      </c>
      <c r="M96" s="33" t="str">
        <f>IFERROR(__xludf.DUMMYFUNCTION("IF(IF(M$1="""","""",REGEXMATCH(LOWER($E96),XLOOKUP(M$1,Metadata!$A$2:$A1000,Metadata!$B$2:$B1000))),M$1,"""")"),"Elemental")</f>
        <v>Elemental</v>
      </c>
      <c r="N96" s="33" t="str">
        <f>IFERROR(__xludf.DUMMYFUNCTION("IF(IF(N$1="""","""",REGEXMATCH(LOWER($E96),XLOOKUP(N$1,Metadata!$A$2:$A1000,Metadata!$B$2:$B1000))),N$1,"""")"),"")</f>
        <v/>
      </c>
      <c r="O96" s="33" t="str">
        <f>IFERROR(__xludf.DUMMYFUNCTION("IF(IF(O$1="""","""",REGEXMATCH(LOWER($E96),XLOOKUP(O$1,Metadata!$A$2:$A1000,Metadata!$B$2:$B1000))),O$1,"""")"),"")</f>
        <v/>
      </c>
      <c r="P96" s="33" t="str">
        <f>IFERROR(__xludf.DUMMYFUNCTION("IF(IF(P$1="""","""",REGEXMATCH(LOWER($E96),XLOOKUP(P$1,Metadata!$A$2:$A1000,Metadata!$B$2:$B1000))),P$1,"""")"),"")</f>
        <v/>
      </c>
      <c r="Q96" s="33" t="str">
        <f>IFERROR(__xludf.DUMMYFUNCTION("IF(IF(Q$1="""","""",REGEXMATCH(LOWER($E96),XLOOKUP(Q$1,Metadata!$A$2:$A1000,Metadata!$B$2:$B1000))),Q$1,"""")"),"")</f>
        <v/>
      </c>
      <c r="R96" s="33" t="str">
        <f>IFERROR(__xludf.DUMMYFUNCTION("IF(IF(R$1="""","""",REGEXMATCH(LOWER($E96),XLOOKUP(R$1,Metadata!$A$2:$A1000,Metadata!$B$2:$B1000))),R$1,"""")"),"")</f>
        <v/>
      </c>
      <c r="S96" s="33" t="str">
        <f>IFERROR(__xludf.DUMMYFUNCTION("IF(IF(S$1="""","""",REGEXMATCH(LOWER($E96),XLOOKUP(S$1,Metadata!$A$2:$A1000,Metadata!$B$2:$B1000))),S$1,"""")"),"")</f>
        <v/>
      </c>
      <c r="T96" s="33" t="str">
        <f>IFERROR(__xludf.DUMMYFUNCTION("IF(IF(T$1="""","""",REGEXMATCH(LOWER($E96),XLOOKUP(T$1,Metadata!$A$2:$A1000,Metadata!$B$2:$B1000))),T$1,"""")"),"")</f>
        <v/>
      </c>
      <c r="U96" s="33" t="str">
        <f>IFERROR(__xludf.DUMMYFUNCTION("IF(IF(U$1="""","""",REGEXMATCH(LOWER($E96),XLOOKUP(U$1,Metadata!$A$2:$A1000,Metadata!$B$2:$B1000))),U$1,"""")"),"")</f>
        <v/>
      </c>
      <c r="V96" s="33" t="str">
        <f>IFERROR(__xludf.DUMMYFUNCTION("IF(IF(V$1="""","""",REGEXMATCH(LOWER($E96),XLOOKUP(V$1,Metadata!$A$2:$A1000,Metadata!$B$2:$B1000))),V$1,"""")"),"")</f>
        <v/>
      </c>
      <c r="W96" s="33" t="str">
        <f>IFERROR(__xludf.DUMMYFUNCTION("IF(IF(W$1="""","""",REGEXMATCH(LOWER($E96),XLOOKUP(W$1,Metadata!$A$2:$A1000,Metadata!$B$2:$B1000))),W$1,"""")"),"")</f>
        <v/>
      </c>
      <c r="X96" s="33" t="str">
        <f>IFERROR(__xludf.DUMMYFUNCTION("IF(IF(X$1="""","""",REGEXMATCH(LOWER($E96),XLOOKUP(X$1,Metadata!$A$2:$A1000,Metadata!$B$2:$B1000))),X$1,"""")"),"")</f>
        <v/>
      </c>
      <c r="Y96" s="33" t="str">
        <f>IFERROR(__xludf.DUMMYFUNCTION("IF(IF(Y$1="""","""",REGEXMATCH(LOWER($E96),XLOOKUP(Y$1,Metadata!$A$2:$A1000,Metadata!$B$2:$B1000))),Y$1,"""")"),"")</f>
        <v/>
      </c>
      <c r="Z96" s="33" t="str">
        <f>IFERROR(__xludf.DUMMYFUNCTION("IF(IF(Z$1="""","""",REGEXMATCH(LOWER($E96),XLOOKUP(Z$1,Metadata!$A$2:$A1000,Metadata!$B$2:$B1000))),Z$1,"""")"),"")</f>
        <v/>
      </c>
      <c r="AA96" s="33" t="str">
        <f>IFERROR(__xludf.DUMMYFUNCTION("IF(AA$1="""","""",REGEXMATCH(LOWER($E96),XLOOKUP(AA$1,Metadata!$A$2:$A1000,Metadata!$B$2:$B1000)))"),"")</f>
        <v/>
      </c>
    </row>
    <row r="97">
      <c r="A97" s="33" t="str">
        <f>IFERROR(__xludf.DUMMYFUNCTION("""COMPUTED_VALUE"""),"Dragon Egg")</f>
        <v>Dragon Egg</v>
      </c>
      <c r="B97" s="33" t="str">
        <f t="array" ref="B97:I97">XLOOKUP($A97,Cards!$A$2:$A1000,Cards!$B$2:$I1000,"")</f>
        <v>Elemental</v>
      </c>
      <c r="C97" s="33">
        <v>1.0</v>
      </c>
      <c r="D97" s="33" t="s">
        <v>380</v>
      </c>
      <c r="E97" s="33" t="s">
        <v>557</v>
      </c>
      <c r="F97" s="33" t="s">
        <v>558</v>
      </c>
      <c r="G97" s="33">
        <v>2.0</v>
      </c>
      <c r="H97" s="33" t="s">
        <v>386</v>
      </c>
      <c r="I97" s="33" t="s">
        <v>26</v>
      </c>
      <c r="J97" s="33">
        <f>IFERROR(__xludf.DUMMYFUNCTION("LEN(REGEXREPLACE(XLOOKUP($A97,Cards!$A$2:$A1000,Cards!$H$2:$H1000,""""),"",\s"",""""))"),1.0)</f>
        <v>1</v>
      </c>
      <c r="K97" s="33" t="str">
        <f t="shared" si="1"/>
        <v>         Aggro   Ambush   </v>
      </c>
      <c r="L97" s="33" t="str">
        <f>IFERROR(__xludf.DUMMYFUNCTION("IF(IF(L$1="""","""",REGEXMATCH(LOWER($E97),XLOOKUP(L$1,Metadata!$A$2:$A1000,Metadata!$B$2:$B1000))),L$1,"""")"),"")</f>
        <v/>
      </c>
      <c r="M97" s="33" t="str">
        <f>IFERROR(__xludf.DUMMYFUNCTION("IF(IF(M$1="""","""",REGEXMATCH(LOWER($E97),XLOOKUP(M$1,Metadata!$A$2:$A1000,Metadata!$B$2:$B1000))),M$1,"""")"),"")</f>
        <v/>
      </c>
      <c r="N97" s="33" t="str">
        <f>IFERROR(__xludf.DUMMYFUNCTION("IF(IF(N$1="""","""",REGEXMATCH(LOWER($E97),XLOOKUP(N$1,Metadata!$A$2:$A1000,Metadata!$B$2:$B1000))),N$1,"""")"),"")</f>
        <v/>
      </c>
      <c r="O97" s="33" t="str">
        <f>IFERROR(__xludf.DUMMYFUNCTION("IF(IF(O$1="""","""",REGEXMATCH(LOWER($E97),XLOOKUP(O$1,Metadata!$A$2:$A1000,Metadata!$B$2:$B1000))),O$1,"""")"),"")</f>
        <v/>
      </c>
      <c r="P97" s="33" t="str">
        <f>IFERROR(__xludf.DUMMYFUNCTION("IF(IF(P$1="""","""",REGEXMATCH(LOWER($E97),XLOOKUP(P$1,Metadata!$A$2:$A1000,Metadata!$B$2:$B1000))),P$1,"""")"),"")</f>
        <v/>
      </c>
      <c r="Q97" s="33" t="str">
        <f>IFERROR(__xludf.DUMMYFUNCTION("IF(IF(Q$1="""","""",REGEXMATCH(LOWER($E97),XLOOKUP(Q$1,Metadata!$A$2:$A1000,Metadata!$B$2:$B1000))),Q$1,"""")"),"")</f>
        <v/>
      </c>
      <c r="R97" s="33" t="str">
        <f>IFERROR(__xludf.DUMMYFUNCTION("IF(IF(R$1="""","""",REGEXMATCH(LOWER($E97),XLOOKUP(R$1,Metadata!$A$2:$A1000,Metadata!$B$2:$B1000))),R$1,"""")"),"")</f>
        <v/>
      </c>
      <c r="S97" s="33" t="str">
        <f>IFERROR(__xludf.DUMMYFUNCTION("IF(IF(S$1="""","""",REGEXMATCH(LOWER($E97),XLOOKUP(S$1,Metadata!$A$2:$A1000,Metadata!$B$2:$B1000))),S$1,"""")"),"")</f>
        <v/>
      </c>
      <c r="T97" s="33" t="str">
        <f>IFERROR(__xludf.DUMMYFUNCTION("IF(IF(T$1="""","""",REGEXMATCH(LOWER($E97),XLOOKUP(T$1,Metadata!$A$2:$A1000,Metadata!$B$2:$B1000))),T$1,"""")"),"")</f>
        <v/>
      </c>
      <c r="U97" s="33" t="str">
        <f>IFERROR(__xludf.DUMMYFUNCTION("IF(IF(U$1="""","""",REGEXMATCH(LOWER($E97),XLOOKUP(U$1,Metadata!$A$2:$A1000,Metadata!$B$2:$B1000))),U$1,"""")"),"Aggro")</f>
        <v>Aggro</v>
      </c>
      <c r="V97" s="33" t="str">
        <f>IFERROR(__xludf.DUMMYFUNCTION("IF(IF(V$1="""","""",REGEXMATCH(LOWER($E97),XLOOKUP(V$1,Metadata!$A$2:$A1000,Metadata!$B$2:$B1000))),V$1,"""")"),"")</f>
        <v/>
      </c>
      <c r="W97" s="33" t="str">
        <f>IFERROR(__xludf.DUMMYFUNCTION("IF(IF(W$1="""","""",REGEXMATCH(LOWER($E97),XLOOKUP(W$1,Metadata!$A$2:$A1000,Metadata!$B$2:$B1000))),W$1,"""")"),"")</f>
        <v/>
      </c>
      <c r="X97" s="33" t="str">
        <f>IFERROR(__xludf.DUMMYFUNCTION("IF(IF(X$1="""","""",REGEXMATCH(LOWER($E97),XLOOKUP(X$1,Metadata!$A$2:$A1000,Metadata!$B$2:$B1000))),X$1,"""")"),"Ambush")</f>
        <v>Ambush</v>
      </c>
      <c r="Y97" s="33" t="str">
        <f>IFERROR(__xludf.DUMMYFUNCTION("IF(IF(Y$1="""","""",REGEXMATCH(LOWER($E97),XLOOKUP(Y$1,Metadata!$A$2:$A1000,Metadata!$B$2:$B1000))),Y$1,"""")"),"")</f>
        <v/>
      </c>
      <c r="Z97" s="33" t="str">
        <f>IFERROR(__xludf.DUMMYFUNCTION("IF(IF(Z$1="""","""",REGEXMATCH(LOWER($E97),XLOOKUP(Z$1,Metadata!$A$2:$A1000,Metadata!$B$2:$B1000))),Z$1,"""")"),"")</f>
        <v/>
      </c>
      <c r="AA97" s="33" t="str">
        <f>IFERROR(__xludf.DUMMYFUNCTION("IF(AA$1="""","""",REGEXMATCH(LOWER($E97),XLOOKUP(AA$1,Metadata!$A$2:$A1000,Metadata!$B$2:$B1000)))"),"")</f>
        <v/>
      </c>
    </row>
    <row r="98">
      <c r="A98" s="33" t="str">
        <f>IFERROR(__xludf.DUMMYFUNCTION("""COMPUTED_VALUE"""),"Dustdance Efreet")</f>
        <v>Dustdance Efreet</v>
      </c>
      <c r="B98" s="33" t="str">
        <f t="array" ref="B98:I98">XLOOKUP($A98,Cards!$A$2:$A1000,Cards!$B$2:$I1000,"")</f>
        <v>Elemental</v>
      </c>
      <c r="C98" s="33">
        <v>1.0</v>
      </c>
      <c r="D98" s="33" t="s">
        <v>355</v>
      </c>
      <c r="E98" s="33" t="s">
        <v>565</v>
      </c>
      <c r="F98" s="33" t="s">
        <v>566</v>
      </c>
      <c r="G98" s="33">
        <v>3.0</v>
      </c>
      <c r="H98" s="33" t="s">
        <v>470</v>
      </c>
      <c r="I98" s="33" t="s">
        <v>26</v>
      </c>
      <c r="J98" s="33">
        <f>IFERROR(__xludf.DUMMYFUNCTION("LEN(REGEXREPLACE(XLOOKUP($A98,Cards!$A$2:$A1000,Cards!$H$2:$H1000,""""),"",\s"",""""))"),4.0)</f>
        <v>4</v>
      </c>
      <c r="K98" s="33" t="str">
        <f t="shared" si="1"/>
        <v>           Move    </v>
      </c>
      <c r="L98" s="33" t="str">
        <f>IFERROR(__xludf.DUMMYFUNCTION("IF(IF(L$1="""","""",REGEXMATCH(LOWER($E98),XLOOKUP(L$1,Metadata!$A$2:$A1000,Metadata!$B$2:$B1000))),L$1,"""")"),"")</f>
        <v/>
      </c>
      <c r="M98" s="33" t="str">
        <f>IFERROR(__xludf.DUMMYFUNCTION("IF(IF(M$1="""","""",REGEXMATCH(LOWER($E98),XLOOKUP(M$1,Metadata!$A$2:$A1000,Metadata!$B$2:$B1000))),M$1,"""")"),"")</f>
        <v/>
      </c>
      <c r="N98" s="33" t="str">
        <f>IFERROR(__xludf.DUMMYFUNCTION("IF(IF(N$1="""","""",REGEXMATCH(LOWER($E98),XLOOKUP(N$1,Metadata!$A$2:$A1000,Metadata!$B$2:$B1000))),N$1,"""")"),"")</f>
        <v/>
      </c>
      <c r="O98" s="33" t="str">
        <f>IFERROR(__xludf.DUMMYFUNCTION("IF(IF(O$1="""","""",REGEXMATCH(LOWER($E98),XLOOKUP(O$1,Metadata!$A$2:$A1000,Metadata!$B$2:$B1000))),O$1,"""")"),"")</f>
        <v/>
      </c>
      <c r="P98" s="33" t="str">
        <f>IFERROR(__xludf.DUMMYFUNCTION("IF(IF(P$1="""","""",REGEXMATCH(LOWER($E98),XLOOKUP(P$1,Metadata!$A$2:$A1000,Metadata!$B$2:$B1000))),P$1,"""")"),"")</f>
        <v/>
      </c>
      <c r="Q98" s="33" t="str">
        <f>IFERROR(__xludf.DUMMYFUNCTION("IF(IF(Q$1="""","""",REGEXMATCH(LOWER($E98),XLOOKUP(Q$1,Metadata!$A$2:$A1000,Metadata!$B$2:$B1000))),Q$1,"""")"),"")</f>
        <v/>
      </c>
      <c r="R98" s="33" t="str">
        <f>IFERROR(__xludf.DUMMYFUNCTION("IF(IF(R$1="""","""",REGEXMATCH(LOWER($E98),XLOOKUP(R$1,Metadata!$A$2:$A1000,Metadata!$B$2:$B1000))),R$1,"""")"),"")</f>
        <v/>
      </c>
      <c r="S98" s="33" t="str">
        <f>IFERROR(__xludf.DUMMYFUNCTION("IF(IF(S$1="""","""",REGEXMATCH(LOWER($E98),XLOOKUP(S$1,Metadata!$A$2:$A1000,Metadata!$B$2:$B1000))),S$1,"""")"),"")</f>
        <v/>
      </c>
      <c r="T98" s="33" t="str">
        <f>IFERROR(__xludf.DUMMYFUNCTION("IF(IF(T$1="""","""",REGEXMATCH(LOWER($E98),XLOOKUP(T$1,Metadata!$A$2:$A1000,Metadata!$B$2:$B1000))),T$1,"""")"),"")</f>
        <v/>
      </c>
      <c r="U98" s="33" t="str">
        <f>IFERROR(__xludf.DUMMYFUNCTION("IF(IF(U$1="""","""",REGEXMATCH(LOWER($E98),XLOOKUP(U$1,Metadata!$A$2:$A1000,Metadata!$B$2:$B1000))),U$1,"""")"),"")</f>
        <v/>
      </c>
      <c r="V98" s="33" t="str">
        <f>IFERROR(__xludf.DUMMYFUNCTION("IF(IF(V$1="""","""",REGEXMATCH(LOWER($E98),XLOOKUP(V$1,Metadata!$A$2:$A1000,Metadata!$B$2:$B1000))),V$1,"""")"),"")</f>
        <v/>
      </c>
      <c r="W98" s="33" t="str">
        <f>IFERROR(__xludf.DUMMYFUNCTION("IF(IF(W$1="""","""",REGEXMATCH(LOWER($E98),XLOOKUP(W$1,Metadata!$A$2:$A1000,Metadata!$B$2:$B1000))),W$1,"""")"),"Move")</f>
        <v>Move</v>
      </c>
      <c r="X98" s="33" t="str">
        <f>IFERROR(__xludf.DUMMYFUNCTION("IF(IF(X$1="""","""",REGEXMATCH(LOWER($E98),XLOOKUP(X$1,Metadata!$A$2:$A1000,Metadata!$B$2:$B1000))),X$1,"""")"),"")</f>
        <v/>
      </c>
      <c r="Y98" s="33" t="str">
        <f>IFERROR(__xludf.DUMMYFUNCTION("IF(IF(Y$1="""","""",REGEXMATCH(LOWER($E98),XLOOKUP(Y$1,Metadata!$A$2:$A1000,Metadata!$B$2:$B1000))),Y$1,"""")"),"")</f>
        <v/>
      </c>
      <c r="Z98" s="33" t="str">
        <f>IFERROR(__xludf.DUMMYFUNCTION("IF(IF(Z$1="""","""",REGEXMATCH(LOWER($E98),XLOOKUP(Z$1,Metadata!$A$2:$A1000,Metadata!$B$2:$B1000))),Z$1,"""")"),"")</f>
        <v/>
      </c>
      <c r="AA98" s="33" t="str">
        <f>IFERROR(__xludf.DUMMYFUNCTION("IF(AA$1="""","""",REGEXMATCH(LOWER($E98),XLOOKUP(AA$1,Metadata!$A$2:$A1000,Metadata!$B$2:$B1000)))"),"")</f>
        <v/>
      </c>
    </row>
    <row r="99">
      <c r="A99" s="33" t="str">
        <f>IFERROR(__xludf.DUMMYFUNCTION("""COMPUTED_VALUE"""),"Hermit of the Horizon")</f>
        <v>Hermit of the Horizon</v>
      </c>
      <c r="B99" s="33" t="str">
        <f t="array" ref="B99:I99">XLOOKUP($A99,Cards!$A$2:$A1000,Cards!$B$2:$I1000,"")</f>
        <v>Elemental</v>
      </c>
      <c r="C99" s="33">
        <v>2.0</v>
      </c>
      <c r="D99" s="33" t="s">
        <v>579</v>
      </c>
      <c r="E99" s="33" t="s">
        <v>580</v>
      </c>
      <c r="F99" s="33" t="s">
        <v>581</v>
      </c>
      <c r="G99" s="33">
        <v>5.0</v>
      </c>
      <c r="H99" s="33" t="s">
        <v>582</v>
      </c>
      <c r="I99" s="33" t="s">
        <v>62</v>
      </c>
      <c r="J99" s="33">
        <f>IFERROR(__xludf.DUMMYFUNCTION("LEN(REGEXREPLACE(XLOOKUP($A99,Cards!$A$2:$A1000,Cards!$H$2:$H1000,""""),"",\s"",""""))"),6.0)</f>
        <v>6</v>
      </c>
      <c r="K99" s="33" t="str">
        <f t="shared" si="1"/>
        <v>      Ramp         </v>
      </c>
      <c r="L99" s="33" t="str">
        <f>IFERROR(__xludf.DUMMYFUNCTION("IF(IF(L$1="""","""",REGEXMATCH(LOWER($E99),XLOOKUP(L$1,Metadata!$A$2:$A1000,Metadata!$B$2:$B1000))),L$1,"""")"),"")</f>
        <v/>
      </c>
      <c r="M99" s="33" t="str">
        <f>IFERROR(__xludf.DUMMYFUNCTION("IF(IF(M$1="""","""",REGEXMATCH(LOWER($E99),XLOOKUP(M$1,Metadata!$A$2:$A1000,Metadata!$B$2:$B1000))),M$1,"""")"),"")</f>
        <v/>
      </c>
      <c r="N99" s="33" t="str">
        <f>IFERROR(__xludf.DUMMYFUNCTION("IF(IF(N$1="""","""",REGEXMATCH(LOWER($E99),XLOOKUP(N$1,Metadata!$A$2:$A1000,Metadata!$B$2:$B1000))),N$1,"""")"),"")</f>
        <v/>
      </c>
      <c r="O99" s="33" t="str">
        <f>IFERROR(__xludf.DUMMYFUNCTION("IF(IF(O$1="""","""",REGEXMATCH(LOWER($E99),XLOOKUP(O$1,Metadata!$A$2:$A1000,Metadata!$B$2:$B1000))),O$1,"""")"),"")</f>
        <v/>
      </c>
      <c r="P99" s="33" t="str">
        <f>IFERROR(__xludf.DUMMYFUNCTION("IF(IF(P$1="""","""",REGEXMATCH(LOWER($E99),XLOOKUP(P$1,Metadata!$A$2:$A1000,Metadata!$B$2:$B1000))),P$1,"""")"),"")</f>
        <v/>
      </c>
      <c r="Q99" s="33" t="str">
        <f>IFERROR(__xludf.DUMMYFUNCTION("IF(IF(Q$1="""","""",REGEXMATCH(LOWER($E99),XLOOKUP(Q$1,Metadata!$A$2:$A1000,Metadata!$B$2:$B1000))),Q$1,"""")"),"")</f>
        <v/>
      </c>
      <c r="R99" s="33" t="str">
        <f>IFERROR(__xludf.DUMMYFUNCTION("IF(IF(R$1="""","""",REGEXMATCH(LOWER($E99),XLOOKUP(R$1,Metadata!$A$2:$A1000,Metadata!$B$2:$B1000))),R$1,"""")"),"Ramp")</f>
        <v>Ramp</v>
      </c>
      <c r="S99" s="33" t="str">
        <f>IFERROR(__xludf.DUMMYFUNCTION("IF(IF(S$1="""","""",REGEXMATCH(LOWER($E99),XLOOKUP(S$1,Metadata!$A$2:$A1000,Metadata!$B$2:$B1000))),S$1,"""")"),"")</f>
        <v/>
      </c>
      <c r="T99" s="33" t="str">
        <f>IFERROR(__xludf.DUMMYFUNCTION("IF(IF(T$1="""","""",REGEXMATCH(LOWER($E99),XLOOKUP(T$1,Metadata!$A$2:$A1000,Metadata!$B$2:$B1000))),T$1,"""")"),"")</f>
        <v/>
      </c>
      <c r="U99" s="33" t="str">
        <f>IFERROR(__xludf.DUMMYFUNCTION("IF(IF(U$1="""","""",REGEXMATCH(LOWER($E99),XLOOKUP(U$1,Metadata!$A$2:$A1000,Metadata!$B$2:$B1000))),U$1,"""")"),"")</f>
        <v/>
      </c>
      <c r="V99" s="33" t="str">
        <f>IFERROR(__xludf.DUMMYFUNCTION("IF(IF(V$1="""","""",REGEXMATCH(LOWER($E99),XLOOKUP(V$1,Metadata!$A$2:$A1000,Metadata!$B$2:$B1000))),V$1,"""")"),"")</f>
        <v/>
      </c>
      <c r="W99" s="33" t="str">
        <f>IFERROR(__xludf.DUMMYFUNCTION("IF(IF(W$1="""","""",REGEXMATCH(LOWER($E99),XLOOKUP(W$1,Metadata!$A$2:$A1000,Metadata!$B$2:$B1000))),W$1,"""")"),"")</f>
        <v/>
      </c>
      <c r="X99" s="33" t="str">
        <f>IFERROR(__xludf.DUMMYFUNCTION("IF(IF(X$1="""","""",REGEXMATCH(LOWER($E99),XLOOKUP(X$1,Metadata!$A$2:$A1000,Metadata!$B$2:$B1000))),X$1,"""")"),"")</f>
        <v/>
      </c>
      <c r="Y99" s="33" t="str">
        <f>IFERROR(__xludf.DUMMYFUNCTION("IF(IF(Y$1="""","""",REGEXMATCH(LOWER($E99),XLOOKUP(Y$1,Metadata!$A$2:$A1000,Metadata!$B$2:$B1000))),Y$1,"""")"),"")</f>
        <v/>
      </c>
      <c r="Z99" s="33" t="str">
        <f>IFERROR(__xludf.DUMMYFUNCTION("IF(IF(Z$1="""","""",REGEXMATCH(LOWER($E99),XLOOKUP(Z$1,Metadata!$A$2:$A1000,Metadata!$B$2:$B1000))),Z$1,"""")"),"")</f>
        <v/>
      </c>
      <c r="AA99" s="33" t="str">
        <f>IFERROR(__xludf.DUMMYFUNCTION("IF(AA$1="""","""",REGEXMATCH(LOWER($E99),XLOOKUP(AA$1,Metadata!$A$2:$A1000,Metadata!$B$2:$B1000)))"),"")</f>
        <v/>
      </c>
    </row>
    <row r="100">
      <c r="A100" s="33" t="str">
        <f>IFERROR(__xludf.DUMMYFUNCTION("""COMPUTED_VALUE"""),"Roughlands Scourge")</f>
        <v>Roughlands Scourge</v>
      </c>
      <c r="B100" s="33" t="str">
        <f t="array" ref="B100:I100">XLOOKUP($A100,Cards!$A$2:$A1000,Cards!$B$2:$I1000,"")</f>
        <v>Elemental</v>
      </c>
      <c r="C100" s="33">
        <v>1.0</v>
      </c>
      <c r="D100" s="33" t="s">
        <v>536</v>
      </c>
      <c r="E100" s="33" t="s">
        <v>584</v>
      </c>
      <c r="F100" s="33" t="s">
        <v>585</v>
      </c>
      <c r="G100" s="33">
        <v>4.0</v>
      </c>
      <c r="H100" s="33" t="s">
        <v>586</v>
      </c>
      <c r="I100" s="33" t="s">
        <v>26</v>
      </c>
      <c r="J100" s="33">
        <f>IFERROR(__xludf.DUMMYFUNCTION("LEN(REGEXREPLACE(XLOOKUP($A100,Cards!$A$2:$A1000,Cards!$H$2:$H1000,""""),"",\s"",""""))"),4.0)</f>
        <v>4</v>
      </c>
      <c r="K100" s="33" t="str">
        <f t="shared" si="1"/>
        <v>               </v>
      </c>
      <c r="L100" s="33" t="str">
        <f>IFERROR(__xludf.DUMMYFUNCTION("IF(IF(L$1="""","""",REGEXMATCH(LOWER($E100),XLOOKUP(L$1,Metadata!$A$2:$A1000,Metadata!$B$2:$B1000))),L$1,"""")"),"")</f>
        <v/>
      </c>
      <c r="M100" s="33" t="str">
        <f>IFERROR(__xludf.DUMMYFUNCTION("IF(IF(M$1="""","""",REGEXMATCH(LOWER($E100),XLOOKUP(M$1,Metadata!$A$2:$A1000,Metadata!$B$2:$B1000))),M$1,"""")"),"")</f>
        <v/>
      </c>
      <c r="N100" s="33" t="str">
        <f>IFERROR(__xludf.DUMMYFUNCTION("IF(IF(N$1="""","""",REGEXMATCH(LOWER($E100),XLOOKUP(N$1,Metadata!$A$2:$A1000,Metadata!$B$2:$B1000))),N$1,"""")"),"")</f>
        <v/>
      </c>
      <c r="O100" s="33" t="str">
        <f>IFERROR(__xludf.DUMMYFUNCTION("IF(IF(O$1="""","""",REGEXMATCH(LOWER($E100),XLOOKUP(O$1,Metadata!$A$2:$A1000,Metadata!$B$2:$B1000))),O$1,"""")"),"")</f>
        <v/>
      </c>
      <c r="P100" s="33" t="str">
        <f>IFERROR(__xludf.DUMMYFUNCTION("IF(IF(P$1="""","""",REGEXMATCH(LOWER($E100),XLOOKUP(P$1,Metadata!$A$2:$A1000,Metadata!$B$2:$B1000))),P$1,"""")"),"")</f>
        <v/>
      </c>
      <c r="Q100" s="33" t="str">
        <f>IFERROR(__xludf.DUMMYFUNCTION("IF(IF(Q$1="""","""",REGEXMATCH(LOWER($E100),XLOOKUP(Q$1,Metadata!$A$2:$A1000,Metadata!$B$2:$B1000))),Q$1,"""")"),"")</f>
        <v/>
      </c>
      <c r="R100" s="33" t="str">
        <f>IFERROR(__xludf.DUMMYFUNCTION("IF(IF(R$1="""","""",REGEXMATCH(LOWER($E100),XLOOKUP(R$1,Metadata!$A$2:$A1000,Metadata!$B$2:$B1000))),R$1,"""")"),"")</f>
        <v/>
      </c>
      <c r="S100" s="33" t="str">
        <f>IFERROR(__xludf.DUMMYFUNCTION("IF(IF(S$1="""","""",REGEXMATCH(LOWER($E100),XLOOKUP(S$1,Metadata!$A$2:$A1000,Metadata!$B$2:$B1000))),S$1,"""")"),"")</f>
        <v/>
      </c>
      <c r="T100" s="33" t="str">
        <f>IFERROR(__xludf.DUMMYFUNCTION("IF(IF(T$1="""","""",REGEXMATCH(LOWER($E100),XLOOKUP(T$1,Metadata!$A$2:$A1000,Metadata!$B$2:$B1000))),T$1,"""")"),"")</f>
        <v/>
      </c>
      <c r="U100" s="33" t="str">
        <f>IFERROR(__xludf.DUMMYFUNCTION("IF(IF(U$1="""","""",REGEXMATCH(LOWER($E100),XLOOKUP(U$1,Metadata!$A$2:$A1000,Metadata!$B$2:$B1000))),U$1,"""")"),"")</f>
        <v/>
      </c>
      <c r="V100" s="33" t="str">
        <f>IFERROR(__xludf.DUMMYFUNCTION("IF(IF(V$1="""","""",REGEXMATCH(LOWER($E100),XLOOKUP(V$1,Metadata!$A$2:$A1000,Metadata!$B$2:$B1000))),V$1,"""")"),"")</f>
        <v/>
      </c>
      <c r="W100" s="33" t="str">
        <f>IFERROR(__xludf.DUMMYFUNCTION("IF(IF(W$1="""","""",REGEXMATCH(LOWER($E100),XLOOKUP(W$1,Metadata!$A$2:$A1000,Metadata!$B$2:$B1000))),W$1,"""")"),"")</f>
        <v/>
      </c>
      <c r="X100" s="33" t="str">
        <f>IFERROR(__xludf.DUMMYFUNCTION("IF(IF(X$1="""","""",REGEXMATCH(LOWER($E100),XLOOKUP(X$1,Metadata!$A$2:$A1000,Metadata!$B$2:$B1000))),X$1,"""")"),"")</f>
        <v/>
      </c>
      <c r="Y100" s="33" t="str">
        <f>IFERROR(__xludf.DUMMYFUNCTION("IF(IF(Y$1="""","""",REGEXMATCH(LOWER($E100),XLOOKUP(Y$1,Metadata!$A$2:$A1000,Metadata!$B$2:$B1000))),Y$1,"""")"),"")</f>
        <v/>
      </c>
      <c r="Z100" s="33" t="str">
        <f>IFERROR(__xludf.DUMMYFUNCTION("IF(IF(Z$1="""","""",REGEXMATCH(LOWER($E100),XLOOKUP(Z$1,Metadata!$A$2:$A1000,Metadata!$B$2:$B1000))),Z$1,"""")"),"")</f>
        <v/>
      </c>
      <c r="AA100" s="33" t="str">
        <f>IFERROR(__xludf.DUMMYFUNCTION("IF(AA$1="""","""",REGEXMATCH(LOWER($E100),XLOOKUP(AA$1,Metadata!$A$2:$A1000,Metadata!$B$2:$B1000)))"),"")</f>
        <v/>
      </c>
    </row>
    <row r="101">
      <c r="A101" s="33" t="str">
        <f>IFERROR(__xludf.DUMMYFUNCTION("""COMPUTED_VALUE"""),"Mirrorworld Bloodseeker")</f>
        <v>Mirrorworld Bloodseeker</v>
      </c>
      <c r="B101" s="33" t="str">
        <f t="array" ref="B101:I101">XLOOKUP($A101,Cards!$A$2:$A1000,Cards!$B$2:$I1000,"")</f>
        <v>Elemental</v>
      </c>
      <c r="C101" s="33">
        <v>2.0</v>
      </c>
      <c r="D101" s="33" t="s">
        <v>599</v>
      </c>
      <c r="E101" s="33" t="s">
        <v>600</v>
      </c>
      <c r="F101" s="33" t="s">
        <v>336</v>
      </c>
      <c r="G101" s="33">
        <v>3.0</v>
      </c>
      <c r="H101" s="33" t="s">
        <v>368</v>
      </c>
      <c r="I101" s="33" t="s">
        <v>62</v>
      </c>
      <c r="J101" s="33">
        <f>IFERROR(__xludf.DUMMYFUNCTION("LEN(REGEXREPLACE(XLOOKUP($A101,Cards!$A$2:$A1000,Cards!$H$2:$H1000,""""),"",\s"",""""))"),3.0)</f>
        <v>3</v>
      </c>
      <c r="K101" s="33" t="str">
        <f t="shared" si="1"/>
        <v>      Ramp   Aggro      </v>
      </c>
      <c r="L101" s="33" t="str">
        <f>IFERROR(__xludf.DUMMYFUNCTION("IF(IF(L$1="""","""",REGEXMATCH(LOWER($E101),XLOOKUP(L$1,Metadata!$A$2:$A1000,Metadata!$B$2:$B1000))),L$1,"""")"),"")</f>
        <v/>
      </c>
      <c r="M101" s="33" t="str">
        <f>IFERROR(__xludf.DUMMYFUNCTION("IF(IF(M$1="""","""",REGEXMATCH(LOWER($E101),XLOOKUP(M$1,Metadata!$A$2:$A1000,Metadata!$B$2:$B1000))),M$1,"""")"),"")</f>
        <v/>
      </c>
      <c r="N101" s="33" t="str">
        <f>IFERROR(__xludf.DUMMYFUNCTION("IF(IF(N$1="""","""",REGEXMATCH(LOWER($E101),XLOOKUP(N$1,Metadata!$A$2:$A1000,Metadata!$B$2:$B1000))),N$1,"""")"),"")</f>
        <v/>
      </c>
      <c r="O101" s="33" t="str">
        <f>IFERROR(__xludf.DUMMYFUNCTION("IF(IF(O$1="""","""",REGEXMATCH(LOWER($E101),XLOOKUP(O$1,Metadata!$A$2:$A1000,Metadata!$B$2:$B1000))),O$1,"""")"),"")</f>
        <v/>
      </c>
      <c r="P101" s="33" t="str">
        <f>IFERROR(__xludf.DUMMYFUNCTION("IF(IF(P$1="""","""",REGEXMATCH(LOWER($E101),XLOOKUP(P$1,Metadata!$A$2:$A1000,Metadata!$B$2:$B1000))),P$1,"""")"),"")</f>
        <v/>
      </c>
      <c r="Q101" s="33" t="str">
        <f>IFERROR(__xludf.DUMMYFUNCTION("IF(IF(Q$1="""","""",REGEXMATCH(LOWER($E101),XLOOKUP(Q$1,Metadata!$A$2:$A1000,Metadata!$B$2:$B1000))),Q$1,"""")"),"")</f>
        <v/>
      </c>
      <c r="R101" s="33" t="str">
        <f>IFERROR(__xludf.DUMMYFUNCTION("IF(IF(R$1="""","""",REGEXMATCH(LOWER($E101),XLOOKUP(R$1,Metadata!$A$2:$A1000,Metadata!$B$2:$B1000))),R$1,"""")"),"Ramp")</f>
        <v>Ramp</v>
      </c>
      <c r="S101" s="33" t="str">
        <f>IFERROR(__xludf.DUMMYFUNCTION("IF(IF(S$1="""","""",REGEXMATCH(LOWER($E101),XLOOKUP(S$1,Metadata!$A$2:$A1000,Metadata!$B$2:$B1000))),S$1,"""")"),"")</f>
        <v/>
      </c>
      <c r="T101" s="33" t="str">
        <f>IFERROR(__xludf.DUMMYFUNCTION("IF(IF(T$1="""","""",REGEXMATCH(LOWER($E101),XLOOKUP(T$1,Metadata!$A$2:$A1000,Metadata!$B$2:$B1000))),T$1,"""")"),"")</f>
        <v/>
      </c>
      <c r="U101" s="33" t="str">
        <f>IFERROR(__xludf.DUMMYFUNCTION("IF(IF(U$1="""","""",REGEXMATCH(LOWER($E101),XLOOKUP(U$1,Metadata!$A$2:$A1000,Metadata!$B$2:$B1000))),U$1,"""")"),"Aggro")</f>
        <v>Aggro</v>
      </c>
      <c r="V101" s="33" t="str">
        <f>IFERROR(__xludf.DUMMYFUNCTION("IF(IF(V$1="""","""",REGEXMATCH(LOWER($E101),XLOOKUP(V$1,Metadata!$A$2:$A1000,Metadata!$B$2:$B1000))),V$1,"""")"),"")</f>
        <v/>
      </c>
      <c r="W101" s="33" t="str">
        <f>IFERROR(__xludf.DUMMYFUNCTION("IF(IF(W$1="""","""",REGEXMATCH(LOWER($E101),XLOOKUP(W$1,Metadata!$A$2:$A1000,Metadata!$B$2:$B1000))),W$1,"""")"),"")</f>
        <v/>
      </c>
      <c r="X101" s="33" t="str">
        <f>IFERROR(__xludf.DUMMYFUNCTION("IF(IF(X$1="""","""",REGEXMATCH(LOWER($E101),XLOOKUP(X$1,Metadata!$A$2:$A1000,Metadata!$B$2:$B1000))),X$1,"""")"),"")</f>
        <v/>
      </c>
      <c r="Y101" s="33" t="str">
        <f>IFERROR(__xludf.DUMMYFUNCTION("IF(IF(Y$1="""","""",REGEXMATCH(LOWER($E101),XLOOKUP(Y$1,Metadata!$A$2:$A1000,Metadata!$B$2:$B1000))),Y$1,"""")"),"")</f>
        <v/>
      </c>
      <c r="Z101" s="33" t="str">
        <f>IFERROR(__xludf.DUMMYFUNCTION("IF(IF(Z$1="""","""",REGEXMATCH(LOWER($E101),XLOOKUP(Z$1,Metadata!$A$2:$A1000,Metadata!$B$2:$B1000))),Z$1,"""")"),"")</f>
        <v/>
      </c>
      <c r="AA101" s="33" t="str">
        <f>IFERROR(__xludf.DUMMYFUNCTION("IF(AA$1="""","""",REGEXMATCH(LOWER($E101),XLOOKUP(AA$1,Metadata!$A$2:$A1000,Metadata!$B$2:$B1000)))"),"")</f>
        <v/>
      </c>
    </row>
    <row r="102">
      <c r="A102" s="33" t="str">
        <f>IFERROR(__xludf.DUMMYFUNCTION("""COMPUTED_VALUE"""),"Mountain Sage")</f>
        <v>Mountain Sage</v>
      </c>
      <c r="B102" s="33" t="str">
        <f t="array" ref="B102:I102">XLOOKUP($A102,Cards!$A$2:$A1000,Cards!$B$2:$I1000,"")</f>
        <v>Elemental</v>
      </c>
      <c r="C102" s="33">
        <v>2.0</v>
      </c>
      <c r="D102" s="33" t="s">
        <v>602</v>
      </c>
      <c r="E102" s="33" t="s">
        <v>603</v>
      </c>
      <c r="F102" s="33" t="s">
        <v>604</v>
      </c>
      <c r="G102" s="33">
        <v>2.0</v>
      </c>
      <c r="H102" s="33" t="s">
        <v>368</v>
      </c>
      <c r="I102" s="33" t="s">
        <v>62</v>
      </c>
      <c r="J102" s="33">
        <f>IFERROR(__xludf.DUMMYFUNCTION("LEN(REGEXREPLACE(XLOOKUP($A102,Cards!$A$2:$A1000,Cards!$H$2:$H1000,""""),"",\s"",""""))"),3.0)</f>
        <v>3</v>
      </c>
      <c r="K102" s="33" t="str">
        <f t="shared" si="1"/>
        <v>               </v>
      </c>
      <c r="L102" s="33" t="str">
        <f>IFERROR(__xludf.DUMMYFUNCTION("IF(IF(L$1="""","""",REGEXMATCH(LOWER($E102),XLOOKUP(L$1,Metadata!$A$2:$A1000,Metadata!$B$2:$B1000))),L$1,"""")"),"")</f>
        <v/>
      </c>
      <c r="M102" s="33" t="str">
        <f>IFERROR(__xludf.DUMMYFUNCTION("IF(IF(M$1="""","""",REGEXMATCH(LOWER($E102),XLOOKUP(M$1,Metadata!$A$2:$A1000,Metadata!$B$2:$B1000))),M$1,"""")"),"")</f>
        <v/>
      </c>
      <c r="N102" s="33" t="str">
        <f>IFERROR(__xludf.DUMMYFUNCTION("IF(IF(N$1="""","""",REGEXMATCH(LOWER($E102),XLOOKUP(N$1,Metadata!$A$2:$A1000,Metadata!$B$2:$B1000))),N$1,"""")"),"")</f>
        <v/>
      </c>
      <c r="O102" s="33" t="str">
        <f>IFERROR(__xludf.DUMMYFUNCTION("IF(IF(O$1="""","""",REGEXMATCH(LOWER($E102),XLOOKUP(O$1,Metadata!$A$2:$A1000,Metadata!$B$2:$B1000))),O$1,"""")"),"")</f>
        <v/>
      </c>
      <c r="P102" s="33" t="str">
        <f>IFERROR(__xludf.DUMMYFUNCTION("IF(IF(P$1="""","""",REGEXMATCH(LOWER($E102),XLOOKUP(P$1,Metadata!$A$2:$A1000,Metadata!$B$2:$B1000))),P$1,"""")"),"")</f>
        <v/>
      </c>
      <c r="Q102" s="33" t="str">
        <f>IFERROR(__xludf.DUMMYFUNCTION("IF(IF(Q$1="""","""",REGEXMATCH(LOWER($E102),XLOOKUP(Q$1,Metadata!$A$2:$A1000,Metadata!$B$2:$B1000))),Q$1,"""")"),"")</f>
        <v/>
      </c>
      <c r="R102" s="33" t="str">
        <f>IFERROR(__xludf.DUMMYFUNCTION("IF(IF(R$1="""","""",REGEXMATCH(LOWER($E102),XLOOKUP(R$1,Metadata!$A$2:$A1000,Metadata!$B$2:$B1000))),R$1,"""")"),"")</f>
        <v/>
      </c>
      <c r="S102" s="33" t="str">
        <f>IFERROR(__xludf.DUMMYFUNCTION("IF(IF(S$1="""","""",REGEXMATCH(LOWER($E102),XLOOKUP(S$1,Metadata!$A$2:$A1000,Metadata!$B$2:$B1000))),S$1,"""")"),"")</f>
        <v/>
      </c>
      <c r="T102" s="33" t="str">
        <f>IFERROR(__xludf.DUMMYFUNCTION("IF(IF(T$1="""","""",REGEXMATCH(LOWER($E102),XLOOKUP(T$1,Metadata!$A$2:$A1000,Metadata!$B$2:$B1000))),T$1,"""")"),"")</f>
        <v/>
      </c>
      <c r="U102" s="33" t="str">
        <f>IFERROR(__xludf.DUMMYFUNCTION("IF(IF(U$1="""","""",REGEXMATCH(LOWER($E102),XLOOKUP(U$1,Metadata!$A$2:$A1000,Metadata!$B$2:$B1000))),U$1,"""")"),"")</f>
        <v/>
      </c>
      <c r="V102" s="33" t="str">
        <f>IFERROR(__xludf.DUMMYFUNCTION("IF(IF(V$1="""","""",REGEXMATCH(LOWER($E102),XLOOKUP(V$1,Metadata!$A$2:$A1000,Metadata!$B$2:$B1000))),V$1,"""")"),"")</f>
        <v/>
      </c>
      <c r="W102" s="33" t="str">
        <f>IFERROR(__xludf.DUMMYFUNCTION("IF(IF(W$1="""","""",REGEXMATCH(LOWER($E102),XLOOKUP(W$1,Metadata!$A$2:$A1000,Metadata!$B$2:$B1000))),W$1,"""")"),"")</f>
        <v/>
      </c>
      <c r="X102" s="33" t="str">
        <f>IFERROR(__xludf.DUMMYFUNCTION("IF(IF(X$1="""","""",REGEXMATCH(LOWER($E102),XLOOKUP(X$1,Metadata!$A$2:$A1000,Metadata!$B$2:$B1000))),X$1,"""")"),"")</f>
        <v/>
      </c>
      <c r="Y102" s="33" t="str">
        <f>IFERROR(__xludf.DUMMYFUNCTION("IF(IF(Y$1="""","""",REGEXMATCH(LOWER($E102),XLOOKUP(Y$1,Metadata!$A$2:$A1000,Metadata!$B$2:$B1000))),Y$1,"""")"),"")</f>
        <v/>
      </c>
      <c r="Z102" s="33" t="str">
        <f>IFERROR(__xludf.DUMMYFUNCTION("IF(IF(Z$1="""","""",REGEXMATCH(LOWER($E102),XLOOKUP(Z$1,Metadata!$A$2:$A1000,Metadata!$B$2:$B1000))),Z$1,"""")"),"")</f>
        <v/>
      </c>
      <c r="AA102" s="33" t="str">
        <f>IFERROR(__xludf.DUMMYFUNCTION("IF(AA$1="""","""",REGEXMATCH(LOWER($E102),XLOOKUP(AA$1,Metadata!$A$2:$A1000,Metadata!$B$2:$B1000)))"),"")</f>
        <v/>
      </c>
    </row>
    <row r="103">
      <c r="A103" s="33" t="str">
        <f>IFERROR(__xludf.DUMMYFUNCTION("""COMPUTED_VALUE"""),"Nimbus Claw")</f>
        <v>Nimbus Claw</v>
      </c>
      <c r="B103" s="33" t="str">
        <f t="array" ref="B103:I103">XLOOKUP($A103,Cards!$A$2:$A1000,Cards!$B$2:$I1000,"")</f>
        <v>Elemental</v>
      </c>
      <c r="C103" s="33">
        <v>0.0</v>
      </c>
      <c r="D103" s="33" t="s">
        <v>266</v>
      </c>
      <c r="E103" s="33" t="s">
        <v>606</v>
      </c>
      <c r="F103" s="33" t="s">
        <v>607</v>
      </c>
      <c r="G103" s="33">
        <v>2.0</v>
      </c>
      <c r="H103" s="33" t="s">
        <v>534</v>
      </c>
      <c r="I103" s="33" t="s">
        <v>26</v>
      </c>
      <c r="J103" s="33">
        <f>IFERROR(__xludf.DUMMYFUNCTION("LEN(REGEXREPLACE(XLOOKUP($A103,Cards!$A$2:$A1000,Cards!$H$2:$H1000,""""),"",\s"",""""))"),2.0)</f>
        <v>2</v>
      </c>
      <c r="K103" s="33" t="str">
        <f t="shared" si="1"/>
        <v>         Aggro      </v>
      </c>
      <c r="L103" s="33" t="str">
        <f>IFERROR(__xludf.DUMMYFUNCTION("IF(IF(L$1="""","""",REGEXMATCH(LOWER($E103),XLOOKUP(L$1,Metadata!$A$2:$A1000,Metadata!$B$2:$B1000))),L$1,"""")"),"")</f>
        <v/>
      </c>
      <c r="M103" s="33" t="str">
        <f>IFERROR(__xludf.DUMMYFUNCTION("IF(IF(M$1="""","""",REGEXMATCH(LOWER($E103),XLOOKUP(M$1,Metadata!$A$2:$A1000,Metadata!$B$2:$B1000))),M$1,"""")"),"")</f>
        <v/>
      </c>
      <c r="N103" s="33" t="str">
        <f>IFERROR(__xludf.DUMMYFUNCTION("IF(IF(N$1="""","""",REGEXMATCH(LOWER($E103),XLOOKUP(N$1,Metadata!$A$2:$A1000,Metadata!$B$2:$B1000))),N$1,"""")"),"")</f>
        <v/>
      </c>
      <c r="O103" s="33" t="str">
        <f>IFERROR(__xludf.DUMMYFUNCTION("IF(IF(O$1="""","""",REGEXMATCH(LOWER($E103),XLOOKUP(O$1,Metadata!$A$2:$A1000,Metadata!$B$2:$B1000))),O$1,"""")"),"")</f>
        <v/>
      </c>
      <c r="P103" s="33" t="str">
        <f>IFERROR(__xludf.DUMMYFUNCTION("IF(IF(P$1="""","""",REGEXMATCH(LOWER($E103),XLOOKUP(P$1,Metadata!$A$2:$A1000,Metadata!$B$2:$B1000))),P$1,"""")"),"")</f>
        <v/>
      </c>
      <c r="Q103" s="33" t="str">
        <f>IFERROR(__xludf.DUMMYFUNCTION("IF(IF(Q$1="""","""",REGEXMATCH(LOWER($E103),XLOOKUP(Q$1,Metadata!$A$2:$A1000,Metadata!$B$2:$B1000))),Q$1,"""")"),"")</f>
        <v/>
      </c>
      <c r="R103" s="33" t="str">
        <f>IFERROR(__xludf.DUMMYFUNCTION("IF(IF(R$1="""","""",REGEXMATCH(LOWER($E103),XLOOKUP(R$1,Metadata!$A$2:$A1000,Metadata!$B$2:$B1000))),R$1,"""")"),"")</f>
        <v/>
      </c>
      <c r="S103" s="33" t="str">
        <f>IFERROR(__xludf.DUMMYFUNCTION("IF(IF(S$1="""","""",REGEXMATCH(LOWER($E103),XLOOKUP(S$1,Metadata!$A$2:$A1000,Metadata!$B$2:$B1000))),S$1,"""")"),"")</f>
        <v/>
      </c>
      <c r="T103" s="33" t="str">
        <f>IFERROR(__xludf.DUMMYFUNCTION("IF(IF(T$1="""","""",REGEXMATCH(LOWER($E103),XLOOKUP(T$1,Metadata!$A$2:$A1000,Metadata!$B$2:$B1000))),T$1,"""")"),"")</f>
        <v/>
      </c>
      <c r="U103" s="33" t="str">
        <f>IFERROR(__xludf.DUMMYFUNCTION("IF(IF(U$1="""","""",REGEXMATCH(LOWER($E103),XLOOKUP(U$1,Metadata!$A$2:$A1000,Metadata!$B$2:$B1000))),U$1,"""")"),"Aggro")</f>
        <v>Aggro</v>
      </c>
      <c r="V103" s="33" t="str">
        <f>IFERROR(__xludf.DUMMYFUNCTION("IF(IF(V$1="""","""",REGEXMATCH(LOWER($E103),XLOOKUP(V$1,Metadata!$A$2:$A1000,Metadata!$B$2:$B1000))),V$1,"""")"),"")</f>
        <v/>
      </c>
      <c r="W103" s="33" t="str">
        <f>IFERROR(__xludf.DUMMYFUNCTION("IF(IF(W$1="""","""",REGEXMATCH(LOWER($E103),XLOOKUP(W$1,Metadata!$A$2:$A1000,Metadata!$B$2:$B1000))),W$1,"""")"),"")</f>
        <v/>
      </c>
      <c r="X103" s="33" t="str">
        <f>IFERROR(__xludf.DUMMYFUNCTION("IF(IF(X$1="""","""",REGEXMATCH(LOWER($E103),XLOOKUP(X$1,Metadata!$A$2:$A1000,Metadata!$B$2:$B1000))),X$1,"""")"),"")</f>
        <v/>
      </c>
      <c r="Y103" s="33" t="str">
        <f>IFERROR(__xludf.DUMMYFUNCTION("IF(IF(Y$1="""","""",REGEXMATCH(LOWER($E103),XLOOKUP(Y$1,Metadata!$A$2:$A1000,Metadata!$B$2:$B1000))),Y$1,"""")"),"")</f>
        <v/>
      </c>
      <c r="Z103" s="33" t="str">
        <f>IFERROR(__xludf.DUMMYFUNCTION("IF(IF(Z$1="""","""",REGEXMATCH(LOWER($E103),XLOOKUP(Z$1,Metadata!$A$2:$A1000,Metadata!$B$2:$B1000))),Z$1,"""")"),"")</f>
        <v/>
      </c>
      <c r="AA103" s="33" t="str">
        <f>IFERROR(__xludf.DUMMYFUNCTION("IF(AA$1="""","""",REGEXMATCH(LOWER($E103),XLOOKUP(AA$1,Metadata!$A$2:$A1000,Metadata!$B$2:$B1000)))"),"")</f>
        <v/>
      </c>
    </row>
    <row r="104">
      <c r="A104" s="33" t="str">
        <f>IFERROR(__xludf.DUMMYFUNCTION("""COMPUTED_VALUE"""),"Omen Firefly")</f>
        <v>Omen Firefly</v>
      </c>
      <c r="B104" s="33" t="str">
        <f t="array" ref="B104:I104">XLOOKUP($A104,Cards!$A$2:$A1000,Cards!$B$2:$I1000,"")</f>
        <v>Elemental</v>
      </c>
      <c r="C104" s="33">
        <v>2.0</v>
      </c>
      <c r="D104" s="33" t="s">
        <v>609</v>
      </c>
      <c r="E104" s="33" t="s">
        <v>610</v>
      </c>
      <c r="F104" s="33" t="s">
        <v>611</v>
      </c>
      <c r="G104" s="33">
        <v>1.0</v>
      </c>
      <c r="H104" s="33" t="s">
        <v>386</v>
      </c>
      <c r="I104" s="33" t="s">
        <v>26</v>
      </c>
      <c r="J104" s="33">
        <f>IFERROR(__xludf.DUMMYFUNCTION("LEN(REGEXREPLACE(XLOOKUP($A104,Cards!$A$2:$A1000,Cards!$H$2:$H1000,""""),"",\s"",""""))"),1.0)</f>
        <v>1</v>
      </c>
      <c r="K104" s="33" t="str">
        <f t="shared" si="1"/>
        <v>       Control     Ambush   </v>
      </c>
      <c r="L104" s="33" t="str">
        <f>IFERROR(__xludf.DUMMYFUNCTION("IF(IF(L$1="""","""",REGEXMATCH(LOWER($E104),XLOOKUP(L$1,Metadata!$A$2:$A1000,Metadata!$B$2:$B1000))),L$1,"""")"),"")</f>
        <v/>
      </c>
      <c r="M104" s="33" t="str">
        <f>IFERROR(__xludf.DUMMYFUNCTION("IF(IF(M$1="""","""",REGEXMATCH(LOWER($E104),XLOOKUP(M$1,Metadata!$A$2:$A1000,Metadata!$B$2:$B1000))),M$1,"""")"),"")</f>
        <v/>
      </c>
      <c r="N104" s="33" t="str">
        <f>IFERROR(__xludf.DUMMYFUNCTION("IF(IF(N$1="""","""",REGEXMATCH(LOWER($E104),XLOOKUP(N$1,Metadata!$A$2:$A1000,Metadata!$B$2:$B1000))),N$1,"""")"),"")</f>
        <v/>
      </c>
      <c r="O104" s="33" t="str">
        <f>IFERROR(__xludf.DUMMYFUNCTION("IF(IF(O$1="""","""",REGEXMATCH(LOWER($E104),XLOOKUP(O$1,Metadata!$A$2:$A1000,Metadata!$B$2:$B1000))),O$1,"""")"),"")</f>
        <v/>
      </c>
      <c r="P104" s="33" t="str">
        <f>IFERROR(__xludf.DUMMYFUNCTION("IF(IF(P$1="""","""",REGEXMATCH(LOWER($E104),XLOOKUP(P$1,Metadata!$A$2:$A1000,Metadata!$B$2:$B1000))),P$1,"""")"),"")</f>
        <v/>
      </c>
      <c r="Q104" s="33" t="str">
        <f>IFERROR(__xludf.DUMMYFUNCTION("IF(IF(Q$1="""","""",REGEXMATCH(LOWER($E104),XLOOKUP(Q$1,Metadata!$A$2:$A1000,Metadata!$B$2:$B1000))),Q$1,"""")"),"")</f>
        <v/>
      </c>
      <c r="R104" s="33" t="str">
        <f>IFERROR(__xludf.DUMMYFUNCTION("IF(IF(R$1="""","""",REGEXMATCH(LOWER($E104),XLOOKUP(R$1,Metadata!$A$2:$A1000,Metadata!$B$2:$B1000))),R$1,"""")"),"")</f>
        <v/>
      </c>
      <c r="S104" s="33" t="str">
        <f>IFERROR(__xludf.DUMMYFUNCTION("IF(IF(S$1="""","""",REGEXMATCH(LOWER($E104),XLOOKUP(S$1,Metadata!$A$2:$A1000,Metadata!$B$2:$B1000))),S$1,"""")"),"Control")</f>
        <v>Control</v>
      </c>
      <c r="T104" s="33" t="str">
        <f>IFERROR(__xludf.DUMMYFUNCTION("IF(IF(T$1="""","""",REGEXMATCH(LOWER($E104),XLOOKUP(T$1,Metadata!$A$2:$A1000,Metadata!$B$2:$B1000))),T$1,"""")"),"")</f>
        <v/>
      </c>
      <c r="U104" s="33" t="str">
        <f>IFERROR(__xludf.DUMMYFUNCTION("IF(IF(U$1="""","""",REGEXMATCH(LOWER($E104),XLOOKUP(U$1,Metadata!$A$2:$A1000,Metadata!$B$2:$B1000))),U$1,"""")"),"")</f>
        <v/>
      </c>
      <c r="V104" s="33" t="str">
        <f>IFERROR(__xludf.DUMMYFUNCTION("IF(IF(V$1="""","""",REGEXMATCH(LOWER($E104),XLOOKUP(V$1,Metadata!$A$2:$A1000,Metadata!$B$2:$B1000))),V$1,"""")"),"")</f>
        <v/>
      </c>
      <c r="W104" s="33" t="str">
        <f>IFERROR(__xludf.DUMMYFUNCTION("IF(IF(W$1="""","""",REGEXMATCH(LOWER($E104),XLOOKUP(W$1,Metadata!$A$2:$A1000,Metadata!$B$2:$B1000))),W$1,"""")"),"")</f>
        <v/>
      </c>
      <c r="X104" s="33" t="str">
        <f>IFERROR(__xludf.DUMMYFUNCTION("IF(IF(X$1="""","""",REGEXMATCH(LOWER($E104),XLOOKUP(X$1,Metadata!$A$2:$A1000,Metadata!$B$2:$B1000))),X$1,"""")"),"Ambush")</f>
        <v>Ambush</v>
      </c>
      <c r="Y104" s="33" t="str">
        <f>IFERROR(__xludf.DUMMYFUNCTION("IF(IF(Y$1="""","""",REGEXMATCH(LOWER($E104),XLOOKUP(Y$1,Metadata!$A$2:$A1000,Metadata!$B$2:$B1000))),Y$1,"""")"),"")</f>
        <v/>
      </c>
      <c r="Z104" s="33" t="str">
        <f>IFERROR(__xludf.DUMMYFUNCTION("IF(IF(Z$1="""","""",REGEXMATCH(LOWER($E104),XLOOKUP(Z$1,Metadata!$A$2:$A1000,Metadata!$B$2:$B1000))),Z$1,"""")"),"")</f>
        <v/>
      </c>
      <c r="AA104" s="33" t="str">
        <f>IFERROR(__xludf.DUMMYFUNCTION("IF(AA$1="""","""",REGEXMATCH(LOWER($E104),XLOOKUP(AA$1,Metadata!$A$2:$A1000,Metadata!$B$2:$B1000)))"),"")</f>
        <v/>
      </c>
    </row>
    <row r="105">
      <c r="A105" s="33" t="str">
        <f>IFERROR(__xludf.DUMMYFUNCTION("""COMPUTED_VALUE"""),"Pixie Summoner")</f>
        <v>Pixie Summoner</v>
      </c>
      <c r="B105" s="33" t="str">
        <f t="array" ref="B105:I105">XLOOKUP($A105,Cards!$A$2:$A1000,Cards!$B$2:$I1000,"")</f>
        <v>Elemental</v>
      </c>
      <c r="C105" s="33">
        <v>2.0</v>
      </c>
      <c r="D105" s="33" t="s">
        <v>294</v>
      </c>
      <c r="E105" s="33" t="s">
        <v>613</v>
      </c>
      <c r="F105" s="33" t="s">
        <v>336</v>
      </c>
      <c r="G105" s="33">
        <v>4.0</v>
      </c>
      <c r="H105" s="33" t="s">
        <v>586</v>
      </c>
      <c r="I105" s="33" t="s">
        <v>26</v>
      </c>
      <c r="J105" s="33">
        <f>IFERROR(__xludf.DUMMYFUNCTION("LEN(REGEXREPLACE(XLOOKUP($A105,Cards!$A$2:$A1000,Cards!$H$2:$H1000,""""),"",\s"",""""))"),4.0)</f>
        <v>4</v>
      </c>
      <c r="K105" s="33" t="str">
        <f t="shared" si="1"/>
        <v>           Move    </v>
      </c>
      <c r="L105" s="33" t="str">
        <f>IFERROR(__xludf.DUMMYFUNCTION("IF(IF(L$1="""","""",REGEXMATCH(LOWER($E105),XLOOKUP(L$1,Metadata!$A$2:$A1000,Metadata!$B$2:$B1000))),L$1,"""")"),"")</f>
        <v/>
      </c>
      <c r="M105" s="33" t="str">
        <f>IFERROR(__xludf.DUMMYFUNCTION("IF(IF(M$1="""","""",REGEXMATCH(LOWER($E105),XLOOKUP(M$1,Metadata!$A$2:$A1000,Metadata!$B$2:$B1000))),M$1,"""")"),"")</f>
        <v/>
      </c>
      <c r="N105" s="33" t="str">
        <f>IFERROR(__xludf.DUMMYFUNCTION("IF(IF(N$1="""","""",REGEXMATCH(LOWER($E105),XLOOKUP(N$1,Metadata!$A$2:$A1000,Metadata!$B$2:$B1000))),N$1,"""")"),"")</f>
        <v/>
      </c>
      <c r="O105" s="33" t="str">
        <f>IFERROR(__xludf.DUMMYFUNCTION("IF(IF(O$1="""","""",REGEXMATCH(LOWER($E105),XLOOKUP(O$1,Metadata!$A$2:$A1000,Metadata!$B$2:$B1000))),O$1,"""")"),"")</f>
        <v/>
      </c>
      <c r="P105" s="33" t="str">
        <f>IFERROR(__xludf.DUMMYFUNCTION("IF(IF(P$1="""","""",REGEXMATCH(LOWER($E105),XLOOKUP(P$1,Metadata!$A$2:$A1000,Metadata!$B$2:$B1000))),P$1,"""")"),"")</f>
        <v/>
      </c>
      <c r="Q105" s="33" t="str">
        <f>IFERROR(__xludf.DUMMYFUNCTION("IF(IF(Q$1="""","""",REGEXMATCH(LOWER($E105),XLOOKUP(Q$1,Metadata!$A$2:$A1000,Metadata!$B$2:$B1000))),Q$1,"""")"),"")</f>
        <v/>
      </c>
      <c r="R105" s="33" t="str">
        <f>IFERROR(__xludf.DUMMYFUNCTION("IF(IF(R$1="""","""",REGEXMATCH(LOWER($E105),XLOOKUP(R$1,Metadata!$A$2:$A1000,Metadata!$B$2:$B1000))),R$1,"""")"),"")</f>
        <v/>
      </c>
      <c r="S105" s="33" t="str">
        <f>IFERROR(__xludf.DUMMYFUNCTION("IF(IF(S$1="""","""",REGEXMATCH(LOWER($E105),XLOOKUP(S$1,Metadata!$A$2:$A1000,Metadata!$B$2:$B1000))),S$1,"""")"),"")</f>
        <v/>
      </c>
      <c r="T105" s="33" t="str">
        <f>IFERROR(__xludf.DUMMYFUNCTION("IF(IF(T$1="""","""",REGEXMATCH(LOWER($E105),XLOOKUP(T$1,Metadata!$A$2:$A1000,Metadata!$B$2:$B1000))),T$1,"""")"),"")</f>
        <v/>
      </c>
      <c r="U105" s="33" t="str">
        <f>IFERROR(__xludf.DUMMYFUNCTION("IF(IF(U$1="""","""",REGEXMATCH(LOWER($E105),XLOOKUP(U$1,Metadata!$A$2:$A1000,Metadata!$B$2:$B1000))),U$1,"""")"),"")</f>
        <v/>
      </c>
      <c r="V105" s="33" t="str">
        <f>IFERROR(__xludf.DUMMYFUNCTION("IF(IF(V$1="""","""",REGEXMATCH(LOWER($E105),XLOOKUP(V$1,Metadata!$A$2:$A1000,Metadata!$B$2:$B1000))),V$1,"""")"),"")</f>
        <v/>
      </c>
      <c r="W105" s="33" t="str">
        <f>IFERROR(__xludf.DUMMYFUNCTION("IF(IF(W$1="""","""",REGEXMATCH(LOWER($E105),XLOOKUP(W$1,Metadata!$A$2:$A1000,Metadata!$B$2:$B1000))),W$1,"""")"),"Move")</f>
        <v>Move</v>
      </c>
      <c r="X105" s="33" t="str">
        <f>IFERROR(__xludf.DUMMYFUNCTION("IF(IF(X$1="""","""",REGEXMATCH(LOWER($E105),XLOOKUP(X$1,Metadata!$A$2:$A1000,Metadata!$B$2:$B1000))),X$1,"""")"),"")</f>
        <v/>
      </c>
      <c r="Y105" s="33" t="str">
        <f>IFERROR(__xludf.DUMMYFUNCTION("IF(IF(Y$1="""","""",REGEXMATCH(LOWER($E105),XLOOKUP(Y$1,Metadata!$A$2:$A1000,Metadata!$B$2:$B1000))),Y$1,"""")"),"")</f>
        <v/>
      </c>
      <c r="Z105" s="33" t="str">
        <f>IFERROR(__xludf.DUMMYFUNCTION("IF(IF(Z$1="""","""",REGEXMATCH(LOWER($E105),XLOOKUP(Z$1,Metadata!$A$2:$A1000,Metadata!$B$2:$B1000))),Z$1,"""")"),"")</f>
        <v/>
      </c>
      <c r="AA105" s="33" t="str">
        <f>IFERROR(__xludf.DUMMYFUNCTION("IF(AA$1="""","""",REGEXMATCH(LOWER($E105),XLOOKUP(AA$1,Metadata!$A$2:$A1000,Metadata!$B$2:$B1000)))"),"")</f>
        <v/>
      </c>
    </row>
    <row r="106">
      <c r="A106" s="33" t="str">
        <f>IFERROR(__xludf.DUMMYFUNCTION("""COMPUTED_VALUE"""),"Pyretic Pet")</f>
        <v>Pyretic Pet</v>
      </c>
      <c r="B106" s="33" t="str">
        <f t="array" ref="B106:I106">XLOOKUP($A106,Cards!$A$2:$A1000,Cards!$B$2:$I1000,"")</f>
        <v>Elemental</v>
      </c>
      <c r="C106" s="33">
        <v>2.0</v>
      </c>
      <c r="D106" s="33" t="s">
        <v>467</v>
      </c>
      <c r="E106" s="33" t="s">
        <v>615</v>
      </c>
      <c r="F106" s="33" t="s">
        <v>616</v>
      </c>
      <c r="G106" s="33">
        <v>3.0</v>
      </c>
      <c r="H106" s="33" t="s">
        <v>465</v>
      </c>
      <c r="I106" s="33" t="s">
        <v>32</v>
      </c>
      <c r="J106" s="33">
        <f>IFERROR(__xludf.DUMMYFUNCTION("LEN(REGEXREPLACE(XLOOKUP($A106,Cards!$A$2:$A1000,Cards!$H$2:$H1000,""""),"",\s"",""""))"),3.0)</f>
        <v>3</v>
      </c>
      <c r="K106" s="33" t="str">
        <f t="shared" si="1"/>
        <v>         Aggro      </v>
      </c>
      <c r="L106" s="33" t="str">
        <f>IFERROR(__xludf.DUMMYFUNCTION("IF(IF(L$1="""","""",REGEXMATCH(LOWER($E106),XLOOKUP(L$1,Metadata!$A$2:$A1000,Metadata!$B$2:$B1000))),L$1,"""")"),"")</f>
        <v/>
      </c>
      <c r="M106" s="33" t="str">
        <f>IFERROR(__xludf.DUMMYFUNCTION("IF(IF(M$1="""","""",REGEXMATCH(LOWER($E106),XLOOKUP(M$1,Metadata!$A$2:$A1000,Metadata!$B$2:$B1000))),M$1,"""")"),"")</f>
        <v/>
      </c>
      <c r="N106" s="33" t="str">
        <f>IFERROR(__xludf.DUMMYFUNCTION("IF(IF(N$1="""","""",REGEXMATCH(LOWER($E106),XLOOKUP(N$1,Metadata!$A$2:$A1000,Metadata!$B$2:$B1000))),N$1,"""")"),"")</f>
        <v/>
      </c>
      <c r="O106" s="33" t="str">
        <f>IFERROR(__xludf.DUMMYFUNCTION("IF(IF(O$1="""","""",REGEXMATCH(LOWER($E106),XLOOKUP(O$1,Metadata!$A$2:$A1000,Metadata!$B$2:$B1000))),O$1,"""")"),"")</f>
        <v/>
      </c>
      <c r="P106" s="33" t="str">
        <f>IFERROR(__xludf.DUMMYFUNCTION("IF(IF(P$1="""","""",REGEXMATCH(LOWER($E106),XLOOKUP(P$1,Metadata!$A$2:$A1000,Metadata!$B$2:$B1000))),P$1,"""")"),"")</f>
        <v/>
      </c>
      <c r="Q106" s="33" t="str">
        <f>IFERROR(__xludf.DUMMYFUNCTION("IF(IF(Q$1="""","""",REGEXMATCH(LOWER($E106),XLOOKUP(Q$1,Metadata!$A$2:$A1000,Metadata!$B$2:$B1000))),Q$1,"""")"),"")</f>
        <v/>
      </c>
      <c r="R106" s="33" t="str">
        <f>IFERROR(__xludf.DUMMYFUNCTION("IF(IF(R$1="""","""",REGEXMATCH(LOWER($E106),XLOOKUP(R$1,Metadata!$A$2:$A1000,Metadata!$B$2:$B1000))),R$1,"""")"),"")</f>
        <v/>
      </c>
      <c r="S106" s="33" t="str">
        <f>IFERROR(__xludf.DUMMYFUNCTION("IF(IF(S$1="""","""",REGEXMATCH(LOWER($E106),XLOOKUP(S$1,Metadata!$A$2:$A1000,Metadata!$B$2:$B1000))),S$1,"""")"),"")</f>
        <v/>
      </c>
      <c r="T106" s="33" t="str">
        <f>IFERROR(__xludf.DUMMYFUNCTION("IF(IF(T$1="""","""",REGEXMATCH(LOWER($E106),XLOOKUP(T$1,Metadata!$A$2:$A1000,Metadata!$B$2:$B1000))),T$1,"""")"),"")</f>
        <v/>
      </c>
      <c r="U106" s="33" t="str">
        <f>IFERROR(__xludf.DUMMYFUNCTION("IF(IF(U$1="""","""",REGEXMATCH(LOWER($E106),XLOOKUP(U$1,Metadata!$A$2:$A1000,Metadata!$B$2:$B1000))),U$1,"""")"),"Aggro")</f>
        <v>Aggro</v>
      </c>
      <c r="V106" s="33" t="str">
        <f>IFERROR(__xludf.DUMMYFUNCTION("IF(IF(V$1="""","""",REGEXMATCH(LOWER($E106),XLOOKUP(V$1,Metadata!$A$2:$A1000,Metadata!$B$2:$B1000))),V$1,"""")"),"")</f>
        <v/>
      </c>
      <c r="W106" s="33" t="str">
        <f>IFERROR(__xludf.DUMMYFUNCTION("IF(IF(W$1="""","""",REGEXMATCH(LOWER($E106),XLOOKUP(W$1,Metadata!$A$2:$A1000,Metadata!$B$2:$B1000))),W$1,"""")"),"")</f>
        <v/>
      </c>
      <c r="X106" s="33" t="str">
        <f>IFERROR(__xludf.DUMMYFUNCTION("IF(IF(X$1="""","""",REGEXMATCH(LOWER($E106),XLOOKUP(X$1,Metadata!$A$2:$A1000,Metadata!$B$2:$B1000))),X$1,"""")"),"")</f>
        <v/>
      </c>
      <c r="Y106" s="33" t="str">
        <f>IFERROR(__xludf.DUMMYFUNCTION("IF(IF(Y$1="""","""",REGEXMATCH(LOWER($E106),XLOOKUP(Y$1,Metadata!$A$2:$A1000,Metadata!$B$2:$B1000))),Y$1,"""")"),"")</f>
        <v/>
      </c>
      <c r="Z106" s="33" t="str">
        <f>IFERROR(__xludf.DUMMYFUNCTION("IF(IF(Z$1="""","""",REGEXMATCH(LOWER($E106),XLOOKUP(Z$1,Metadata!$A$2:$A1000,Metadata!$B$2:$B1000))),Z$1,"""")"),"")</f>
        <v/>
      </c>
      <c r="AA106" s="33" t="str">
        <f>IFERROR(__xludf.DUMMYFUNCTION("IF(AA$1="""","""",REGEXMATCH(LOWER($E106),XLOOKUP(AA$1,Metadata!$A$2:$A1000,Metadata!$B$2:$B1000)))"),"")</f>
        <v/>
      </c>
    </row>
    <row r="107">
      <c r="A107" s="33" t="str">
        <f>IFERROR(__xludf.DUMMYFUNCTION("""COMPUTED_VALUE"""),"Shifting Sands")</f>
        <v>Shifting Sands</v>
      </c>
      <c r="B107" s="33" t="str">
        <f t="array" ref="B107:I107">XLOOKUP($A107,Cards!$A$2:$A1000,Cards!$B$2:$I1000,"")</f>
        <v>Elemental</v>
      </c>
      <c r="C107" s="33">
        <v>1.0</v>
      </c>
      <c r="D107" s="33" t="s">
        <v>355</v>
      </c>
      <c r="E107" s="33" t="s">
        <v>618</v>
      </c>
      <c r="F107" s="33"/>
      <c r="G107" s="33">
        <v>3.0</v>
      </c>
      <c r="H107" s="33" t="s">
        <v>586</v>
      </c>
      <c r="I107" s="33" t="s">
        <v>26</v>
      </c>
      <c r="J107" s="33">
        <f>IFERROR(__xludf.DUMMYFUNCTION("LEN(REGEXREPLACE(XLOOKUP($A107,Cards!$A$2:$A1000,Cards!$H$2:$H1000,""""),"",\s"",""""))"),4.0)</f>
        <v>4</v>
      </c>
      <c r="K107" s="33" t="str">
        <f t="shared" si="1"/>
        <v>     Unearth      Move Ambush   </v>
      </c>
      <c r="L107" s="33" t="str">
        <f>IFERROR(__xludf.DUMMYFUNCTION("IF(IF(L$1="""","""",REGEXMATCH(LOWER($E107),XLOOKUP(L$1,Metadata!$A$2:$A1000,Metadata!$B$2:$B1000))),L$1,"""")"),"")</f>
        <v/>
      </c>
      <c r="M107" s="33" t="str">
        <f>IFERROR(__xludf.DUMMYFUNCTION("IF(IF(M$1="""","""",REGEXMATCH(LOWER($E107),XLOOKUP(M$1,Metadata!$A$2:$A1000,Metadata!$B$2:$B1000))),M$1,"""")"),"")</f>
        <v/>
      </c>
      <c r="N107" s="33" t="str">
        <f>IFERROR(__xludf.DUMMYFUNCTION("IF(IF(N$1="""","""",REGEXMATCH(LOWER($E107),XLOOKUP(N$1,Metadata!$A$2:$A1000,Metadata!$B$2:$B1000))),N$1,"""")"),"")</f>
        <v/>
      </c>
      <c r="O107" s="33" t="str">
        <f>IFERROR(__xludf.DUMMYFUNCTION("IF(IF(O$1="""","""",REGEXMATCH(LOWER($E107),XLOOKUP(O$1,Metadata!$A$2:$A1000,Metadata!$B$2:$B1000))),O$1,"""")"),"")</f>
        <v/>
      </c>
      <c r="P107" s="33" t="str">
        <f>IFERROR(__xludf.DUMMYFUNCTION("IF(IF(P$1="""","""",REGEXMATCH(LOWER($E107),XLOOKUP(P$1,Metadata!$A$2:$A1000,Metadata!$B$2:$B1000))),P$1,"""")"),"")</f>
        <v/>
      </c>
      <c r="Q107" s="33" t="str">
        <f>IFERROR(__xludf.DUMMYFUNCTION("IF(IF(Q$1="""","""",REGEXMATCH(LOWER($E107),XLOOKUP(Q$1,Metadata!$A$2:$A1000,Metadata!$B$2:$B1000))),Q$1,"""")"),"Unearth")</f>
        <v>Unearth</v>
      </c>
      <c r="R107" s="33" t="str">
        <f>IFERROR(__xludf.DUMMYFUNCTION("IF(IF(R$1="""","""",REGEXMATCH(LOWER($E107),XLOOKUP(R$1,Metadata!$A$2:$A1000,Metadata!$B$2:$B1000))),R$1,"""")"),"")</f>
        <v/>
      </c>
      <c r="S107" s="33" t="str">
        <f>IFERROR(__xludf.DUMMYFUNCTION("IF(IF(S$1="""","""",REGEXMATCH(LOWER($E107),XLOOKUP(S$1,Metadata!$A$2:$A1000,Metadata!$B$2:$B1000))),S$1,"""")"),"")</f>
        <v/>
      </c>
      <c r="T107" s="33" t="str">
        <f>IFERROR(__xludf.DUMMYFUNCTION("IF(IF(T$1="""","""",REGEXMATCH(LOWER($E107),XLOOKUP(T$1,Metadata!$A$2:$A1000,Metadata!$B$2:$B1000))),T$1,"""")"),"")</f>
        <v/>
      </c>
      <c r="U107" s="33" t="str">
        <f>IFERROR(__xludf.DUMMYFUNCTION("IF(IF(U$1="""","""",REGEXMATCH(LOWER($E107),XLOOKUP(U$1,Metadata!$A$2:$A1000,Metadata!$B$2:$B1000))),U$1,"""")"),"")</f>
        <v/>
      </c>
      <c r="V107" s="33" t="str">
        <f>IFERROR(__xludf.DUMMYFUNCTION("IF(IF(V$1="""","""",REGEXMATCH(LOWER($E107),XLOOKUP(V$1,Metadata!$A$2:$A1000,Metadata!$B$2:$B1000))),V$1,"""")"),"")</f>
        <v/>
      </c>
      <c r="W107" s="33" t="str">
        <f>IFERROR(__xludf.DUMMYFUNCTION("IF(IF(W$1="""","""",REGEXMATCH(LOWER($E107),XLOOKUP(W$1,Metadata!$A$2:$A1000,Metadata!$B$2:$B1000))),W$1,"""")"),"Move")</f>
        <v>Move</v>
      </c>
      <c r="X107" s="33" t="str">
        <f>IFERROR(__xludf.DUMMYFUNCTION("IF(IF(X$1="""","""",REGEXMATCH(LOWER($E107),XLOOKUP(X$1,Metadata!$A$2:$A1000,Metadata!$B$2:$B1000))),X$1,"""")"),"Ambush")</f>
        <v>Ambush</v>
      </c>
      <c r="Y107" s="33" t="str">
        <f>IFERROR(__xludf.DUMMYFUNCTION("IF(IF(Y$1="""","""",REGEXMATCH(LOWER($E107),XLOOKUP(Y$1,Metadata!$A$2:$A1000,Metadata!$B$2:$B1000))),Y$1,"""")"),"")</f>
        <v/>
      </c>
      <c r="Z107" s="33" t="str">
        <f>IFERROR(__xludf.DUMMYFUNCTION("IF(IF(Z$1="""","""",REGEXMATCH(LOWER($E107),XLOOKUP(Z$1,Metadata!$A$2:$A1000,Metadata!$B$2:$B1000))),Z$1,"""")"),"")</f>
        <v/>
      </c>
      <c r="AA107" s="33" t="str">
        <f>IFERROR(__xludf.DUMMYFUNCTION("IF(AA$1="""","""",REGEXMATCH(LOWER($E107),XLOOKUP(AA$1,Metadata!$A$2:$A1000,Metadata!$B$2:$B1000)))"),"")</f>
        <v/>
      </c>
    </row>
    <row r="108">
      <c r="A108" s="33" t="str">
        <f>IFERROR(__xludf.DUMMYFUNCTION("""COMPUTED_VALUE"""),"Torii Spirit")</f>
        <v>Torii Spirit</v>
      </c>
      <c r="B108" s="33" t="str">
        <f t="array" ref="B108:I108">XLOOKUP($A108,Cards!$A$2:$A1000,Cards!$B$2:$I1000,"")</f>
        <v>Elemental</v>
      </c>
      <c r="C108" s="33">
        <v>1.0</v>
      </c>
      <c r="D108" s="33" t="s">
        <v>271</v>
      </c>
      <c r="E108" s="33" t="s">
        <v>631</v>
      </c>
      <c r="F108" s="33" t="s">
        <v>336</v>
      </c>
      <c r="G108" s="33">
        <v>3.0</v>
      </c>
      <c r="H108" s="33" t="s">
        <v>368</v>
      </c>
      <c r="I108" s="33" t="s">
        <v>26</v>
      </c>
      <c r="J108" s="33">
        <f>IFERROR(__xludf.DUMMYFUNCTION("LEN(REGEXREPLACE(XLOOKUP($A108,Cards!$A$2:$A1000,Cards!$H$2:$H1000,""""),"",\s"",""""))"),3.0)</f>
        <v>3</v>
      </c>
      <c r="K108" s="33" t="str">
        <f t="shared" si="1"/>
        <v>               </v>
      </c>
      <c r="L108" s="33" t="str">
        <f>IFERROR(__xludf.DUMMYFUNCTION("IF(IF(L$1="""","""",REGEXMATCH(LOWER($E108),XLOOKUP(L$1,Metadata!$A$2:$A1000,Metadata!$B$2:$B1000))),L$1,"""")"),"")</f>
        <v/>
      </c>
      <c r="M108" s="33" t="str">
        <f>IFERROR(__xludf.DUMMYFUNCTION("IF(IF(M$1="""","""",REGEXMATCH(LOWER($E108),XLOOKUP(M$1,Metadata!$A$2:$A1000,Metadata!$B$2:$B1000))),M$1,"""")"),"")</f>
        <v/>
      </c>
      <c r="N108" s="33" t="str">
        <f>IFERROR(__xludf.DUMMYFUNCTION("IF(IF(N$1="""","""",REGEXMATCH(LOWER($E108),XLOOKUP(N$1,Metadata!$A$2:$A1000,Metadata!$B$2:$B1000))),N$1,"""")"),"")</f>
        <v/>
      </c>
      <c r="O108" s="33" t="str">
        <f>IFERROR(__xludf.DUMMYFUNCTION("IF(IF(O$1="""","""",REGEXMATCH(LOWER($E108),XLOOKUP(O$1,Metadata!$A$2:$A1000,Metadata!$B$2:$B1000))),O$1,"""")"),"")</f>
        <v/>
      </c>
      <c r="P108" s="33" t="str">
        <f>IFERROR(__xludf.DUMMYFUNCTION("IF(IF(P$1="""","""",REGEXMATCH(LOWER($E108),XLOOKUP(P$1,Metadata!$A$2:$A1000,Metadata!$B$2:$B1000))),P$1,"""")"),"")</f>
        <v/>
      </c>
      <c r="Q108" s="33" t="str">
        <f>IFERROR(__xludf.DUMMYFUNCTION("IF(IF(Q$1="""","""",REGEXMATCH(LOWER($E108),XLOOKUP(Q$1,Metadata!$A$2:$A1000,Metadata!$B$2:$B1000))),Q$1,"""")"),"")</f>
        <v/>
      </c>
      <c r="R108" s="33" t="str">
        <f>IFERROR(__xludf.DUMMYFUNCTION("IF(IF(R$1="""","""",REGEXMATCH(LOWER($E108),XLOOKUP(R$1,Metadata!$A$2:$A1000,Metadata!$B$2:$B1000))),R$1,"""")"),"")</f>
        <v/>
      </c>
      <c r="S108" s="33" t="str">
        <f>IFERROR(__xludf.DUMMYFUNCTION("IF(IF(S$1="""","""",REGEXMATCH(LOWER($E108),XLOOKUP(S$1,Metadata!$A$2:$A1000,Metadata!$B$2:$B1000))),S$1,"""")"),"")</f>
        <v/>
      </c>
      <c r="T108" s="33" t="str">
        <f>IFERROR(__xludf.DUMMYFUNCTION("IF(IF(T$1="""","""",REGEXMATCH(LOWER($E108),XLOOKUP(T$1,Metadata!$A$2:$A1000,Metadata!$B$2:$B1000))),T$1,"""")"),"")</f>
        <v/>
      </c>
      <c r="U108" s="33" t="str">
        <f>IFERROR(__xludf.DUMMYFUNCTION("IF(IF(U$1="""","""",REGEXMATCH(LOWER($E108),XLOOKUP(U$1,Metadata!$A$2:$A1000,Metadata!$B$2:$B1000))),U$1,"""")"),"")</f>
        <v/>
      </c>
      <c r="V108" s="33" t="str">
        <f>IFERROR(__xludf.DUMMYFUNCTION("IF(IF(V$1="""","""",REGEXMATCH(LOWER($E108),XLOOKUP(V$1,Metadata!$A$2:$A1000,Metadata!$B$2:$B1000))),V$1,"""")"),"")</f>
        <v/>
      </c>
      <c r="W108" s="33" t="str">
        <f>IFERROR(__xludf.DUMMYFUNCTION("IF(IF(W$1="""","""",REGEXMATCH(LOWER($E108),XLOOKUP(W$1,Metadata!$A$2:$A1000,Metadata!$B$2:$B1000))),W$1,"""")"),"")</f>
        <v/>
      </c>
      <c r="X108" s="33" t="str">
        <f>IFERROR(__xludf.DUMMYFUNCTION("IF(IF(X$1="""","""",REGEXMATCH(LOWER($E108),XLOOKUP(X$1,Metadata!$A$2:$A1000,Metadata!$B$2:$B1000))),X$1,"""")"),"")</f>
        <v/>
      </c>
      <c r="Y108" s="33" t="str">
        <f>IFERROR(__xludf.DUMMYFUNCTION("IF(IF(Y$1="""","""",REGEXMATCH(LOWER($E108),XLOOKUP(Y$1,Metadata!$A$2:$A1000,Metadata!$B$2:$B1000))),Y$1,"""")"),"")</f>
        <v/>
      </c>
      <c r="Z108" s="33" t="str">
        <f>IFERROR(__xludf.DUMMYFUNCTION("IF(IF(Z$1="""","""",REGEXMATCH(LOWER($E108),XLOOKUP(Z$1,Metadata!$A$2:$A1000,Metadata!$B$2:$B1000))),Z$1,"""")"),"")</f>
        <v/>
      </c>
      <c r="AA108" s="33" t="str">
        <f>IFERROR(__xludf.DUMMYFUNCTION("IF(AA$1="""","""",REGEXMATCH(LOWER($E108),XLOOKUP(AA$1,Metadata!$A$2:$A1000,Metadata!$B$2:$B1000)))"),"")</f>
        <v/>
      </c>
    </row>
    <row r="109">
      <c r="A109" s="33" t="str">
        <f>IFERROR(__xludf.DUMMYFUNCTION("""COMPUTED_VALUE"""),"Red Crusader")</f>
        <v>Red Crusader</v>
      </c>
      <c r="B109" s="33" t="str">
        <f t="array" ref="B109:I109">XLOOKUP($A109,Cards!$A$2:$A1000,Cards!$B$2:$I1000,"")</f>
        <v>Elemental</v>
      </c>
      <c r="C109" s="33">
        <v>2.0</v>
      </c>
      <c r="D109" s="33" t="s">
        <v>644</v>
      </c>
      <c r="E109" s="33" t="s">
        <v>249</v>
      </c>
      <c r="F109" s="33" t="s">
        <v>645</v>
      </c>
      <c r="G109" s="33">
        <v>2.0</v>
      </c>
      <c r="H109" s="33" t="s">
        <v>534</v>
      </c>
      <c r="I109" s="33" t="s">
        <v>26</v>
      </c>
      <c r="J109" s="33">
        <f>IFERROR(__xludf.DUMMYFUNCTION("LEN(REGEXREPLACE(XLOOKUP($A109,Cards!$A$2:$A1000,Cards!$H$2:$H1000,""""),"",\s"",""""))"),2.0)</f>
        <v>2</v>
      </c>
      <c r="K109" s="33" t="str">
        <f t="shared" si="1"/>
        <v>               </v>
      </c>
      <c r="L109" s="33" t="str">
        <f>IFERROR(__xludf.DUMMYFUNCTION("IF(IF(L$1="""","""",REGEXMATCH(LOWER($E109),XLOOKUP(L$1,Metadata!$A$2:$A1000,Metadata!$B$2:$B1000))),L$1,"""")"),"")</f>
        <v/>
      </c>
      <c r="M109" s="33" t="str">
        <f>IFERROR(__xludf.DUMMYFUNCTION("IF(IF(M$1="""","""",REGEXMATCH(LOWER($E109),XLOOKUP(M$1,Metadata!$A$2:$A1000,Metadata!$B$2:$B1000))),M$1,"""")"),"")</f>
        <v/>
      </c>
      <c r="N109" s="33" t="str">
        <f>IFERROR(__xludf.DUMMYFUNCTION("IF(IF(N$1="""","""",REGEXMATCH(LOWER($E109),XLOOKUP(N$1,Metadata!$A$2:$A1000,Metadata!$B$2:$B1000))),N$1,"""")"),"")</f>
        <v/>
      </c>
      <c r="O109" s="33" t="str">
        <f>IFERROR(__xludf.DUMMYFUNCTION("IF(IF(O$1="""","""",REGEXMATCH(LOWER($E109),XLOOKUP(O$1,Metadata!$A$2:$A1000,Metadata!$B$2:$B1000))),O$1,"""")"),"")</f>
        <v/>
      </c>
      <c r="P109" s="33" t="str">
        <f>IFERROR(__xludf.DUMMYFUNCTION("IF(IF(P$1="""","""",REGEXMATCH(LOWER($E109),XLOOKUP(P$1,Metadata!$A$2:$A1000,Metadata!$B$2:$B1000))),P$1,"""")"),"")</f>
        <v/>
      </c>
      <c r="Q109" s="33" t="str">
        <f>IFERROR(__xludf.DUMMYFUNCTION("IF(IF(Q$1="""","""",REGEXMATCH(LOWER($E109),XLOOKUP(Q$1,Metadata!$A$2:$A1000,Metadata!$B$2:$B1000))),Q$1,"""")"),"")</f>
        <v/>
      </c>
      <c r="R109" s="33" t="str">
        <f>IFERROR(__xludf.DUMMYFUNCTION("IF(IF(R$1="""","""",REGEXMATCH(LOWER($E109),XLOOKUP(R$1,Metadata!$A$2:$A1000,Metadata!$B$2:$B1000))),R$1,"""")"),"")</f>
        <v/>
      </c>
      <c r="S109" s="33" t="str">
        <f>IFERROR(__xludf.DUMMYFUNCTION("IF(IF(S$1="""","""",REGEXMATCH(LOWER($E109),XLOOKUP(S$1,Metadata!$A$2:$A1000,Metadata!$B$2:$B1000))),S$1,"""")"),"")</f>
        <v/>
      </c>
      <c r="T109" s="33" t="str">
        <f>IFERROR(__xludf.DUMMYFUNCTION("IF(IF(T$1="""","""",REGEXMATCH(LOWER($E109),XLOOKUP(T$1,Metadata!$A$2:$A1000,Metadata!$B$2:$B1000))),T$1,"""")"),"")</f>
        <v/>
      </c>
      <c r="U109" s="33" t="str">
        <f>IFERROR(__xludf.DUMMYFUNCTION("IF(IF(U$1="""","""",REGEXMATCH(LOWER($E109),XLOOKUP(U$1,Metadata!$A$2:$A1000,Metadata!$B$2:$B1000))),U$1,"""")"),"")</f>
        <v/>
      </c>
      <c r="V109" s="33" t="str">
        <f>IFERROR(__xludf.DUMMYFUNCTION("IF(IF(V$1="""","""",REGEXMATCH(LOWER($E109),XLOOKUP(V$1,Metadata!$A$2:$A1000,Metadata!$B$2:$B1000))),V$1,"""")"),"")</f>
        <v/>
      </c>
      <c r="W109" s="33" t="str">
        <f>IFERROR(__xludf.DUMMYFUNCTION("IF(IF(W$1="""","""",REGEXMATCH(LOWER($E109),XLOOKUP(W$1,Metadata!$A$2:$A1000,Metadata!$B$2:$B1000))),W$1,"""")"),"")</f>
        <v/>
      </c>
      <c r="X109" s="33" t="str">
        <f>IFERROR(__xludf.DUMMYFUNCTION("IF(IF(X$1="""","""",REGEXMATCH(LOWER($E109),XLOOKUP(X$1,Metadata!$A$2:$A1000,Metadata!$B$2:$B1000))),X$1,"""")"),"")</f>
        <v/>
      </c>
      <c r="Y109" s="33" t="str">
        <f>IFERROR(__xludf.DUMMYFUNCTION("IF(IF(Y$1="""","""",REGEXMATCH(LOWER($E109),XLOOKUP(Y$1,Metadata!$A$2:$A1000,Metadata!$B$2:$B1000))),Y$1,"""")"),"")</f>
        <v/>
      </c>
      <c r="Z109" s="33" t="str">
        <f>IFERROR(__xludf.DUMMYFUNCTION("IF(IF(Z$1="""","""",REGEXMATCH(LOWER($E109),XLOOKUP(Z$1,Metadata!$A$2:$A1000,Metadata!$B$2:$B1000))),Z$1,"""")"),"")</f>
        <v/>
      </c>
      <c r="AA109" s="33" t="str">
        <f>IFERROR(__xludf.DUMMYFUNCTION("IF(AA$1="""","""",REGEXMATCH(LOWER($E109),XLOOKUP(AA$1,Metadata!$A$2:$A1000,Metadata!$B$2:$B1000)))"),"")</f>
        <v/>
      </c>
    </row>
    <row r="110">
      <c r="A110" s="33" t="str">
        <f>IFERROR(__xludf.DUMMYFUNCTION("""COMPUTED_VALUE"""),"Windkite Acolyte")</f>
        <v>Windkite Acolyte</v>
      </c>
      <c r="B110" s="33" t="str">
        <f t="array" ref="B110:I110">XLOOKUP($A110,Cards!$A$2:$A1000,Cards!$B$2:$I1000,"")</f>
        <v>Elemental</v>
      </c>
      <c r="C110" s="33">
        <v>1.0</v>
      </c>
      <c r="D110" s="33" t="s">
        <v>294</v>
      </c>
      <c r="E110" s="33" t="s">
        <v>647</v>
      </c>
      <c r="F110" s="33" t="s">
        <v>648</v>
      </c>
      <c r="G110" s="33">
        <v>2.0</v>
      </c>
      <c r="H110" s="33" t="s">
        <v>586</v>
      </c>
      <c r="I110" s="33" t="s">
        <v>26</v>
      </c>
      <c r="J110" s="33">
        <f>IFERROR(__xludf.DUMMYFUNCTION("LEN(REGEXREPLACE(XLOOKUP($A110,Cards!$A$2:$A1000,Cards!$H$2:$H1000,""""),"",\s"",""""))"),4.0)</f>
        <v>4</v>
      </c>
      <c r="K110" s="33" t="str">
        <f t="shared" si="1"/>
        <v>           Move    </v>
      </c>
      <c r="L110" s="33" t="str">
        <f>IFERROR(__xludf.DUMMYFUNCTION("IF(IF(L$1="""","""",REGEXMATCH(LOWER($E110),XLOOKUP(L$1,Metadata!$A$2:$A1000,Metadata!$B$2:$B1000))),L$1,"""")"),"")</f>
        <v/>
      </c>
      <c r="M110" s="33" t="str">
        <f>IFERROR(__xludf.DUMMYFUNCTION("IF(IF(M$1="""","""",REGEXMATCH(LOWER($E110),XLOOKUP(M$1,Metadata!$A$2:$A1000,Metadata!$B$2:$B1000))),M$1,"""")"),"")</f>
        <v/>
      </c>
      <c r="N110" s="33" t="str">
        <f>IFERROR(__xludf.DUMMYFUNCTION("IF(IF(N$1="""","""",REGEXMATCH(LOWER($E110),XLOOKUP(N$1,Metadata!$A$2:$A1000,Metadata!$B$2:$B1000))),N$1,"""")"),"")</f>
        <v/>
      </c>
      <c r="O110" s="33" t="str">
        <f>IFERROR(__xludf.DUMMYFUNCTION("IF(IF(O$1="""","""",REGEXMATCH(LOWER($E110),XLOOKUP(O$1,Metadata!$A$2:$A1000,Metadata!$B$2:$B1000))),O$1,"""")"),"")</f>
        <v/>
      </c>
      <c r="P110" s="33" t="str">
        <f>IFERROR(__xludf.DUMMYFUNCTION("IF(IF(P$1="""","""",REGEXMATCH(LOWER($E110),XLOOKUP(P$1,Metadata!$A$2:$A1000,Metadata!$B$2:$B1000))),P$1,"""")"),"")</f>
        <v/>
      </c>
      <c r="Q110" s="33" t="str">
        <f>IFERROR(__xludf.DUMMYFUNCTION("IF(IF(Q$1="""","""",REGEXMATCH(LOWER($E110),XLOOKUP(Q$1,Metadata!$A$2:$A1000,Metadata!$B$2:$B1000))),Q$1,"""")"),"")</f>
        <v/>
      </c>
      <c r="R110" s="33" t="str">
        <f>IFERROR(__xludf.DUMMYFUNCTION("IF(IF(R$1="""","""",REGEXMATCH(LOWER($E110),XLOOKUP(R$1,Metadata!$A$2:$A1000,Metadata!$B$2:$B1000))),R$1,"""")"),"")</f>
        <v/>
      </c>
      <c r="S110" s="33" t="str">
        <f>IFERROR(__xludf.DUMMYFUNCTION("IF(IF(S$1="""","""",REGEXMATCH(LOWER($E110),XLOOKUP(S$1,Metadata!$A$2:$A1000,Metadata!$B$2:$B1000))),S$1,"""")"),"")</f>
        <v/>
      </c>
      <c r="T110" s="33" t="str">
        <f>IFERROR(__xludf.DUMMYFUNCTION("IF(IF(T$1="""","""",REGEXMATCH(LOWER($E110),XLOOKUP(T$1,Metadata!$A$2:$A1000,Metadata!$B$2:$B1000))),T$1,"""")"),"")</f>
        <v/>
      </c>
      <c r="U110" s="33" t="str">
        <f>IFERROR(__xludf.DUMMYFUNCTION("IF(IF(U$1="""","""",REGEXMATCH(LOWER($E110),XLOOKUP(U$1,Metadata!$A$2:$A1000,Metadata!$B$2:$B1000))),U$1,"""")"),"")</f>
        <v/>
      </c>
      <c r="V110" s="33" t="str">
        <f>IFERROR(__xludf.DUMMYFUNCTION("IF(IF(V$1="""","""",REGEXMATCH(LOWER($E110),XLOOKUP(V$1,Metadata!$A$2:$A1000,Metadata!$B$2:$B1000))),V$1,"""")"),"")</f>
        <v/>
      </c>
      <c r="W110" s="33" t="str">
        <f>IFERROR(__xludf.DUMMYFUNCTION("IF(IF(W$1="""","""",REGEXMATCH(LOWER($E110),XLOOKUP(W$1,Metadata!$A$2:$A1000,Metadata!$B$2:$B1000))),W$1,"""")"),"Move")</f>
        <v>Move</v>
      </c>
      <c r="X110" s="33" t="str">
        <f>IFERROR(__xludf.DUMMYFUNCTION("IF(IF(X$1="""","""",REGEXMATCH(LOWER($E110),XLOOKUP(X$1,Metadata!$A$2:$A1000,Metadata!$B$2:$B1000))),X$1,"""")"),"")</f>
        <v/>
      </c>
      <c r="Y110" s="33" t="str">
        <f>IFERROR(__xludf.DUMMYFUNCTION("IF(IF(Y$1="""","""",REGEXMATCH(LOWER($E110),XLOOKUP(Y$1,Metadata!$A$2:$A1000,Metadata!$B$2:$B1000))),Y$1,"""")"),"")</f>
        <v/>
      </c>
      <c r="Z110" s="33" t="str">
        <f>IFERROR(__xludf.DUMMYFUNCTION("IF(IF(Z$1="""","""",REGEXMATCH(LOWER($E110),XLOOKUP(Z$1,Metadata!$A$2:$A1000,Metadata!$B$2:$B1000))),Z$1,"""")"),"")</f>
        <v/>
      </c>
      <c r="AA110" s="33" t="str">
        <f>IFERROR(__xludf.DUMMYFUNCTION("IF(AA$1="""","""",REGEXMATCH(LOWER($E110),XLOOKUP(AA$1,Metadata!$A$2:$A1000,Metadata!$B$2:$B1000)))"),"")</f>
        <v/>
      </c>
    </row>
    <row r="111">
      <c r="A111" s="33" t="str">
        <f>IFERROR(__xludf.DUMMYFUNCTION("""COMPUTED_VALUE"""),"Blood Moon Scarab")</f>
        <v>Blood Moon Scarab</v>
      </c>
      <c r="B111" s="33" t="str">
        <f t="array" ref="B111:I111">XLOOKUP($A111,Cards!$A$2:$A1000,Cards!$B$2:$I1000,"")</f>
        <v>Elemental</v>
      </c>
      <c r="C111" s="33">
        <v>1.0</v>
      </c>
      <c r="D111" s="33" t="s">
        <v>609</v>
      </c>
      <c r="E111" s="33" t="s">
        <v>661</v>
      </c>
      <c r="F111" s="33"/>
      <c r="G111" s="33">
        <v>2.0</v>
      </c>
      <c r="H111" s="33" t="s">
        <v>465</v>
      </c>
      <c r="I111" s="33" t="s">
        <v>32</v>
      </c>
      <c r="J111" s="33">
        <f>IFERROR(__xludf.DUMMYFUNCTION("LEN(REGEXREPLACE(XLOOKUP($A111,Cards!$A$2:$A1000,Cards!$H$2:$H1000,""""),"",\s"",""""))"),3.0)</f>
        <v>3</v>
      </c>
      <c r="K111" s="33" t="str">
        <f t="shared" si="1"/>
        <v>     Unearth          </v>
      </c>
      <c r="L111" s="33" t="str">
        <f>IFERROR(__xludf.DUMMYFUNCTION("IF(IF(L$1="""","""",REGEXMATCH(LOWER($E111),XLOOKUP(L$1,Metadata!$A$2:$A1000,Metadata!$B$2:$B1000))),L$1,"""")"),"")</f>
        <v/>
      </c>
      <c r="M111" s="33" t="str">
        <f>IFERROR(__xludf.DUMMYFUNCTION("IF(IF(M$1="""","""",REGEXMATCH(LOWER($E111),XLOOKUP(M$1,Metadata!$A$2:$A1000,Metadata!$B$2:$B1000))),M$1,"""")"),"")</f>
        <v/>
      </c>
      <c r="N111" s="33" t="str">
        <f>IFERROR(__xludf.DUMMYFUNCTION("IF(IF(N$1="""","""",REGEXMATCH(LOWER($E111),XLOOKUP(N$1,Metadata!$A$2:$A1000,Metadata!$B$2:$B1000))),N$1,"""")"),"")</f>
        <v/>
      </c>
      <c r="O111" s="33" t="str">
        <f>IFERROR(__xludf.DUMMYFUNCTION("IF(IF(O$1="""","""",REGEXMATCH(LOWER($E111),XLOOKUP(O$1,Metadata!$A$2:$A1000,Metadata!$B$2:$B1000))),O$1,"""")"),"")</f>
        <v/>
      </c>
      <c r="P111" s="33" t="str">
        <f>IFERROR(__xludf.DUMMYFUNCTION("IF(IF(P$1="""","""",REGEXMATCH(LOWER($E111),XLOOKUP(P$1,Metadata!$A$2:$A1000,Metadata!$B$2:$B1000))),P$1,"""")"),"")</f>
        <v/>
      </c>
      <c r="Q111" s="33" t="str">
        <f>IFERROR(__xludf.DUMMYFUNCTION("IF(IF(Q$1="""","""",REGEXMATCH(LOWER($E111),XLOOKUP(Q$1,Metadata!$A$2:$A1000,Metadata!$B$2:$B1000))),Q$1,"""")"),"Unearth")</f>
        <v>Unearth</v>
      </c>
      <c r="R111" s="33" t="str">
        <f>IFERROR(__xludf.DUMMYFUNCTION("IF(IF(R$1="""","""",REGEXMATCH(LOWER($E111),XLOOKUP(R$1,Metadata!$A$2:$A1000,Metadata!$B$2:$B1000))),R$1,"""")"),"")</f>
        <v/>
      </c>
      <c r="S111" s="33" t="str">
        <f>IFERROR(__xludf.DUMMYFUNCTION("IF(IF(S$1="""","""",REGEXMATCH(LOWER($E111),XLOOKUP(S$1,Metadata!$A$2:$A1000,Metadata!$B$2:$B1000))),S$1,"""")"),"")</f>
        <v/>
      </c>
      <c r="T111" s="33" t="str">
        <f>IFERROR(__xludf.DUMMYFUNCTION("IF(IF(T$1="""","""",REGEXMATCH(LOWER($E111),XLOOKUP(T$1,Metadata!$A$2:$A1000,Metadata!$B$2:$B1000))),T$1,"""")"),"")</f>
        <v/>
      </c>
      <c r="U111" s="33" t="str">
        <f>IFERROR(__xludf.DUMMYFUNCTION("IF(IF(U$1="""","""",REGEXMATCH(LOWER($E111),XLOOKUP(U$1,Metadata!$A$2:$A1000,Metadata!$B$2:$B1000))),U$1,"""")"),"")</f>
        <v/>
      </c>
      <c r="V111" s="33" t="str">
        <f>IFERROR(__xludf.DUMMYFUNCTION("IF(IF(V$1="""","""",REGEXMATCH(LOWER($E111),XLOOKUP(V$1,Metadata!$A$2:$A1000,Metadata!$B$2:$B1000))),V$1,"""")"),"")</f>
        <v/>
      </c>
      <c r="W111" s="33" t="str">
        <f>IFERROR(__xludf.DUMMYFUNCTION("IF(IF(W$1="""","""",REGEXMATCH(LOWER($E111),XLOOKUP(W$1,Metadata!$A$2:$A1000,Metadata!$B$2:$B1000))),W$1,"""")"),"")</f>
        <v/>
      </c>
      <c r="X111" s="33" t="str">
        <f>IFERROR(__xludf.DUMMYFUNCTION("IF(IF(X$1="""","""",REGEXMATCH(LOWER($E111),XLOOKUP(X$1,Metadata!$A$2:$A1000,Metadata!$B$2:$B1000))),X$1,"""")"),"")</f>
        <v/>
      </c>
      <c r="Y111" s="33" t="str">
        <f>IFERROR(__xludf.DUMMYFUNCTION("IF(IF(Y$1="""","""",REGEXMATCH(LOWER($E111),XLOOKUP(Y$1,Metadata!$A$2:$A1000,Metadata!$B$2:$B1000))),Y$1,"""")"),"")</f>
        <v/>
      </c>
      <c r="Z111" s="33" t="str">
        <f>IFERROR(__xludf.DUMMYFUNCTION("IF(IF(Z$1="""","""",REGEXMATCH(LOWER($E111),XLOOKUP(Z$1,Metadata!$A$2:$A1000,Metadata!$B$2:$B1000))),Z$1,"""")"),"")</f>
        <v/>
      </c>
      <c r="AA111" s="33" t="str">
        <f>IFERROR(__xludf.DUMMYFUNCTION("IF(AA$1="""","""",REGEXMATCH(LOWER($E111),XLOOKUP(AA$1,Metadata!$A$2:$A1000,Metadata!$B$2:$B1000)))"),"")</f>
        <v/>
      </c>
    </row>
    <row r="112">
      <c r="A112" s="33" t="str">
        <f>IFERROR(__xludf.DUMMYFUNCTION("""COMPUTED_VALUE"""),"Sand Witch")</f>
        <v>Sand Witch</v>
      </c>
      <c r="B112" s="33" t="str">
        <f t="array" ref="B112:I112">XLOOKUP($A112,Cards!$A$2:$A1000,Cards!$B$2:$I1000,"")</f>
        <v>Elemental</v>
      </c>
      <c r="C112" s="33">
        <v>2.0</v>
      </c>
      <c r="D112" s="33" t="s">
        <v>294</v>
      </c>
      <c r="E112" s="33" t="s">
        <v>674</v>
      </c>
      <c r="F112" s="33" t="s">
        <v>24</v>
      </c>
      <c r="G112" s="33">
        <v>1.0</v>
      </c>
      <c r="H112" s="33" t="s">
        <v>386</v>
      </c>
      <c r="I112" s="33" t="s">
        <v>26</v>
      </c>
      <c r="J112" s="33">
        <f>IFERROR(__xludf.DUMMYFUNCTION("LEN(REGEXREPLACE(XLOOKUP($A112,Cards!$A$2:$A1000,Cards!$H$2:$H1000,""""),"",\s"",""""))"),1.0)</f>
        <v>1</v>
      </c>
      <c r="K112" s="33" t="str">
        <f t="shared" si="1"/>
        <v> Elemental              </v>
      </c>
      <c r="L112" s="33" t="str">
        <f>IFERROR(__xludf.DUMMYFUNCTION("IF(IF(L$1="""","""",REGEXMATCH(LOWER($E112),XLOOKUP(L$1,Metadata!$A$2:$A1000,Metadata!$B$2:$B1000))),L$1,"""")"),"")</f>
        <v/>
      </c>
      <c r="M112" s="33" t="str">
        <f>IFERROR(__xludf.DUMMYFUNCTION("IF(IF(M$1="""","""",REGEXMATCH(LOWER($E112),XLOOKUP(M$1,Metadata!$A$2:$A1000,Metadata!$B$2:$B1000))),M$1,"""")"),"Elemental")</f>
        <v>Elemental</v>
      </c>
      <c r="N112" s="33" t="str">
        <f>IFERROR(__xludf.DUMMYFUNCTION("IF(IF(N$1="""","""",REGEXMATCH(LOWER($E112),XLOOKUP(N$1,Metadata!$A$2:$A1000,Metadata!$B$2:$B1000))),N$1,"""")"),"")</f>
        <v/>
      </c>
      <c r="O112" s="33" t="str">
        <f>IFERROR(__xludf.DUMMYFUNCTION("IF(IF(O$1="""","""",REGEXMATCH(LOWER($E112),XLOOKUP(O$1,Metadata!$A$2:$A1000,Metadata!$B$2:$B1000))),O$1,"""")"),"")</f>
        <v/>
      </c>
      <c r="P112" s="33" t="str">
        <f>IFERROR(__xludf.DUMMYFUNCTION("IF(IF(P$1="""","""",REGEXMATCH(LOWER($E112),XLOOKUP(P$1,Metadata!$A$2:$A1000,Metadata!$B$2:$B1000))),P$1,"""")"),"")</f>
        <v/>
      </c>
      <c r="Q112" s="33" t="str">
        <f>IFERROR(__xludf.DUMMYFUNCTION("IF(IF(Q$1="""","""",REGEXMATCH(LOWER($E112),XLOOKUP(Q$1,Metadata!$A$2:$A1000,Metadata!$B$2:$B1000))),Q$1,"""")"),"")</f>
        <v/>
      </c>
      <c r="R112" s="33" t="str">
        <f>IFERROR(__xludf.DUMMYFUNCTION("IF(IF(R$1="""","""",REGEXMATCH(LOWER($E112),XLOOKUP(R$1,Metadata!$A$2:$A1000,Metadata!$B$2:$B1000))),R$1,"""")"),"")</f>
        <v/>
      </c>
      <c r="S112" s="33" t="str">
        <f>IFERROR(__xludf.DUMMYFUNCTION("IF(IF(S$1="""","""",REGEXMATCH(LOWER($E112),XLOOKUP(S$1,Metadata!$A$2:$A1000,Metadata!$B$2:$B1000))),S$1,"""")"),"")</f>
        <v/>
      </c>
      <c r="T112" s="33" t="str">
        <f>IFERROR(__xludf.DUMMYFUNCTION("IF(IF(T$1="""","""",REGEXMATCH(LOWER($E112),XLOOKUP(T$1,Metadata!$A$2:$A1000,Metadata!$B$2:$B1000))),T$1,"""")"),"")</f>
        <v/>
      </c>
      <c r="U112" s="33" t="str">
        <f>IFERROR(__xludf.DUMMYFUNCTION("IF(IF(U$1="""","""",REGEXMATCH(LOWER($E112),XLOOKUP(U$1,Metadata!$A$2:$A1000,Metadata!$B$2:$B1000))),U$1,"""")"),"")</f>
        <v/>
      </c>
      <c r="V112" s="33" t="str">
        <f>IFERROR(__xludf.DUMMYFUNCTION("IF(IF(V$1="""","""",REGEXMATCH(LOWER($E112),XLOOKUP(V$1,Metadata!$A$2:$A1000,Metadata!$B$2:$B1000))),V$1,"""")"),"")</f>
        <v/>
      </c>
      <c r="W112" s="33" t="str">
        <f>IFERROR(__xludf.DUMMYFUNCTION("IF(IF(W$1="""","""",REGEXMATCH(LOWER($E112),XLOOKUP(W$1,Metadata!$A$2:$A1000,Metadata!$B$2:$B1000))),W$1,"""")"),"")</f>
        <v/>
      </c>
      <c r="X112" s="33" t="str">
        <f>IFERROR(__xludf.DUMMYFUNCTION("IF(IF(X$1="""","""",REGEXMATCH(LOWER($E112),XLOOKUP(X$1,Metadata!$A$2:$A1000,Metadata!$B$2:$B1000))),X$1,"""")"),"")</f>
        <v/>
      </c>
      <c r="Y112" s="33" t="str">
        <f>IFERROR(__xludf.DUMMYFUNCTION("IF(IF(Y$1="""","""",REGEXMATCH(LOWER($E112),XLOOKUP(Y$1,Metadata!$A$2:$A1000,Metadata!$B$2:$B1000))),Y$1,"""")"),"")</f>
        <v/>
      </c>
      <c r="Z112" s="33" t="str">
        <f>IFERROR(__xludf.DUMMYFUNCTION("IF(IF(Z$1="""","""",REGEXMATCH(LOWER($E112),XLOOKUP(Z$1,Metadata!$A$2:$A1000,Metadata!$B$2:$B1000))),Z$1,"""")"),"")</f>
        <v/>
      </c>
      <c r="AA112" s="33" t="str">
        <f>IFERROR(__xludf.DUMMYFUNCTION("IF(AA$1="""","""",REGEXMATCH(LOWER($E112),XLOOKUP(AA$1,Metadata!$A$2:$A1000,Metadata!$B$2:$B1000)))"),"")</f>
        <v/>
      </c>
    </row>
    <row r="113">
      <c r="A113" s="33" t="str">
        <f>IFERROR(__xludf.DUMMYFUNCTION("""COMPUTED_VALUE"""),"Shardhorde Galewhelp")</f>
        <v>Shardhorde Galewhelp</v>
      </c>
      <c r="B113" s="33" t="str">
        <f t="array" ref="B113:I113">XLOOKUP($A113,Cards!$A$2:$A1000,Cards!$B$2:$I1000,"")</f>
        <v>Elemental</v>
      </c>
      <c r="C113" s="33">
        <v>0.0</v>
      </c>
      <c r="D113" s="33" t="s">
        <v>380</v>
      </c>
      <c r="E113" s="33" t="s">
        <v>676</v>
      </c>
      <c r="F113" s="33" t="s">
        <v>677</v>
      </c>
      <c r="G113" s="33">
        <v>3.0</v>
      </c>
      <c r="H113" s="33" t="s">
        <v>368</v>
      </c>
      <c r="I113" s="33" t="s">
        <v>26</v>
      </c>
      <c r="J113" s="33">
        <f>IFERROR(__xludf.DUMMYFUNCTION("LEN(REGEXREPLACE(XLOOKUP($A113,Cards!$A$2:$A1000,Cards!$H$2:$H1000,""""),"",\s"",""""))"),3.0)</f>
        <v>3</v>
      </c>
      <c r="K113" s="33" t="str">
        <f t="shared" si="1"/>
        <v>      Ramp   Aggro      </v>
      </c>
      <c r="L113" s="33" t="str">
        <f>IFERROR(__xludf.DUMMYFUNCTION("IF(IF(L$1="""","""",REGEXMATCH(LOWER($E113),XLOOKUP(L$1,Metadata!$A$2:$A1000,Metadata!$B$2:$B1000))),L$1,"""")"),"")</f>
        <v/>
      </c>
      <c r="M113" s="33" t="str">
        <f>IFERROR(__xludf.DUMMYFUNCTION("IF(IF(M$1="""","""",REGEXMATCH(LOWER($E113),XLOOKUP(M$1,Metadata!$A$2:$A1000,Metadata!$B$2:$B1000))),M$1,"""")"),"")</f>
        <v/>
      </c>
      <c r="N113" s="33" t="str">
        <f>IFERROR(__xludf.DUMMYFUNCTION("IF(IF(N$1="""","""",REGEXMATCH(LOWER($E113),XLOOKUP(N$1,Metadata!$A$2:$A1000,Metadata!$B$2:$B1000))),N$1,"""")"),"")</f>
        <v/>
      </c>
      <c r="O113" s="33" t="str">
        <f>IFERROR(__xludf.DUMMYFUNCTION("IF(IF(O$1="""","""",REGEXMATCH(LOWER($E113),XLOOKUP(O$1,Metadata!$A$2:$A1000,Metadata!$B$2:$B1000))),O$1,"""")"),"")</f>
        <v/>
      </c>
      <c r="P113" s="33" t="str">
        <f>IFERROR(__xludf.DUMMYFUNCTION("IF(IF(P$1="""","""",REGEXMATCH(LOWER($E113),XLOOKUP(P$1,Metadata!$A$2:$A1000,Metadata!$B$2:$B1000))),P$1,"""")"),"")</f>
        <v/>
      </c>
      <c r="Q113" s="33" t="str">
        <f>IFERROR(__xludf.DUMMYFUNCTION("IF(IF(Q$1="""","""",REGEXMATCH(LOWER($E113),XLOOKUP(Q$1,Metadata!$A$2:$A1000,Metadata!$B$2:$B1000))),Q$1,"""")"),"")</f>
        <v/>
      </c>
      <c r="R113" s="33" t="str">
        <f>IFERROR(__xludf.DUMMYFUNCTION("IF(IF(R$1="""","""",REGEXMATCH(LOWER($E113),XLOOKUP(R$1,Metadata!$A$2:$A1000,Metadata!$B$2:$B1000))),R$1,"""")"),"Ramp")</f>
        <v>Ramp</v>
      </c>
      <c r="S113" s="33" t="str">
        <f>IFERROR(__xludf.DUMMYFUNCTION("IF(IF(S$1="""","""",REGEXMATCH(LOWER($E113),XLOOKUP(S$1,Metadata!$A$2:$A1000,Metadata!$B$2:$B1000))),S$1,"""")"),"")</f>
        <v/>
      </c>
      <c r="T113" s="33" t="str">
        <f>IFERROR(__xludf.DUMMYFUNCTION("IF(IF(T$1="""","""",REGEXMATCH(LOWER($E113),XLOOKUP(T$1,Metadata!$A$2:$A1000,Metadata!$B$2:$B1000))),T$1,"""")"),"")</f>
        <v/>
      </c>
      <c r="U113" s="33" t="str">
        <f>IFERROR(__xludf.DUMMYFUNCTION("IF(IF(U$1="""","""",REGEXMATCH(LOWER($E113),XLOOKUP(U$1,Metadata!$A$2:$A1000,Metadata!$B$2:$B1000))),U$1,"""")"),"Aggro")</f>
        <v>Aggro</v>
      </c>
      <c r="V113" s="33" t="str">
        <f>IFERROR(__xludf.DUMMYFUNCTION("IF(IF(V$1="""","""",REGEXMATCH(LOWER($E113),XLOOKUP(V$1,Metadata!$A$2:$A1000,Metadata!$B$2:$B1000))),V$1,"""")"),"")</f>
        <v/>
      </c>
      <c r="W113" s="33" t="str">
        <f>IFERROR(__xludf.DUMMYFUNCTION("IF(IF(W$1="""","""",REGEXMATCH(LOWER($E113),XLOOKUP(W$1,Metadata!$A$2:$A1000,Metadata!$B$2:$B1000))),W$1,"""")"),"")</f>
        <v/>
      </c>
      <c r="X113" s="33" t="str">
        <f>IFERROR(__xludf.DUMMYFUNCTION("IF(IF(X$1="""","""",REGEXMATCH(LOWER($E113),XLOOKUP(X$1,Metadata!$A$2:$A1000,Metadata!$B$2:$B1000))),X$1,"""")"),"")</f>
        <v/>
      </c>
      <c r="Y113" s="33" t="str">
        <f>IFERROR(__xludf.DUMMYFUNCTION("IF(IF(Y$1="""","""",REGEXMATCH(LOWER($E113),XLOOKUP(Y$1,Metadata!$A$2:$A1000,Metadata!$B$2:$B1000))),Y$1,"""")"),"")</f>
        <v/>
      </c>
      <c r="Z113" s="33" t="str">
        <f>IFERROR(__xludf.DUMMYFUNCTION("IF(IF(Z$1="""","""",REGEXMATCH(LOWER($E113),XLOOKUP(Z$1,Metadata!$A$2:$A1000,Metadata!$B$2:$B1000))),Z$1,"""")"),"")</f>
        <v/>
      </c>
      <c r="AA113" s="33" t="str">
        <f>IFERROR(__xludf.DUMMYFUNCTION("IF(AA$1="""","""",REGEXMATCH(LOWER($E113),XLOOKUP(AA$1,Metadata!$A$2:$A1000,Metadata!$B$2:$B1000)))"),"")</f>
        <v/>
      </c>
    </row>
    <row r="114">
      <c r="A114" s="33" t="str">
        <f>IFERROR(__xludf.DUMMYFUNCTION("""COMPUTED_VALUE"""),"Amberlock Dragonling")</f>
        <v>Amberlock Dragonling</v>
      </c>
      <c r="B114" s="33" t="str">
        <f t="array" ref="B114:I114">XLOOKUP($A114,Cards!$A$2:$A1000,Cards!$B$2:$I1000,"")</f>
        <v>Elemental</v>
      </c>
      <c r="C114" s="33">
        <v>2.0</v>
      </c>
      <c r="D114" s="33" t="s">
        <v>380</v>
      </c>
      <c r="E114" s="33" t="s">
        <v>679</v>
      </c>
      <c r="F114" s="33" t="s">
        <v>680</v>
      </c>
      <c r="G114" s="33">
        <v>2.0</v>
      </c>
      <c r="H114" s="33" t="s">
        <v>534</v>
      </c>
      <c r="I114" s="33" t="s">
        <v>26</v>
      </c>
      <c r="J114" s="33">
        <f>IFERROR(__xludf.DUMMYFUNCTION("LEN(REGEXREPLACE(XLOOKUP($A114,Cards!$A$2:$A1000,Cards!$H$2:$H1000,""""),"",\s"",""""))"),2.0)</f>
        <v>2</v>
      </c>
      <c r="K114" s="33" t="str">
        <f t="shared" si="1"/>
        <v>               </v>
      </c>
      <c r="L114" s="33" t="str">
        <f>IFERROR(__xludf.DUMMYFUNCTION("IF(IF(L$1="""","""",REGEXMATCH(LOWER($E114),XLOOKUP(L$1,Metadata!$A$2:$A1000,Metadata!$B$2:$B1000))),L$1,"""")"),"")</f>
        <v/>
      </c>
      <c r="M114" s="33" t="str">
        <f>IFERROR(__xludf.DUMMYFUNCTION("IF(IF(M$1="""","""",REGEXMATCH(LOWER($E114),XLOOKUP(M$1,Metadata!$A$2:$A1000,Metadata!$B$2:$B1000))),M$1,"""")"),"")</f>
        <v/>
      </c>
      <c r="N114" s="33" t="str">
        <f>IFERROR(__xludf.DUMMYFUNCTION("IF(IF(N$1="""","""",REGEXMATCH(LOWER($E114),XLOOKUP(N$1,Metadata!$A$2:$A1000,Metadata!$B$2:$B1000))),N$1,"""")"),"")</f>
        <v/>
      </c>
      <c r="O114" s="33" t="str">
        <f>IFERROR(__xludf.DUMMYFUNCTION("IF(IF(O$1="""","""",REGEXMATCH(LOWER($E114),XLOOKUP(O$1,Metadata!$A$2:$A1000,Metadata!$B$2:$B1000))),O$1,"""")"),"")</f>
        <v/>
      </c>
      <c r="P114" s="33" t="str">
        <f>IFERROR(__xludf.DUMMYFUNCTION("IF(IF(P$1="""","""",REGEXMATCH(LOWER($E114),XLOOKUP(P$1,Metadata!$A$2:$A1000,Metadata!$B$2:$B1000))),P$1,"""")"),"")</f>
        <v/>
      </c>
      <c r="Q114" s="33" t="str">
        <f>IFERROR(__xludf.DUMMYFUNCTION("IF(IF(Q$1="""","""",REGEXMATCH(LOWER($E114),XLOOKUP(Q$1,Metadata!$A$2:$A1000,Metadata!$B$2:$B1000))),Q$1,"""")"),"")</f>
        <v/>
      </c>
      <c r="R114" s="33" t="str">
        <f>IFERROR(__xludf.DUMMYFUNCTION("IF(IF(R$1="""","""",REGEXMATCH(LOWER($E114),XLOOKUP(R$1,Metadata!$A$2:$A1000,Metadata!$B$2:$B1000))),R$1,"""")"),"")</f>
        <v/>
      </c>
      <c r="S114" s="33" t="str">
        <f>IFERROR(__xludf.DUMMYFUNCTION("IF(IF(S$1="""","""",REGEXMATCH(LOWER($E114),XLOOKUP(S$1,Metadata!$A$2:$A1000,Metadata!$B$2:$B1000))),S$1,"""")"),"")</f>
        <v/>
      </c>
      <c r="T114" s="33" t="str">
        <f>IFERROR(__xludf.DUMMYFUNCTION("IF(IF(T$1="""","""",REGEXMATCH(LOWER($E114),XLOOKUP(T$1,Metadata!$A$2:$A1000,Metadata!$B$2:$B1000))),T$1,"""")"),"")</f>
        <v/>
      </c>
      <c r="U114" s="33" t="str">
        <f>IFERROR(__xludf.DUMMYFUNCTION("IF(IF(U$1="""","""",REGEXMATCH(LOWER($E114),XLOOKUP(U$1,Metadata!$A$2:$A1000,Metadata!$B$2:$B1000))),U$1,"""")"),"")</f>
        <v/>
      </c>
      <c r="V114" s="33" t="str">
        <f>IFERROR(__xludf.DUMMYFUNCTION("IF(IF(V$1="""","""",REGEXMATCH(LOWER($E114),XLOOKUP(V$1,Metadata!$A$2:$A1000,Metadata!$B$2:$B1000))),V$1,"""")"),"")</f>
        <v/>
      </c>
      <c r="W114" s="33" t="str">
        <f>IFERROR(__xludf.DUMMYFUNCTION("IF(IF(W$1="""","""",REGEXMATCH(LOWER($E114),XLOOKUP(W$1,Metadata!$A$2:$A1000,Metadata!$B$2:$B1000))),W$1,"""")"),"")</f>
        <v/>
      </c>
      <c r="X114" s="33" t="str">
        <f>IFERROR(__xludf.DUMMYFUNCTION("IF(IF(X$1="""","""",REGEXMATCH(LOWER($E114),XLOOKUP(X$1,Metadata!$A$2:$A1000,Metadata!$B$2:$B1000))),X$1,"""")"),"")</f>
        <v/>
      </c>
      <c r="Y114" s="33" t="str">
        <f>IFERROR(__xludf.DUMMYFUNCTION("IF(IF(Y$1="""","""",REGEXMATCH(LOWER($E114),XLOOKUP(Y$1,Metadata!$A$2:$A1000,Metadata!$B$2:$B1000))),Y$1,"""")"),"")</f>
        <v/>
      </c>
      <c r="Z114" s="33" t="str">
        <f>IFERROR(__xludf.DUMMYFUNCTION("IF(IF(Z$1="""","""",REGEXMATCH(LOWER($E114),XLOOKUP(Z$1,Metadata!$A$2:$A1000,Metadata!$B$2:$B1000))),Z$1,"""")"),"")</f>
        <v/>
      </c>
      <c r="AA114" s="33" t="str">
        <f>IFERROR(__xludf.DUMMYFUNCTION("IF(AA$1="""","""",REGEXMATCH(LOWER($E114),XLOOKUP(AA$1,Metadata!$A$2:$A1000,Metadata!$B$2:$B1000)))"),"")</f>
        <v/>
      </c>
    </row>
    <row r="115">
      <c r="A115" s="33" t="str">
        <f>IFERROR(__xludf.DUMMYFUNCTION("""COMPUTED_VALUE"""),"Dragonfire Warlock")</f>
        <v>Dragonfire Warlock</v>
      </c>
      <c r="B115" s="33" t="str">
        <f t="array" ref="B115:I115">XLOOKUP($A115,Cards!$A$2:$A1000,Cards!$B$2:$I1000,"")</f>
        <v>Elemental</v>
      </c>
      <c r="C115" s="33">
        <v>1.0</v>
      </c>
      <c r="D115" s="33" t="s">
        <v>294</v>
      </c>
      <c r="E115" s="33" t="s">
        <v>693</v>
      </c>
      <c r="F115" s="33" t="s">
        <v>694</v>
      </c>
      <c r="G115" s="33">
        <v>2.0</v>
      </c>
      <c r="H115" s="33" t="s">
        <v>368</v>
      </c>
      <c r="I115" s="33" t="s">
        <v>62</v>
      </c>
      <c r="J115" s="33">
        <f>IFERROR(__xludf.DUMMYFUNCTION("LEN(REGEXREPLACE(XLOOKUP($A115,Cards!$A$2:$A1000,Cards!$H$2:$H1000,""""),"",\s"",""""))"),3.0)</f>
        <v>3</v>
      </c>
      <c r="K115" s="33" t="str">
        <f t="shared" si="1"/>
        <v>       Control     Ambush   </v>
      </c>
      <c r="L115" s="33" t="str">
        <f>IFERROR(__xludf.DUMMYFUNCTION("IF(IF(L$1="""","""",REGEXMATCH(LOWER($E115),XLOOKUP(L$1,Metadata!$A$2:$A1000,Metadata!$B$2:$B1000))),L$1,"""")"),"")</f>
        <v/>
      </c>
      <c r="M115" s="33" t="str">
        <f>IFERROR(__xludf.DUMMYFUNCTION("IF(IF(M$1="""","""",REGEXMATCH(LOWER($E115),XLOOKUP(M$1,Metadata!$A$2:$A1000,Metadata!$B$2:$B1000))),M$1,"""")"),"")</f>
        <v/>
      </c>
      <c r="N115" s="33" t="str">
        <f>IFERROR(__xludf.DUMMYFUNCTION("IF(IF(N$1="""","""",REGEXMATCH(LOWER($E115),XLOOKUP(N$1,Metadata!$A$2:$A1000,Metadata!$B$2:$B1000))),N$1,"""")"),"")</f>
        <v/>
      </c>
      <c r="O115" s="33" t="str">
        <f>IFERROR(__xludf.DUMMYFUNCTION("IF(IF(O$1="""","""",REGEXMATCH(LOWER($E115),XLOOKUP(O$1,Metadata!$A$2:$A1000,Metadata!$B$2:$B1000))),O$1,"""")"),"")</f>
        <v/>
      </c>
      <c r="P115" s="33" t="str">
        <f>IFERROR(__xludf.DUMMYFUNCTION("IF(IF(P$1="""","""",REGEXMATCH(LOWER($E115),XLOOKUP(P$1,Metadata!$A$2:$A1000,Metadata!$B$2:$B1000))),P$1,"""")"),"")</f>
        <v/>
      </c>
      <c r="Q115" s="33" t="str">
        <f>IFERROR(__xludf.DUMMYFUNCTION("IF(IF(Q$1="""","""",REGEXMATCH(LOWER($E115),XLOOKUP(Q$1,Metadata!$A$2:$A1000,Metadata!$B$2:$B1000))),Q$1,"""")"),"")</f>
        <v/>
      </c>
      <c r="R115" s="33" t="str">
        <f>IFERROR(__xludf.DUMMYFUNCTION("IF(IF(R$1="""","""",REGEXMATCH(LOWER($E115),XLOOKUP(R$1,Metadata!$A$2:$A1000,Metadata!$B$2:$B1000))),R$1,"""")"),"")</f>
        <v/>
      </c>
      <c r="S115" s="33" t="str">
        <f>IFERROR(__xludf.DUMMYFUNCTION("IF(IF(S$1="""","""",REGEXMATCH(LOWER($E115),XLOOKUP(S$1,Metadata!$A$2:$A1000,Metadata!$B$2:$B1000))),S$1,"""")"),"Control")</f>
        <v>Control</v>
      </c>
      <c r="T115" s="33" t="str">
        <f>IFERROR(__xludf.DUMMYFUNCTION("IF(IF(T$1="""","""",REGEXMATCH(LOWER($E115),XLOOKUP(T$1,Metadata!$A$2:$A1000,Metadata!$B$2:$B1000))),T$1,"""")"),"")</f>
        <v/>
      </c>
      <c r="U115" s="33" t="str">
        <f>IFERROR(__xludf.DUMMYFUNCTION("IF(IF(U$1="""","""",REGEXMATCH(LOWER($E115),XLOOKUP(U$1,Metadata!$A$2:$A1000,Metadata!$B$2:$B1000))),U$1,"""")"),"")</f>
        <v/>
      </c>
      <c r="V115" s="33" t="str">
        <f>IFERROR(__xludf.DUMMYFUNCTION("IF(IF(V$1="""","""",REGEXMATCH(LOWER($E115),XLOOKUP(V$1,Metadata!$A$2:$A1000,Metadata!$B$2:$B1000))),V$1,"""")"),"")</f>
        <v/>
      </c>
      <c r="W115" s="33" t="str">
        <f>IFERROR(__xludf.DUMMYFUNCTION("IF(IF(W$1="""","""",REGEXMATCH(LOWER($E115),XLOOKUP(W$1,Metadata!$A$2:$A1000,Metadata!$B$2:$B1000))),W$1,"""")"),"")</f>
        <v/>
      </c>
      <c r="X115" s="33" t="str">
        <f>IFERROR(__xludf.DUMMYFUNCTION("IF(IF(X$1="""","""",REGEXMATCH(LOWER($E115),XLOOKUP(X$1,Metadata!$A$2:$A1000,Metadata!$B$2:$B1000))),X$1,"""")"),"Ambush")</f>
        <v>Ambush</v>
      </c>
      <c r="Y115" s="33" t="str">
        <f>IFERROR(__xludf.DUMMYFUNCTION("IF(IF(Y$1="""","""",REGEXMATCH(LOWER($E115),XLOOKUP(Y$1,Metadata!$A$2:$A1000,Metadata!$B$2:$B1000))),Y$1,"""")"),"")</f>
        <v/>
      </c>
      <c r="Z115" s="33" t="str">
        <f>IFERROR(__xludf.DUMMYFUNCTION("IF(IF(Z$1="""","""",REGEXMATCH(LOWER($E115),XLOOKUP(Z$1,Metadata!$A$2:$A1000,Metadata!$B$2:$B1000))),Z$1,"""")"),"")</f>
        <v/>
      </c>
      <c r="AA115" s="33" t="str">
        <f>IFERROR(__xludf.DUMMYFUNCTION("IF(AA$1="""","""",REGEXMATCH(LOWER($E115),XLOOKUP(AA$1,Metadata!$A$2:$A1000,Metadata!$B$2:$B1000)))"),"")</f>
        <v/>
      </c>
    </row>
    <row r="116">
      <c r="A116" s="33" t="str">
        <f>IFERROR(__xludf.DUMMYFUNCTION("""COMPUTED_VALUE"""),"Dragonwind Harbinger")</f>
        <v>Dragonwind Harbinger</v>
      </c>
      <c r="B116" s="33" t="str">
        <f t="array" ref="B116:I116">XLOOKUP($A116,Cards!$A$2:$A1000,Cards!$B$2:$I1000,"")</f>
        <v>Elemental</v>
      </c>
      <c r="C116" s="33">
        <v>1.0</v>
      </c>
      <c r="D116" s="33" t="s">
        <v>487</v>
      </c>
      <c r="E116" s="33" t="s">
        <v>707</v>
      </c>
      <c r="F116" s="33" t="s">
        <v>708</v>
      </c>
      <c r="G116" s="33">
        <v>3.0</v>
      </c>
      <c r="H116" s="33" t="s">
        <v>586</v>
      </c>
      <c r="I116" s="33" t="s">
        <v>62</v>
      </c>
      <c r="J116" s="33">
        <f>IFERROR(__xludf.DUMMYFUNCTION("LEN(REGEXREPLACE(XLOOKUP($A116,Cards!$A$2:$A1000,Cards!$H$2:$H1000,""""),"",\s"",""""))"),4.0)</f>
        <v>4</v>
      </c>
      <c r="K116" s="33" t="str">
        <f t="shared" si="1"/>
        <v>               </v>
      </c>
      <c r="L116" s="33" t="str">
        <f>IFERROR(__xludf.DUMMYFUNCTION("IF(IF(L$1="""","""",REGEXMATCH(LOWER($E116),XLOOKUP(L$1,Metadata!$A$2:$A1000,Metadata!$B$2:$B1000))),L$1,"""")"),"")</f>
        <v/>
      </c>
      <c r="M116" s="33" t="str">
        <f>IFERROR(__xludf.DUMMYFUNCTION("IF(IF(M$1="""","""",REGEXMATCH(LOWER($E116),XLOOKUP(M$1,Metadata!$A$2:$A1000,Metadata!$B$2:$B1000))),M$1,"""")"),"")</f>
        <v/>
      </c>
      <c r="N116" s="33" t="str">
        <f>IFERROR(__xludf.DUMMYFUNCTION("IF(IF(N$1="""","""",REGEXMATCH(LOWER($E116),XLOOKUP(N$1,Metadata!$A$2:$A1000,Metadata!$B$2:$B1000))),N$1,"""")"),"")</f>
        <v/>
      </c>
      <c r="O116" s="33" t="str">
        <f>IFERROR(__xludf.DUMMYFUNCTION("IF(IF(O$1="""","""",REGEXMATCH(LOWER($E116),XLOOKUP(O$1,Metadata!$A$2:$A1000,Metadata!$B$2:$B1000))),O$1,"""")"),"")</f>
        <v/>
      </c>
      <c r="P116" s="33" t="str">
        <f>IFERROR(__xludf.DUMMYFUNCTION("IF(IF(P$1="""","""",REGEXMATCH(LOWER($E116),XLOOKUP(P$1,Metadata!$A$2:$A1000,Metadata!$B$2:$B1000))),P$1,"""")"),"")</f>
        <v/>
      </c>
      <c r="Q116" s="33" t="str">
        <f>IFERROR(__xludf.DUMMYFUNCTION("IF(IF(Q$1="""","""",REGEXMATCH(LOWER($E116),XLOOKUP(Q$1,Metadata!$A$2:$A1000,Metadata!$B$2:$B1000))),Q$1,"""")"),"")</f>
        <v/>
      </c>
      <c r="R116" s="33" t="str">
        <f>IFERROR(__xludf.DUMMYFUNCTION("IF(IF(R$1="""","""",REGEXMATCH(LOWER($E116),XLOOKUP(R$1,Metadata!$A$2:$A1000,Metadata!$B$2:$B1000))),R$1,"""")"),"")</f>
        <v/>
      </c>
      <c r="S116" s="33" t="str">
        <f>IFERROR(__xludf.DUMMYFUNCTION("IF(IF(S$1="""","""",REGEXMATCH(LOWER($E116),XLOOKUP(S$1,Metadata!$A$2:$A1000,Metadata!$B$2:$B1000))),S$1,"""")"),"")</f>
        <v/>
      </c>
      <c r="T116" s="33" t="str">
        <f>IFERROR(__xludf.DUMMYFUNCTION("IF(IF(T$1="""","""",REGEXMATCH(LOWER($E116),XLOOKUP(T$1,Metadata!$A$2:$A1000,Metadata!$B$2:$B1000))),T$1,"""")"),"")</f>
        <v/>
      </c>
      <c r="U116" s="33" t="str">
        <f>IFERROR(__xludf.DUMMYFUNCTION("IF(IF(U$1="""","""",REGEXMATCH(LOWER($E116),XLOOKUP(U$1,Metadata!$A$2:$A1000,Metadata!$B$2:$B1000))),U$1,"""")"),"")</f>
        <v/>
      </c>
      <c r="V116" s="33" t="str">
        <f>IFERROR(__xludf.DUMMYFUNCTION("IF(IF(V$1="""","""",REGEXMATCH(LOWER($E116),XLOOKUP(V$1,Metadata!$A$2:$A1000,Metadata!$B$2:$B1000))),V$1,"""")"),"")</f>
        <v/>
      </c>
      <c r="W116" s="33" t="str">
        <f>IFERROR(__xludf.DUMMYFUNCTION("IF(IF(W$1="""","""",REGEXMATCH(LOWER($E116),XLOOKUP(W$1,Metadata!$A$2:$A1000,Metadata!$B$2:$B1000))),W$1,"""")"),"")</f>
        <v/>
      </c>
      <c r="X116" s="33" t="str">
        <f>IFERROR(__xludf.DUMMYFUNCTION("IF(IF(X$1="""","""",REGEXMATCH(LOWER($E116),XLOOKUP(X$1,Metadata!$A$2:$A1000,Metadata!$B$2:$B1000))),X$1,"""")"),"")</f>
        <v/>
      </c>
      <c r="Y116" s="33" t="str">
        <f>IFERROR(__xludf.DUMMYFUNCTION("IF(IF(Y$1="""","""",REGEXMATCH(LOWER($E116),XLOOKUP(Y$1,Metadata!$A$2:$A1000,Metadata!$B$2:$B1000))),Y$1,"""")"),"")</f>
        <v/>
      </c>
      <c r="Z116" s="33" t="str">
        <f>IFERROR(__xludf.DUMMYFUNCTION("IF(IF(Z$1="""","""",REGEXMATCH(LOWER($E116),XLOOKUP(Z$1,Metadata!$A$2:$A1000,Metadata!$B$2:$B1000))),Z$1,"""")"),"")</f>
        <v/>
      </c>
      <c r="AA116" s="33" t="str">
        <f>IFERROR(__xludf.DUMMYFUNCTION("IF(AA$1="""","""",REGEXMATCH(LOWER($E116),XLOOKUP(AA$1,Metadata!$A$2:$A1000,Metadata!$B$2:$B1000)))"),"")</f>
        <v/>
      </c>
    </row>
    <row r="117">
      <c r="A117" s="33" t="str">
        <f>IFERROR(__xludf.DUMMYFUNCTION("""COMPUTED_VALUE"""),"Sparkwielder")</f>
        <v>Sparkwielder</v>
      </c>
      <c r="B117" s="33" t="str">
        <f t="array" ref="B117:I117">XLOOKUP($A117,Cards!$A$2:$A1000,Cards!$B$2:$I1000,"")</f>
        <v>Elemental</v>
      </c>
      <c r="C117" s="33">
        <v>2.0</v>
      </c>
      <c r="D117" s="33" t="s">
        <v>467</v>
      </c>
      <c r="E117" s="33" t="s">
        <v>721</v>
      </c>
      <c r="F117" s="33" t="s">
        <v>336</v>
      </c>
      <c r="G117" s="33">
        <v>4.0</v>
      </c>
      <c r="H117" s="33" t="s">
        <v>474</v>
      </c>
      <c r="I117" s="33" t="s">
        <v>32</v>
      </c>
      <c r="J117" s="33">
        <f>IFERROR(__xludf.DUMMYFUNCTION("LEN(REGEXREPLACE(XLOOKUP($A117,Cards!$A$2:$A1000,Cards!$H$2:$H1000,""""),"",\s"",""""))"),5.0)</f>
        <v>5</v>
      </c>
      <c r="K117" s="33" t="str">
        <f t="shared" si="1"/>
        <v>        Copy       </v>
      </c>
      <c r="L117" s="33" t="str">
        <f>IFERROR(__xludf.DUMMYFUNCTION("IF(IF(L$1="""","""",REGEXMATCH(LOWER($E117),XLOOKUP(L$1,Metadata!$A$2:$A1000,Metadata!$B$2:$B1000))),L$1,"""")"),"")</f>
        <v/>
      </c>
      <c r="M117" s="33" t="str">
        <f>IFERROR(__xludf.DUMMYFUNCTION("IF(IF(M$1="""","""",REGEXMATCH(LOWER($E117),XLOOKUP(M$1,Metadata!$A$2:$A1000,Metadata!$B$2:$B1000))),M$1,"""")"),"")</f>
        <v/>
      </c>
      <c r="N117" s="33" t="str">
        <f>IFERROR(__xludf.DUMMYFUNCTION("IF(IF(N$1="""","""",REGEXMATCH(LOWER($E117),XLOOKUP(N$1,Metadata!$A$2:$A1000,Metadata!$B$2:$B1000))),N$1,"""")"),"")</f>
        <v/>
      </c>
      <c r="O117" s="33" t="str">
        <f>IFERROR(__xludf.DUMMYFUNCTION("IF(IF(O$1="""","""",REGEXMATCH(LOWER($E117),XLOOKUP(O$1,Metadata!$A$2:$A1000,Metadata!$B$2:$B1000))),O$1,"""")"),"")</f>
        <v/>
      </c>
      <c r="P117" s="33" t="str">
        <f>IFERROR(__xludf.DUMMYFUNCTION("IF(IF(P$1="""","""",REGEXMATCH(LOWER($E117),XLOOKUP(P$1,Metadata!$A$2:$A1000,Metadata!$B$2:$B1000))),P$1,"""")"),"")</f>
        <v/>
      </c>
      <c r="Q117" s="33" t="str">
        <f>IFERROR(__xludf.DUMMYFUNCTION("IF(IF(Q$1="""","""",REGEXMATCH(LOWER($E117),XLOOKUP(Q$1,Metadata!$A$2:$A1000,Metadata!$B$2:$B1000))),Q$1,"""")"),"")</f>
        <v/>
      </c>
      <c r="R117" s="33" t="str">
        <f>IFERROR(__xludf.DUMMYFUNCTION("IF(IF(R$1="""","""",REGEXMATCH(LOWER($E117),XLOOKUP(R$1,Metadata!$A$2:$A1000,Metadata!$B$2:$B1000))),R$1,"""")"),"")</f>
        <v/>
      </c>
      <c r="S117" s="33" t="str">
        <f>IFERROR(__xludf.DUMMYFUNCTION("IF(IF(S$1="""","""",REGEXMATCH(LOWER($E117),XLOOKUP(S$1,Metadata!$A$2:$A1000,Metadata!$B$2:$B1000))),S$1,"""")"),"")</f>
        <v/>
      </c>
      <c r="T117" s="33" t="str">
        <f>IFERROR(__xludf.DUMMYFUNCTION("IF(IF(T$1="""","""",REGEXMATCH(LOWER($E117),XLOOKUP(T$1,Metadata!$A$2:$A1000,Metadata!$B$2:$B1000))),T$1,"""")"),"Copy")</f>
        <v>Copy</v>
      </c>
      <c r="U117" s="33" t="str">
        <f>IFERROR(__xludf.DUMMYFUNCTION("IF(IF(U$1="""","""",REGEXMATCH(LOWER($E117),XLOOKUP(U$1,Metadata!$A$2:$A1000,Metadata!$B$2:$B1000))),U$1,"""")"),"")</f>
        <v/>
      </c>
      <c r="V117" s="33" t="str">
        <f>IFERROR(__xludf.DUMMYFUNCTION("IF(IF(V$1="""","""",REGEXMATCH(LOWER($E117),XLOOKUP(V$1,Metadata!$A$2:$A1000,Metadata!$B$2:$B1000))),V$1,"""")"),"")</f>
        <v/>
      </c>
      <c r="W117" s="33" t="str">
        <f>IFERROR(__xludf.DUMMYFUNCTION("IF(IF(W$1="""","""",REGEXMATCH(LOWER($E117),XLOOKUP(W$1,Metadata!$A$2:$A1000,Metadata!$B$2:$B1000))),W$1,"""")"),"")</f>
        <v/>
      </c>
      <c r="X117" s="33" t="str">
        <f>IFERROR(__xludf.DUMMYFUNCTION("IF(IF(X$1="""","""",REGEXMATCH(LOWER($E117),XLOOKUP(X$1,Metadata!$A$2:$A1000,Metadata!$B$2:$B1000))),X$1,"""")"),"")</f>
        <v/>
      </c>
      <c r="Y117" s="33" t="str">
        <f>IFERROR(__xludf.DUMMYFUNCTION("IF(IF(Y$1="""","""",REGEXMATCH(LOWER($E117),XLOOKUP(Y$1,Metadata!$A$2:$A1000,Metadata!$B$2:$B1000))),Y$1,"""")"),"")</f>
        <v/>
      </c>
      <c r="Z117" s="33" t="str">
        <f>IFERROR(__xludf.DUMMYFUNCTION("IF(IF(Z$1="""","""",REGEXMATCH(LOWER($E117),XLOOKUP(Z$1,Metadata!$A$2:$A1000,Metadata!$B$2:$B1000))),Z$1,"""")"),"")</f>
        <v/>
      </c>
      <c r="AA117" s="33" t="str">
        <f>IFERROR(__xludf.DUMMYFUNCTION("IF(AA$1="""","""",REGEXMATCH(LOWER($E117),XLOOKUP(AA$1,Metadata!$A$2:$A1000,Metadata!$B$2:$B1000)))"),"")</f>
        <v/>
      </c>
    </row>
    <row r="118">
      <c r="A118" s="33" t="str">
        <f>IFERROR(__xludf.DUMMYFUNCTION("""COMPUTED_VALUE"""),"Gashopper")</f>
        <v>Gashopper</v>
      </c>
      <c r="B118" s="33" t="str">
        <f t="array" ref="B118:I118">XLOOKUP($A118,Cards!$A$2:$A1000,Cards!$B$2:$I1000,"")</f>
        <v>Elemental</v>
      </c>
      <c r="C118" s="33">
        <v>1.0</v>
      </c>
      <c r="D118" s="33" t="s">
        <v>313</v>
      </c>
      <c r="E118" s="33" t="s">
        <v>723</v>
      </c>
      <c r="F118" s="33" t="s">
        <v>724</v>
      </c>
      <c r="G118" s="33">
        <v>4.0</v>
      </c>
      <c r="H118" s="33" t="s">
        <v>519</v>
      </c>
      <c r="I118" s="33" t="s">
        <v>62</v>
      </c>
      <c r="J118" s="33">
        <f>IFERROR(__xludf.DUMMYFUNCTION("LEN(REGEXREPLACE(XLOOKUP($A118,Cards!$A$2:$A1000,Cards!$H$2:$H1000,""""),"",\s"",""""))"),6.0)</f>
        <v>6</v>
      </c>
      <c r="K118" s="33" t="str">
        <f t="shared" si="1"/>
        <v> Elemental              </v>
      </c>
      <c r="L118" s="33" t="str">
        <f>IFERROR(__xludf.DUMMYFUNCTION("IF(IF(L$1="""","""",REGEXMATCH(LOWER($E118),XLOOKUP(L$1,Metadata!$A$2:$A1000,Metadata!$B$2:$B1000))),L$1,"""")"),"")</f>
        <v/>
      </c>
      <c r="M118" s="33" t="str">
        <f>IFERROR(__xludf.DUMMYFUNCTION("IF(IF(M$1="""","""",REGEXMATCH(LOWER($E118),XLOOKUP(M$1,Metadata!$A$2:$A1000,Metadata!$B$2:$B1000))),M$1,"""")"),"Elemental")</f>
        <v>Elemental</v>
      </c>
      <c r="N118" s="33" t="str">
        <f>IFERROR(__xludf.DUMMYFUNCTION("IF(IF(N$1="""","""",REGEXMATCH(LOWER($E118),XLOOKUP(N$1,Metadata!$A$2:$A1000,Metadata!$B$2:$B1000))),N$1,"""")"),"")</f>
        <v/>
      </c>
      <c r="O118" s="33" t="str">
        <f>IFERROR(__xludf.DUMMYFUNCTION("IF(IF(O$1="""","""",REGEXMATCH(LOWER($E118),XLOOKUP(O$1,Metadata!$A$2:$A1000,Metadata!$B$2:$B1000))),O$1,"""")"),"")</f>
        <v/>
      </c>
      <c r="P118" s="33" t="str">
        <f>IFERROR(__xludf.DUMMYFUNCTION("IF(IF(P$1="""","""",REGEXMATCH(LOWER($E118),XLOOKUP(P$1,Metadata!$A$2:$A1000,Metadata!$B$2:$B1000))),P$1,"""")"),"")</f>
        <v/>
      </c>
      <c r="Q118" s="33" t="str">
        <f>IFERROR(__xludf.DUMMYFUNCTION("IF(IF(Q$1="""","""",REGEXMATCH(LOWER($E118),XLOOKUP(Q$1,Metadata!$A$2:$A1000,Metadata!$B$2:$B1000))),Q$1,"""")"),"")</f>
        <v/>
      </c>
      <c r="R118" s="33" t="str">
        <f>IFERROR(__xludf.DUMMYFUNCTION("IF(IF(R$1="""","""",REGEXMATCH(LOWER($E118),XLOOKUP(R$1,Metadata!$A$2:$A1000,Metadata!$B$2:$B1000))),R$1,"""")"),"")</f>
        <v/>
      </c>
      <c r="S118" s="33" t="str">
        <f>IFERROR(__xludf.DUMMYFUNCTION("IF(IF(S$1="""","""",REGEXMATCH(LOWER($E118),XLOOKUP(S$1,Metadata!$A$2:$A1000,Metadata!$B$2:$B1000))),S$1,"""")"),"")</f>
        <v/>
      </c>
      <c r="T118" s="33" t="str">
        <f>IFERROR(__xludf.DUMMYFUNCTION("IF(IF(T$1="""","""",REGEXMATCH(LOWER($E118),XLOOKUP(T$1,Metadata!$A$2:$A1000,Metadata!$B$2:$B1000))),T$1,"""")"),"")</f>
        <v/>
      </c>
      <c r="U118" s="33" t="str">
        <f>IFERROR(__xludf.DUMMYFUNCTION("IF(IF(U$1="""","""",REGEXMATCH(LOWER($E118),XLOOKUP(U$1,Metadata!$A$2:$A1000,Metadata!$B$2:$B1000))),U$1,"""")"),"")</f>
        <v/>
      </c>
      <c r="V118" s="33" t="str">
        <f>IFERROR(__xludf.DUMMYFUNCTION("IF(IF(V$1="""","""",REGEXMATCH(LOWER($E118),XLOOKUP(V$1,Metadata!$A$2:$A1000,Metadata!$B$2:$B1000))),V$1,"""")"),"")</f>
        <v/>
      </c>
      <c r="W118" s="33" t="str">
        <f>IFERROR(__xludf.DUMMYFUNCTION("IF(IF(W$1="""","""",REGEXMATCH(LOWER($E118),XLOOKUP(W$1,Metadata!$A$2:$A1000,Metadata!$B$2:$B1000))),W$1,"""")"),"")</f>
        <v/>
      </c>
      <c r="X118" s="33" t="str">
        <f>IFERROR(__xludf.DUMMYFUNCTION("IF(IF(X$1="""","""",REGEXMATCH(LOWER($E118),XLOOKUP(X$1,Metadata!$A$2:$A1000,Metadata!$B$2:$B1000))),X$1,"""")"),"")</f>
        <v/>
      </c>
      <c r="Y118" s="33" t="str">
        <f>IFERROR(__xludf.DUMMYFUNCTION("IF(IF(Y$1="""","""",REGEXMATCH(LOWER($E118),XLOOKUP(Y$1,Metadata!$A$2:$A1000,Metadata!$B$2:$B1000))),Y$1,"""")"),"")</f>
        <v/>
      </c>
      <c r="Z118" s="33" t="str">
        <f>IFERROR(__xludf.DUMMYFUNCTION("IF(IF(Z$1="""","""",REGEXMATCH(LOWER($E118),XLOOKUP(Z$1,Metadata!$A$2:$A1000,Metadata!$B$2:$B1000))),Z$1,"""")"),"")</f>
        <v/>
      </c>
      <c r="AA118" s="33" t="str">
        <f>IFERROR(__xludf.DUMMYFUNCTION("IF(AA$1="""","""",REGEXMATCH(LOWER($E118),XLOOKUP(AA$1,Metadata!$A$2:$A1000,Metadata!$B$2:$B1000)))"),"")</f>
        <v/>
      </c>
    </row>
    <row r="119">
      <c r="A119" s="33" t="str">
        <f>IFERROR(__xludf.DUMMYFUNCTION("""COMPUTED_VALUE"""),"Hailbringer")</f>
        <v>Hailbringer</v>
      </c>
      <c r="B119" s="33" t="str">
        <f t="array" ref="B119:I119">XLOOKUP($A119,Cards!$A$2:$A1000,Cards!$B$2:$I1000,"")</f>
        <v>Elemental</v>
      </c>
      <c r="C119" s="33">
        <v>2.0</v>
      </c>
      <c r="D119" s="33" t="s">
        <v>355</v>
      </c>
      <c r="E119" s="33" t="s">
        <v>737</v>
      </c>
      <c r="F119" s="33" t="s">
        <v>738</v>
      </c>
      <c r="G119" s="33">
        <v>5.0</v>
      </c>
      <c r="H119" s="33" t="s">
        <v>519</v>
      </c>
      <c r="I119" s="33" t="s">
        <v>32</v>
      </c>
      <c r="J119" s="33">
        <f>IFERROR(__xludf.DUMMYFUNCTION("LEN(REGEXREPLACE(XLOOKUP($A119,Cards!$A$2:$A1000,Cards!$H$2:$H1000,""""),"",\s"",""""))"),6.0)</f>
        <v>6</v>
      </c>
      <c r="K119" s="33" t="str">
        <f t="shared" si="1"/>
        <v>           Move    </v>
      </c>
      <c r="L119" s="33" t="str">
        <f>IFERROR(__xludf.DUMMYFUNCTION("IF(IF(L$1="""","""",REGEXMATCH(LOWER($E119),XLOOKUP(L$1,Metadata!$A$2:$A1000,Metadata!$B$2:$B1000))),L$1,"""")"),"")</f>
        <v/>
      </c>
      <c r="M119" s="33" t="str">
        <f>IFERROR(__xludf.DUMMYFUNCTION("IF(IF(M$1="""","""",REGEXMATCH(LOWER($E119),XLOOKUP(M$1,Metadata!$A$2:$A1000,Metadata!$B$2:$B1000))),M$1,"""")"),"")</f>
        <v/>
      </c>
      <c r="N119" s="33" t="str">
        <f>IFERROR(__xludf.DUMMYFUNCTION("IF(IF(N$1="""","""",REGEXMATCH(LOWER($E119),XLOOKUP(N$1,Metadata!$A$2:$A1000,Metadata!$B$2:$B1000))),N$1,"""")"),"")</f>
        <v/>
      </c>
      <c r="O119" s="33" t="str">
        <f>IFERROR(__xludf.DUMMYFUNCTION("IF(IF(O$1="""","""",REGEXMATCH(LOWER($E119),XLOOKUP(O$1,Metadata!$A$2:$A1000,Metadata!$B$2:$B1000))),O$1,"""")"),"")</f>
        <v/>
      </c>
      <c r="P119" s="33" t="str">
        <f>IFERROR(__xludf.DUMMYFUNCTION("IF(IF(P$1="""","""",REGEXMATCH(LOWER($E119),XLOOKUP(P$1,Metadata!$A$2:$A1000,Metadata!$B$2:$B1000))),P$1,"""")"),"")</f>
        <v/>
      </c>
      <c r="Q119" s="33" t="str">
        <f>IFERROR(__xludf.DUMMYFUNCTION("IF(IF(Q$1="""","""",REGEXMATCH(LOWER($E119),XLOOKUP(Q$1,Metadata!$A$2:$A1000,Metadata!$B$2:$B1000))),Q$1,"""")"),"")</f>
        <v/>
      </c>
      <c r="R119" s="33" t="str">
        <f>IFERROR(__xludf.DUMMYFUNCTION("IF(IF(R$1="""","""",REGEXMATCH(LOWER($E119),XLOOKUP(R$1,Metadata!$A$2:$A1000,Metadata!$B$2:$B1000))),R$1,"""")"),"")</f>
        <v/>
      </c>
      <c r="S119" s="33" t="str">
        <f>IFERROR(__xludf.DUMMYFUNCTION("IF(IF(S$1="""","""",REGEXMATCH(LOWER($E119),XLOOKUP(S$1,Metadata!$A$2:$A1000,Metadata!$B$2:$B1000))),S$1,"""")"),"")</f>
        <v/>
      </c>
      <c r="T119" s="33" t="str">
        <f>IFERROR(__xludf.DUMMYFUNCTION("IF(IF(T$1="""","""",REGEXMATCH(LOWER($E119),XLOOKUP(T$1,Metadata!$A$2:$A1000,Metadata!$B$2:$B1000))),T$1,"""")"),"")</f>
        <v/>
      </c>
      <c r="U119" s="33" t="str">
        <f>IFERROR(__xludf.DUMMYFUNCTION("IF(IF(U$1="""","""",REGEXMATCH(LOWER($E119),XLOOKUP(U$1,Metadata!$A$2:$A1000,Metadata!$B$2:$B1000))),U$1,"""")"),"")</f>
        <v/>
      </c>
      <c r="V119" s="33" t="str">
        <f>IFERROR(__xludf.DUMMYFUNCTION("IF(IF(V$1="""","""",REGEXMATCH(LOWER($E119),XLOOKUP(V$1,Metadata!$A$2:$A1000,Metadata!$B$2:$B1000))),V$1,"""")"),"")</f>
        <v/>
      </c>
      <c r="W119" s="33" t="str">
        <f>IFERROR(__xludf.DUMMYFUNCTION("IF(IF(W$1="""","""",REGEXMATCH(LOWER($E119),XLOOKUP(W$1,Metadata!$A$2:$A1000,Metadata!$B$2:$B1000))),W$1,"""")"),"Move")</f>
        <v>Move</v>
      </c>
      <c r="X119" s="33" t="str">
        <f>IFERROR(__xludf.DUMMYFUNCTION("IF(IF(X$1="""","""",REGEXMATCH(LOWER($E119),XLOOKUP(X$1,Metadata!$A$2:$A1000,Metadata!$B$2:$B1000))),X$1,"""")"),"")</f>
        <v/>
      </c>
      <c r="Y119" s="33" t="str">
        <f>IFERROR(__xludf.DUMMYFUNCTION("IF(IF(Y$1="""","""",REGEXMATCH(LOWER($E119),XLOOKUP(Y$1,Metadata!$A$2:$A1000,Metadata!$B$2:$B1000))),Y$1,"""")"),"")</f>
        <v/>
      </c>
      <c r="Z119" s="33" t="str">
        <f>IFERROR(__xludf.DUMMYFUNCTION("IF(IF(Z$1="""","""",REGEXMATCH(LOWER($E119),XLOOKUP(Z$1,Metadata!$A$2:$A1000,Metadata!$B$2:$B1000))),Z$1,"""")"),"")</f>
        <v/>
      </c>
      <c r="AA119" s="33" t="str">
        <f>IFERROR(__xludf.DUMMYFUNCTION("IF(AA$1="""","""",REGEXMATCH(LOWER($E119),XLOOKUP(AA$1,Metadata!$A$2:$A1000,Metadata!$B$2:$B1000)))"),"")</f>
        <v/>
      </c>
    </row>
    <row r="120">
      <c r="A120" s="33" t="str">
        <f>IFERROR(__xludf.DUMMYFUNCTION("""COMPUTED_VALUE"""),"Stormlash")</f>
        <v>Stormlash</v>
      </c>
      <c r="B120" s="33" t="str">
        <f t="array" ref="B120:I120">XLOOKUP($A120,Cards!$A$2:$A1000,Cards!$B$2:$I1000,"")</f>
        <v>Elemental</v>
      </c>
      <c r="C120" s="33">
        <v>2.0</v>
      </c>
      <c r="D120" s="33" t="s">
        <v>740</v>
      </c>
      <c r="E120" s="33" t="s">
        <v>741</v>
      </c>
      <c r="F120" s="33" t="s">
        <v>742</v>
      </c>
      <c r="G120" s="33">
        <v>4.0</v>
      </c>
      <c r="H120" s="33" t="s">
        <v>586</v>
      </c>
      <c r="I120" s="33" t="s">
        <v>62</v>
      </c>
      <c r="J120" s="33">
        <f>IFERROR(__xludf.DUMMYFUNCTION("LEN(REGEXREPLACE(XLOOKUP($A120,Cards!$A$2:$A1000,Cards!$H$2:$H1000,""""),"",\s"",""""))"),4.0)</f>
        <v>4</v>
      </c>
      <c r="K120" s="33" t="str">
        <f t="shared" si="1"/>
        <v>           Move    </v>
      </c>
      <c r="L120" s="33" t="str">
        <f>IFERROR(__xludf.DUMMYFUNCTION("IF(IF(L$1="""","""",REGEXMATCH(LOWER($E120),XLOOKUP(L$1,Metadata!$A$2:$A1000,Metadata!$B$2:$B1000))),L$1,"""")"),"")</f>
        <v/>
      </c>
      <c r="M120" s="33" t="str">
        <f>IFERROR(__xludf.DUMMYFUNCTION("IF(IF(M$1="""","""",REGEXMATCH(LOWER($E120),XLOOKUP(M$1,Metadata!$A$2:$A1000,Metadata!$B$2:$B1000))),M$1,"""")"),"")</f>
        <v/>
      </c>
      <c r="N120" s="33" t="str">
        <f>IFERROR(__xludf.DUMMYFUNCTION("IF(IF(N$1="""","""",REGEXMATCH(LOWER($E120),XLOOKUP(N$1,Metadata!$A$2:$A1000,Metadata!$B$2:$B1000))),N$1,"""")"),"")</f>
        <v/>
      </c>
      <c r="O120" s="33" t="str">
        <f>IFERROR(__xludf.DUMMYFUNCTION("IF(IF(O$1="""","""",REGEXMATCH(LOWER($E120),XLOOKUP(O$1,Metadata!$A$2:$A1000,Metadata!$B$2:$B1000))),O$1,"""")"),"")</f>
        <v/>
      </c>
      <c r="P120" s="33" t="str">
        <f>IFERROR(__xludf.DUMMYFUNCTION("IF(IF(P$1="""","""",REGEXMATCH(LOWER($E120),XLOOKUP(P$1,Metadata!$A$2:$A1000,Metadata!$B$2:$B1000))),P$1,"""")"),"")</f>
        <v/>
      </c>
      <c r="Q120" s="33" t="str">
        <f>IFERROR(__xludf.DUMMYFUNCTION("IF(IF(Q$1="""","""",REGEXMATCH(LOWER($E120),XLOOKUP(Q$1,Metadata!$A$2:$A1000,Metadata!$B$2:$B1000))),Q$1,"""")"),"")</f>
        <v/>
      </c>
      <c r="R120" s="33" t="str">
        <f>IFERROR(__xludf.DUMMYFUNCTION("IF(IF(R$1="""","""",REGEXMATCH(LOWER($E120),XLOOKUP(R$1,Metadata!$A$2:$A1000,Metadata!$B$2:$B1000))),R$1,"""")"),"")</f>
        <v/>
      </c>
      <c r="S120" s="33" t="str">
        <f>IFERROR(__xludf.DUMMYFUNCTION("IF(IF(S$1="""","""",REGEXMATCH(LOWER($E120),XLOOKUP(S$1,Metadata!$A$2:$A1000,Metadata!$B$2:$B1000))),S$1,"""")"),"")</f>
        <v/>
      </c>
      <c r="T120" s="33" t="str">
        <f>IFERROR(__xludf.DUMMYFUNCTION("IF(IF(T$1="""","""",REGEXMATCH(LOWER($E120),XLOOKUP(T$1,Metadata!$A$2:$A1000,Metadata!$B$2:$B1000))),T$1,"""")"),"")</f>
        <v/>
      </c>
      <c r="U120" s="33" t="str">
        <f>IFERROR(__xludf.DUMMYFUNCTION("IF(IF(U$1="""","""",REGEXMATCH(LOWER($E120),XLOOKUP(U$1,Metadata!$A$2:$A1000,Metadata!$B$2:$B1000))),U$1,"""")"),"")</f>
        <v/>
      </c>
      <c r="V120" s="33" t="str">
        <f>IFERROR(__xludf.DUMMYFUNCTION("IF(IF(V$1="""","""",REGEXMATCH(LOWER($E120),XLOOKUP(V$1,Metadata!$A$2:$A1000,Metadata!$B$2:$B1000))),V$1,"""")"),"")</f>
        <v/>
      </c>
      <c r="W120" s="33" t="str">
        <f>IFERROR(__xludf.DUMMYFUNCTION("IF(IF(W$1="""","""",REGEXMATCH(LOWER($E120),XLOOKUP(W$1,Metadata!$A$2:$A1000,Metadata!$B$2:$B1000))),W$1,"""")"),"Move")</f>
        <v>Move</v>
      </c>
      <c r="X120" s="33" t="str">
        <f>IFERROR(__xludf.DUMMYFUNCTION("IF(IF(X$1="""","""",REGEXMATCH(LOWER($E120),XLOOKUP(X$1,Metadata!$A$2:$A1000,Metadata!$B$2:$B1000))),X$1,"""")"),"")</f>
        <v/>
      </c>
      <c r="Y120" s="33" t="str">
        <f>IFERROR(__xludf.DUMMYFUNCTION("IF(IF(Y$1="""","""",REGEXMATCH(LOWER($E120),XLOOKUP(Y$1,Metadata!$A$2:$A1000,Metadata!$B$2:$B1000))),Y$1,"""")"),"")</f>
        <v/>
      </c>
      <c r="Z120" s="33" t="str">
        <f>IFERROR(__xludf.DUMMYFUNCTION("IF(IF(Z$1="""","""",REGEXMATCH(LOWER($E120),XLOOKUP(Z$1,Metadata!$A$2:$A1000,Metadata!$B$2:$B1000))),Z$1,"""")"),"")</f>
        <v/>
      </c>
      <c r="AA120" s="33" t="str">
        <f>IFERROR(__xludf.DUMMYFUNCTION("IF(AA$1="""","""",REGEXMATCH(LOWER($E120),XLOOKUP(AA$1,Metadata!$A$2:$A1000,Metadata!$B$2:$B1000)))"),"")</f>
        <v/>
      </c>
    </row>
    <row r="121">
      <c r="A121" s="33" t="str">
        <f>IFERROR(__xludf.DUMMYFUNCTION("""COMPUTED_VALUE"""),"Stormworn Horn")</f>
        <v>Stormworn Horn</v>
      </c>
      <c r="B121" s="33" t="str">
        <f t="array" ref="B121:I121">XLOOKUP($A121,Cards!$A$2:$A1000,Cards!$B$2:$I1000,"")</f>
        <v>Elemental</v>
      </c>
      <c r="C121" s="33">
        <v>2.0</v>
      </c>
      <c r="D121" s="33" t="s">
        <v>334</v>
      </c>
      <c r="E121" s="33" t="s">
        <v>744</v>
      </c>
      <c r="F121" s="33" t="s">
        <v>745</v>
      </c>
      <c r="G121" s="33">
        <v>3.0</v>
      </c>
      <c r="H121" s="33" t="s">
        <v>586</v>
      </c>
      <c r="I121" s="33" t="s">
        <v>62</v>
      </c>
      <c r="J121" s="33">
        <f>IFERROR(__xludf.DUMMYFUNCTION("LEN(REGEXREPLACE(XLOOKUP($A121,Cards!$A$2:$A1000,Cards!$H$2:$H1000,""""),"",\s"",""""))"),4.0)</f>
        <v>4</v>
      </c>
      <c r="K121" s="33" t="str">
        <f t="shared" si="1"/>
        <v> Elemental              </v>
      </c>
      <c r="L121" s="33" t="str">
        <f>IFERROR(__xludf.DUMMYFUNCTION("IF(IF(L$1="""","""",REGEXMATCH(LOWER($E121),XLOOKUP(L$1,Metadata!$A$2:$A1000,Metadata!$B$2:$B1000))),L$1,"""")"),"")</f>
        <v/>
      </c>
      <c r="M121" s="33" t="str">
        <f>IFERROR(__xludf.DUMMYFUNCTION("IF(IF(M$1="""","""",REGEXMATCH(LOWER($E121),XLOOKUP(M$1,Metadata!$A$2:$A1000,Metadata!$B$2:$B1000))),M$1,"""")"),"Elemental")</f>
        <v>Elemental</v>
      </c>
      <c r="N121" s="33" t="str">
        <f>IFERROR(__xludf.DUMMYFUNCTION("IF(IF(N$1="""","""",REGEXMATCH(LOWER($E121),XLOOKUP(N$1,Metadata!$A$2:$A1000,Metadata!$B$2:$B1000))),N$1,"""")"),"")</f>
        <v/>
      </c>
      <c r="O121" s="33" t="str">
        <f>IFERROR(__xludf.DUMMYFUNCTION("IF(IF(O$1="""","""",REGEXMATCH(LOWER($E121),XLOOKUP(O$1,Metadata!$A$2:$A1000,Metadata!$B$2:$B1000))),O$1,"""")"),"")</f>
        <v/>
      </c>
      <c r="P121" s="33" t="str">
        <f>IFERROR(__xludf.DUMMYFUNCTION("IF(IF(P$1="""","""",REGEXMATCH(LOWER($E121),XLOOKUP(P$1,Metadata!$A$2:$A1000,Metadata!$B$2:$B1000))),P$1,"""")"),"")</f>
        <v/>
      </c>
      <c r="Q121" s="33" t="str">
        <f>IFERROR(__xludf.DUMMYFUNCTION("IF(IF(Q$1="""","""",REGEXMATCH(LOWER($E121),XLOOKUP(Q$1,Metadata!$A$2:$A1000,Metadata!$B$2:$B1000))),Q$1,"""")"),"")</f>
        <v/>
      </c>
      <c r="R121" s="33" t="str">
        <f>IFERROR(__xludf.DUMMYFUNCTION("IF(IF(R$1="""","""",REGEXMATCH(LOWER($E121),XLOOKUP(R$1,Metadata!$A$2:$A1000,Metadata!$B$2:$B1000))),R$1,"""")"),"")</f>
        <v/>
      </c>
      <c r="S121" s="33" t="str">
        <f>IFERROR(__xludf.DUMMYFUNCTION("IF(IF(S$1="""","""",REGEXMATCH(LOWER($E121),XLOOKUP(S$1,Metadata!$A$2:$A1000,Metadata!$B$2:$B1000))),S$1,"""")"),"")</f>
        <v/>
      </c>
      <c r="T121" s="33" t="str">
        <f>IFERROR(__xludf.DUMMYFUNCTION("IF(IF(T$1="""","""",REGEXMATCH(LOWER($E121),XLOOKUP(T$1,Metadata!$A$2:$A1000,Metadata!$B$2:$B1000))),T$1,"""")"),"")</f>
        <v/>
      </c>
      <c r="U121" s="33" t="str">
        <f>IFERROR(__xludf.DUMMYFUNCTION("IF(IF(U$1="""","""",REGEXMATCH(LOWER($E121),XLOOKUP(U$1,Metadata!$A$2:$A1000,Metadata!$B$2:$B1000))),U$1,"""")"),"")</f>
        <v/>
      </c>
      <c r="V121" s="33" t="str">
        <f>IFERROR(__xludf.DUMMYFUNCTION("IF(IF(V$1="""","""",REGEXMATCH(LOWER($E121),XLOOKUP(V$1,Metadata!$A$2:$A1000,Metadata!$B$2:$B1000))),V$1,"""")"),"")</f>
        <v/>
      </c>
      <c r="W121" s="33" t="str">
        <f>IFERROR(__xludf.DUMMYFUNCTION("IF(IF(W$1="""","""",REGEXMATCH(LOWER($E121),XLOOKUP(W$1,Metadata!$A$2:$A1000,Metadata!$B$2:$B1000))),W$1,"""")"),"")</f>
        <v/>
      </c>
      <c r="X121" s="33" t="str">
        <f>IFERROR(__xludf.DUMMYFUNCTION("IF(IF(X$1="""","""",REGEXMATCH(LOWER($E121),XLOOKUP(X$1,Metadata!$A$2:$A1000,Metadata!$B$2:$B1000))),X$1,"""")"),"")</f>
        <v/>
      </c>
      <c r="Y121" s="33" t="str">
        <f>IFERROR(__xludf.DUMMYFUNCTION("IF(IF(Y$1="""","""",REGEXMATCH(LOWER($E121),XLOOKUP(Y$1,Metadata!$A$2:$A1000,Metadata!$B$2:$B1000))),Y$1,"""")"),"")</f>
        <v/>
      </c>
      <c r="Z121" s="33" t="str">
        <f>IFERROR(__xludf.DUMMYFUNCTION("IF(IF(Z$1="""","""",REGEXMATCH(LOWER($E121),XLOOKUP(Z$1,Metadata!$A$2:$A1000,Metadata!$B$2:$B1000))),Z$1,"""")"),"")</f>
        <v/>
      </c>
      <c r="AA121" s="33" t="str">
        <f>IFERROR(__xludf.DUMMYFUNCTION("IF(AA$1="""","""",REGEXMATCH(LOWER($E121),XLOOKUP(AA$1,Metadata!$A$2:$A1000,Metadata!$B$2:$B1000)))"),"")</f>
        <v/>
      </c>
    </row>
    <row r="122">
      <c r="A122" s="33" t="str">
        <f>IFERROR(__xludf.DUMMYFUNCTION("""COMPUTED_VALUE"""),"Glinteye Hoarder")</f>
        <v>Glinteye Hoarder</v>
      </c>
      <c r="B122" s="33" t="str">
        <f t="array" ref="B122:I122">XLOOKUP($A122,Cards!$A$2:$A1000,Cards!$B$2:$I1000,"")</f>
        <v>Elemental</v>
      </c>
      <c r="C122" s="33">
        <v>1.0</v>
      </c>
      <c r="D122" s="33" t="s">
        <v>380</v>
      </c>
      <c r="E122" s="33" t="s">
        <v>747</v>
      </c>
      <c r="F122" s="33" t="s">
        <v>748</v>
      </c>
      <c r="G122" s="33">
        <v>5.0</v>
      </c>
      <c r="H122" s="33" t="s">
        <v>474</v>
      </c>
      <c r="I122" s="33" t="s">
        <v>62</v>
      </c>
      <c r="J122" s="33">
        <f>IFERROR(__xludf.DUMMYFUNCTION("LEN(REGEXREPLACE(XLOOKUP($A122,Cards!$A$2:$A1000,Cards!$H$2:$H1000,""""),"",\s"",""""))"),5.0)</f>
        <v>5</v>
      </c>
      <c r="K122" s="33" t="str">
        <f t="shared" si="1"/>
        <v>       Control  Aggro Empty-Crystal  Ambush   </v>
      </c>
      <c r="L122" s="33" t="str">
        <f>IFERROR(__xludf.DUMMYFUNCTION("IF(IF(L$1="""","""",REGEXMATCH(LOWER($E122),XLOOKUP(L$1,Metadata!$A$2:$A1000,Metadata!$B$2:$B1000))),L$1,"""")"),"")</f>
        <v/>
      </c>
      <c r="M122" s="33" t="str">
        <f>IFERROR(__xludf.DUMMYFUNCTION("IF(IF(M$1="""","""",REGEXMATCH(LOWER($E122),XLOOKUP(M$1,Metadata!$A$2:$A1000,Metadata!$B$2:$B1000))),M$1,"""")"),"")</f>
        <v/>
      </c>
      <c r="N122" s="33" t="str">
        <f>IFERROR(__xludf.DUMMYFUNCTION("IF(IF(N$1="""","""",REGEXMATCH(LOWER($E122),XLOOKUP(N$1,Metadata!$A$2:$A1000,Metadata!$B$2:$B1000))),N$1,"""")"),"")</f>
        <v/>
      </c>
      <c r="O122" s="33" t="str">
        <f>IFERROR(__xludf.DUMMYFUNCTION("IF(IF(O$1="""","""",REGEXMATCH(LOWER($E122),XLOOKUP(O$1,Metadata!$A$2:$A1000,Metadata!$B$2:$B1000))),O$1,"""")"),"")</f>
        <v/>
      </c>
      <c r="P122" s="33" t="str">
        <f>IFERROR(__xludf.DUMMYFUNCTION("IF(IF(P$1="""","""",REGEXMATCH(LOWER($E122),XLOOKUP(P$1,Metadata!$A$2:$A1000,Metadata!$B$2:$B1000))),P$1,"""")"),"")</f>
        <v/>
      </c>
      <c r="Q122" s="33" t="str">
        <f>IFERROR(__xludf.DUMMYFUNCTION("IF(IF(Q$1="""","""",REGEXMATCH(LOWER($E122),XLOOKUP(Q$1,Metadata!$A$2:$A1000,Metadata!$B$2:$B1000))),Q$1,"""")"),"")</f>
        <v/>
      </c>
      <c r="R122" s="33" t="str">
        <f>IFERROR(__xludf.DUMMYFUNCTION("IF(IF(R$1="""","""",REGEXMATCH(LOWER($E122),XLOOKUP(R$1,Metadata!$A$2:$A1000,Metadata!$B$2:$B1000))),R$1,"""")"),"")</f>
        <v/>
      </c>
      <c r="S122" s="33" t="str">
        <f>IFERROR(__xludf.DUMMYFUNCTION("IF(IF(S$1="""","""",REGEXMATCH(LOWER($E122),XLOOKUP(S$1,Metadata!$A$2:$A1000,Metadata!$B$2:$B1000))),S$1,"""")"),"Control")</f>
        <v>Control</v>
      </c>
      <c r="T122" s="33" t="str">
        <f>IFERROR(__xludf.DUMMYFUNCTION("IF(IF(T$1="""","""",REGEXMATCH(LOWER($E122),XLOOKUP(T$1,Metadata!$A$2:$A1000,Metadata!$B$2:$B1000))),T$1,"""")"),"")</f>
        <v/>
      </c>
      <c r="U122" s="33" t="str">
        <f>IFERROR(__xludf.DUMMYFUNCTION("IF(IF(U$1="""","""",REGEXMATCH(LOWER($E122),XLOOKUP(U$1,Metadata!$A$2:$A1000,Metadata!$B$2:$B1000))),U$1,"""")"),"Aggro")</f>
        <v>Aggro</v>
      </c>
      <c r="V122" s="33" t="str">
        <f>IFERROR(__xludf.DUMMYFUNCTION("IF(IF(V$1="""","""",REGEXMATCH(LOWER($E122),XLOOKUP(V$1,Metadata!$A$2:$A1000,Metadata!$B$2:$B1000))),V$1,"""")"),"Empty-Crystal")</f>
        <v>Empty-Crystal</v>
      </c>
      <c r="W122" s="33" t="str">
        <f>IFERROR(__xludf.DUMMYFUNCTION("IF(IF(W$1="""","""",REGEXMATCH(LOWER($E122),XLOOKUP(W$1,Metadata!$A$2:$A1000,Metadata!$B$2:$B1000))),W$1,"""")"),"")</f>
        <v/>
      </c>
      <c r="X122" s="33" t="str">
        <f>IFERROR(__xludf.DUMMYFUNCTION("IF(IF(X$1="""","""",REGEXMATCH(LOWER($E122),XLOOKUP(X$1,Metadata!$A$2:$A1000,Metadata!$B$2:$B1000))),X$1,"""")"),"Ambush")</f>
        <v>Ambush</v>
      </c>
      <c r="Y122" s="33" t="str">
        <f>IFERROR(__xludf.DUMMYFUNCTION("IF(IF(Y$1="""","""",REGEXMATCH(LOWER($E122),XLOOKUP(Y$1,Metadata!$A$2:$A1000,Metadata!$B$2:$B1000))),Y$1,"""")"),"")</f>
        <v/>
      </c>
      <c r="Z122" s="33" t="str">
        <f>IFERROR(__xludf.DUMMYFUNCTION("IF(IF(Z$1="""","""",REGEXMATCH(LOWER($E122),XLOOKUP(Z$1,Metadata!$A$2:$A1000,Metadata!$B$2:$B1000))),Z$1,"""")"),"")</f>
        <v/>
      </c>
      <c r="AA122" s="33" t="str">
        <f>IFERROR(__xludf.DUMMYFUNCTION("IF(AA$1="""","""",REGEXMATCH(LOWER($E122),XLOOKUP(AA$1,Metadata!$A$2:$A1000,Metadata!$B$2:$B1000)))"),"")</f>
        <v/>
      </c>
    </row>
    <row r="123">
      <c r="A123" s="33" t="str">
        <f>IFERROR(__xludf.DUMMYFUNCTION("""COMPUTED_VALUE"""),"The Culling Claw")</f>
        <v>The Culling Claw</v>
      </c>
      <c r="B123" s="33" t="str">
        <f t="array" ref="B123:I123">XLOOKUP($A123,Cards!$A$2:$A1000,Cards!$B$2:$I1000,"")</f>
        <v>Elemental</v>
      </c>
      <c r="C123" s="33">
        <v>2.0</v>
      </c>
      <c r="D123" s="33" t="s">
        <v>761</v>
      </c>
      <c r="E123" s="33" t="s">
        <v>762</v>
      </c>
      <c r="F123" s="33"/>
      <c r="G123" s="33">
        <v>3.0</v>
      </c>
      <c r="H123" s="33" t="s">
        <v>470</v>
      </c>
      <c r="I123" s="33" t="s">
        <v>32</v>
      </c>
      <c r="J123" s="33">
        <f>IFERROR(__xludf.DUMMYFUNCTION("LEN(REGEXREPLACE(XLOOKUP($A123,Cards!$A$2:$A1000,Cards!$H$2:$H1000,""""),"",\s"",""""))"),4.0)</f>
        <v>4</v>
      </c>
      <c r="K123" s="33" t="str">
        <f t="shared" si="1"/>
        <v>      Ramp Control     Ambush   </v>
      </c>
      <c r="L123" s="33" t="str">
        <f>IFERROR(__xludf.DUMMYFUNCTION("IF(IF(L$1="""","""",REGEXMATCH(LOWER($E123),XLOOKUP(L$1,Metadata!$A$2:$A1000,Metadata!$B$2:$B1000))),L$1,"""")"),"")</f>
        <v/>
      </c>
      <c r="M123" s="33" t="str">
        <f>IFERROR(__xludf.DUMMYFUNCTION("IF(IF(M$1="""","""",REGEXMATCH(LOWER($E123),XLOOKUP(M$1,Metadata!$A$2:$A1000,Metadata!$B$2:$B1000))),M$1,"""")"),"")</f>
        <v/>
      </c>
      <c r="N123" s="33" t="str">
        <f>IFERROR(__xludf.DUMMYFUNCTION("IF(IF(N$1="""","""",REGEXMATCH(LOWER($E123),XLOOKUP(N$1,Metadata!$A$2:$A1000,Metadata!$B$2:$B1000))),N$1,"""")"),"")</f>
        <v/>
      </c>
      <c r="O123" s="33" t="str">
        <f>IFERROR(__xludf.DUMMYFUNCTION("IF(IF(O$1="""","""",REGEXMATCH(LOWER($E123),XLOOKUP(O$1,Metadata!$A$2:$A1000,Metadata!$B$2:$B1000))),O$1,"""")"),"")</f>
        <v/>
      </c>
      <c r="P123" s="33" t="str">
        <f>IFERROR(__xludf.DUMMYFUNCTION("IF(IF(P$1="""","""",REGEXMATCH(LOWER($E123),XLOOKUP(P$1,Metadata!$A$2:$A1000,Metadata!$B$2:$B1000))),P$1,"""")"),"")</f>
        <v/>
      </c>
      <c r="Q123" s="33" t="str">
        <f>IFERROR(__xludf.DUMMYFUNCTION("IF(IF(Q$1="""","""",REGEXMATCH(LOWER($E123),XLOOKUP(Q$1,Metadata!$A$2:$A1000,Metadata!$B$2:$B1000))),Q$1,"""")"),"")</f>
        <v/>
      </c>
      <c r="R123" s="33" t="str">
        <f>IFERROR(__xludf.DUMMYFUNCTION("IF(IF(R$1="""","""",REGEXMATCH(LOWER($E123),XLOOKUP(R$1,Metadata!$A$2:$A1000,Metadata!$B$2:$B1000))),R$1,"""")"),"Ramp")</f>
        <v>Ramp</v>
      </c>
      <c r="S123" s="33" t="str">
        <f>IFERROR(__xludf.DUMMYFUNCTION("IF(IF(S$1="""","""",REGEXMATCH(LOWER($E123),XLOOKUP(S$1,Metadata!$A$2:$A1000,Metadata!$B$2:$B1000))),S$1,"""")"),"Control")</f>
        <v>Control</v>
      </c>
      <c r="T123" s="33" t="str">
        <f>IFERROR(__xludf.DUMMYFUNCTION("IF(IF(T$1="""","""",REGEXMATCH(LOWER($E123),XLOOKUP(T$1,Metadata!$A$2:$A1000,Metadata!$B$2:$B1000))),T$1,"""")"),"")</f>
        <v/>
      </c>
      <c r="U123" s="33" t="str">
        <f>IFERROR(__xludf.DUMMYFUNCTION("IF(IF(U$1="""","""",REGEXMATCH(LOWER($E123),XLOOKUP(U$1,Metadata!$A$2:$A1000,Metadata!$B$2:$B1000))),U$1,"""")"),"")</f>
        <v/>
      </c>
      <c r="V123" s="33" t="str">
        <f>IFERROR(__xludf.DUMMYFUNCTION("IF(IF(V$1="""","""",REGEXMATCH(LOWER($E123),XLOOKUP(V$1,Metadata!$A$2:$A1000,Metadata!$B$2:$B1000))),V$1,"""")"),"")</f>
        <v/>
      </c>
      <c r="W123" s="33" t="str">
        <f>IFERROR(__xludf.DUMMYFUNCTION("IF(IF(W$1="""","""",REGEXMATCH(LOWER($E123),XLOOKUP(W$1,Metadata!$A$2:$A1000,Metadata!$B$2:$B1000))),W$1,"""")"),"")</f>
        <v/>
      </c>
      <c r="X123" s="33" t="str">
        <f>IFERROR(__xludf.DUMMYFUNCTION("IF(IF(X$1="""","""",REGEXMATCH(LOWER($E123),XLOOKUP(X$1,Metadata!$A$2:$A1000,Metadata!$B$2:$B1000))),X$1,"""")"),"Ambush")</f>
        <v>Ambush</v>
      </c>
      <c r="Y123" s="33" t="str">
        <f>IFERROR(__xludf.DUMMYFUNCTION("IF(IF(Y$1="""","""",REGEXMATCH(LOWER($E123),XLOOKUP(Y$1,Metadata!$A$2:$A1000,Metadata!$B$2:$B1000))),Y$1,"""")"),"")</f>
        <v/>
      </c>
      <c r="Z123" s="33" t="str">
        <f>IFERROR(__xludf.DUMMYFUNCTION("IF(IF(Z$1="""","""",REGEXMATCH(LOWER($E123),XLOOKUP(Z$1,Metadata!$A$2:$A1000,Metadata!$B$2:$B1000))),Z$1,"""")"),"")</f>
        <v/>
      </c>
      <c r="AA123" s="33" t="str">
        <f>IFERROR(__xludf.DUMMYFUNCTION("IF(AA$1="""","""",REGEXMATCH(LOWER($E123),XLOOKUP(AA$1,Metadata!$A$2:$A1000,Metadata!$B$2:$B1000)))"),"")</f>
        <v/>
      </c>
    </row>
    <row r="124">
      <c r="A124" s="33" t="str">
        <f>IFERROR(__xludf.DUMMYFUNCTION("""COMPUTED_VALUE"""),"Thunderfox")</f>
        <v>Thunderfox</v>
      </c>
      <c r="B124" s="33" t="str">
        <f t="array" ref="B124:I124">XLOOKUP($A124,Cards!$A$2:$A1000,Cards!$B$2:$I1000,"")</f>
        <v>Elemental</v>
      </c>
      <c r="C124" s="33">
        <v>2.0</v>
      </c>
      <c r="D124" s="33" t="s">
        <v>217</v>
      </c>
      <c r="E124" s="33" t="s">
        <v>764</v>
      </c>
      <c r="F124" s="33" t="s">
        <v>765</v>
      </c>
      <c r="G124" s="33">
        <v>3.0</v>
      </c>
      <c r="H124" s="33" t="s">
        <v>368</v>
      </c>
      <c r="I124" s="33" t="s">
        <v>26</v>
      </c>
      <c r="J124" s="33">
        <f>IFERROR(__xludf.DUMMYFUNCTION("LEN(REGEXREPLACE(XLOOKUP($A124,Cards!$A$2:$A1000,Cards!$H$2:$H1000,""""),"",\s"",""""))"),3.0)</f>
        <v>3</v>
      </c>
      <c r="K124" s="33" t="str">
        <f t="shared" si="1"/>
        <v>       Control     Ambush   </v>
      </c>
      <c r="L124" s="33" t="str">
        <f>IFERROR(__xludf.DUMMYFUNCTION("IF(IF(L$1="""","""",REGEXMATCH(LOWER($E124),XLOOKUP(L$1,Metadata!$A$2:$A1000,Metadata!$B$2:$B1000))),L$1,"""")"),"")</f>
        <v/>
      </c>
      <c r="M124" s="33" t="str">
        <f>IFERROR(__xludf.DUMMYFUNCTION("IF(IF(M$1="""","""",REGEXMATCH(LOWER($E124),XLOOKUP(M$1,Metadata!$A$2:$A1000,Metadata!$B$2:$B1000))),M$1,"""")"),"")</f>
        <v/>
      </c>
      <c r="N124" s="33" t="str">
        <f>IFERROR(__xludf.DUMMYFUNCTION("IF(IF(N$1="""","""",REGEXMATCH(LOWER($E124),XLOOKUP(N$1,Metadata!$A$2:$A1000,Metadata!$B$2:$B1000))),N$1,"""")"),"")</f>
        <v/>
      </c>
      <c r="O124" s="33" t="str">
        <f>IFERROR(__xludf.DUMMYFUNCTION("IF(IF(O$1="""","""",REGEXMATCH(LOWER($E124),XLOOKUP(O$1,Metadata!$A$2:$A1000,Metadata!$B$2:$B1000))),O$1,"""")"),"")</f>
        <v/>
      </c>
      <c r="P124" s="33" t="str">
        <f>IFERROR(__xludf.DUMMYFUNCTION("IF(IF(P$1="""","""",REGEXMATCH(LOWER($E124),XLOOKUP(P$1,Metadata!$A$2:$A1000,Metadata!$B$2:$B1000))),P$1,"""")"),"")</f>
        <v/>
      </c>
      <c r="Q124" s="33" t="str">
        <f>IFERROR(__xludf.DUMMYFUNCTION("IF(IF(Q$1="""","""",REGEXMATCH(LOWER($E124),XLOOKUP(Q$1,Metadata!$A$2:$A1000,Metadata!$B$2:$B1000))),Q$1,"""")"),"")</f>
        <v/>
      </c>
      <c r="R124" s="33" t="str">
        <f>IFERROR(__xludf.DUMMYFUNCTION("IF(IF(R$1="""","""",REGEXMATCH(LOWER($E124),XLOOKUP(R$1,Metadata!$A$2:$A1000,Metadata!$B$2:$B1000))),R$1,"""")"),"")</f>
        <v/>
      </c>
      <c r="S124" s="33" t="str">
        <f>IFERROR(__xludf.DUMMYFUNCTION("IF(IF(S$1="""","""",REGEXMATCH(LOWER($E124),XLOOKUP(S$1,Metadata!$A$2:$A1000,Metadata!$B$2:$B1000))),S$1,"""")"),"Control")</f>
        <v>Control</v>
      </c>
      <c r="T124" s="33" t="str">
        <f>IFERROR(__xludf.DUMMYFUNCTION("IF(IF(T$1="""","""",REGEXMATCH(LOWER($E124),XLOOKUP(T$1,Metadata!$A$2:$A1000,Metadata!$B$2:$B1000))),T$1,"""")"),"")</f>
        <v/>
      </c>
      <c r="U124" s="33" t="str">
        <f>IFERROR(__xludf.DUMMYFUNCTION("IF(IF(U$1="""","""",REGEXMATCH(LOWER($E124),XLOOKUP(U$1,Metadata!$A$2:$A1000,Metadata!$B$2:$B1000))),U$1,"""")"),"")</f>
        <v/>
      </c>
      <c r="V124" s="33" t="str">
        <f>IFERROR(__xludf.DUMMYFUNCTION("IF(IF(V$1="""","""",REGEXMATCH(LOWER($E124),XLOOKUP(V$1,Metadata!$A$2:$A1000,Metadata!$B$2:$B1000))),V$1,"""")"),"")</f>
        <v/>
      </c>
      <c r="W124" s="33" t="str">
        <f>IFERROR(__xludf.DUMMYFUNCTION("IF(IF(W$1="""","""",REGEXMATCH(LOWER($E124),XLOOKUP(W$1,Metadata!$A$2:$A1000,Metadata!$B$2:$B1000))),W$1,"""")"),"")</f>
        <v/>
      </c>
      <c r="X124" s="33" t="str">
        <f>IFERROR(__xludf.DUMMYFUNCTION("IF(IF(X$1="""","""",REGEXMATCH(LOWER($E124),XLOOKUP(X$1,Metadata!$A$2:$A1000,Metadata!$B$2:$B1000))),X$1,"""")"),"Ambush")</f>
        <v>Ambush</v>
      </c>
      <c r="Y124" s="33" t="str">
        <f>IFERROR(__xludf.DUMMYFUNCTION("IF(IF(Y$1="""","""",REGEXMATCH(LOWER($E124),XLOOKUP(Y$1,Metadata!$A$2:$A1000,Metadata!$B$2:$B1000))),Y$1,"""")"),"")</f>
        <v/>
      </c>
      <c r="Z124" s="33" t="str">
        <f>IFERROR(__xludf.DUMMYFUNCTION("IF(IF(Z$1="""","""",REGEXMATCH(LOWER($E124),XLOOKUP(Z$1,Metadata!$A$2:$A1000,Metadata!$B$2:$B1000))),Z$1,"""")"),"")</f>
        <v/>
      </c>
      <c r="AA124" s="33" t="str">
        <f>IFERROR(__xludf.DUMMYFUNCTION("IF(AA$1="""","""",REGEXMATCH(LOWER($E124),XLOOKUP(AA$1,Metadata!$A$2:$A1000,Metadata!$B$2:$B1000)))"),"")</f>
        <v/>
      </c>
    </row>
    <row r="125">
      <c r="A125" s="33" t="str">
        <f>IFERROR(__xludf.DUMMYFUNCTION("""COMPUTED_VALUE"""),"Raijin's Familiar")</f>
        <v>Raijin's Familiar</v>
      </c>
      <c r="B125" s="33" t="str">
        <f t="array" ref="B125:I125">XLOOKUP($A125,Cards!$A$2:$A1000,Cards!$B$2:$I1000,"")</f>
        <v>Elemental</v>
      </c>
      <c r="C125" s="33">
        <v>1.0</v>
      </c>
      <c r="D125" s="33" t="s">
        <v>355</v>
      </c>
      <c r="E125" s="33" t="s">
        <v>767</v>
      </c>
      <c r="F125" s="33" t="s">
        <v>336</v>
      </c>
      <c r="G125" s="33">
        <v>3.0</v>
      </c>
      <c r="H125" s="33" t="s">
        <v>586</v>
      </c>
      <c r="I125" s="33" t="s">
        <v>62</v>
      </c>
      <c r="J125" s="33">
        <f>IFERROR(__xludf.DUMMYFUNCTION("LEN(REGEXREPLACE(XLOOKUP($A125,Cards!$A$2:$A1000,Cards!$H$2:$H1000,""""),"",\s"",""""))"),4.0)</f>
        <v>4</v>
      </c>
      <c r="K125" s="33" t="str">
        <f t="shared" si="1"/>
        <v>           Move    </v>
      </c>
      <c r="L125" s="33" t="str">
        <f>IFERROR(__xludf.DUMMYFUNCTION("IF(IF(L$1="""","""",REGEXMATCH(LOWER($E125),XLOOKUP(L$1,Metadata!$A$2:$A1000,Metadata!$B$2:$B1000))),L$1,"""")"),"")</f>
        <v/>
      </c>
      <c r="M125" s="33" t="str">
        <f>IFERROR(__xludf.DUMMYFUNCTION("IF(IF(M$1="""","""",REGEXMATCH(LOWER($E125),XLOOKUP(M$1,Metadata!$A$2:$A1000,Metadata!$B$2:$B1000))),M$1,"""")"),"")</f>
        <v/>
      </c>
      <c r="N125" s="33" t="str">
        <f>IFERROR(__xludf.DUMMYFUNCTION("IF(IF(N$1="""","""",REGEXMATCH(LOWER($E125),XLOOKUP(N$1,Metadata!$A$2:$A1000,Metadata!$B$2:$B1000))),N$1,"""")"),"")</f>
        <v/>
      </c>
      <c r="O125" s="33" t="str">
        <f>IFERROR(__xludf.DUMMYFUNCTION("IF(IF(O$1="""","""",REGEXMATCH(LOWER($E125),XLOOKUP(O$1,Metadata!$A$2:$A1000,Metadata!$B$2:$B1000))),O$1,"""")"),"")</f>
        <v/>
      </c>
      <c r="P125" s="33" t="str">
        <f>IFERROR(__xludf.DUMMYFUNCTION("IF(IF(P$1="""","""",REGEXMATCH(LOWER($E125),XLOOKUP(P$1,Metadata!$A$2:$A1000,Metadata!$B$2:$B1000))),P$1,"""")"),"")</f>
        <v/>
      </c>
      <c r="Q125" s="33" t="str">
        <f>IFERROR(__xludf.DUMMYFUNCTION("IF(IF(Q$1="""","""",REGEXMATCH(LOWER($E125),XLOOKUP(Q$1,Metadata!$A$2:$A1000,Metadata!$B$2:$B1000))),Q$1,"""")"),"")</f>
        <v/>
      </c>
      <c r="R125" s="33" t="str">
        <f>IFERROR(__xludf.DUMMYFUNCTION("IF(IF(R$1="""","""",REGEXMATCH(LOWER($E125),XLOOKUP(R$1,Metadata!$A$2:$A1000,Metadata!$B$2:$B1000))),R$1,"""")"),"")</f>
        <v/>
      </c>
      <c r="S125" s="33" t="str">
        <f>IFERROR(__xludf.DUMMYFUNCTION("IF(IF(S$1="""","""",REGEXMATCH(LOWER($E125),XLOOKUP(S$1,Metadata!$A$2:$A1000,Metadata!$B$2:$B1000))),S$1,"""")"),"")</f>
        <v/>
      </c>
      <c r="T125" s="33" t="str">
        <f>IFERROR(__xludf.DUMMYFUNCTION("IF(IF(T$1="""","""",REGEXMATCH(LOWER($E125),XLOOKUP(T$1,Metadata!$A$2:$A1000,Metadata!$B$2:$B1000))),T$1,"""")"),"")</f>
        <v/>
      </c>
      <c r="U125" s="33" t="str">
        <f>IFERROR(__xludf.DUMMYFUNCTION("IF(IF(U$1="""","""",REGEXMATCH(LOWER($E125),XLOOKUP(U$1,Metadata!$A$2:$A1000,Metadata!$B$2:$B1000))),U$1,"""")"),"")</f>
        <v/>
      </c>
      <c r="V125" s="33" t="str">
        <f>IFERROR(__xludf.DUMMYFUNCTION("IF(IF(V$1="""","""",REGEXMATCH(LOWER($E125),XLOOKUP(V$1,Metadata!$A$2:$A1000,Metadata!$B$2:$B1000))),V$1,"""")"),"")</f>
        <v/>
      </c>
      <c r="W125" s="33" t="str">
        <f>IFERROR(__xludf.DUMMYFUNCTION("IF(IF(W$1="""","""",REGEXMATCH(LOWER($E125),XLOOKUP(W$1,Metadata!$A$2:$A1000,Metadata!$B$2:$B1000))),W$1,"""")"),"Move")</f>
        <v>Move</v>
      </c>
      <c r="X125" s="33" t="str">
        <f>IFERROR(__xludf.DUMMYFUNCTION("IF(IF(X$1="""","""",REGEXMATCH(LOWER($E125),XLOOKUP(X$1,Metadata!$A$2:$A1000,Metadata!$B$2:$B1000))),X$1,"""")"),"")</f>
        <v/>
      </c>
      <c r="Y125" s="33" t="str">
        <f>IFERROR(__xludf.DUMMYFUNCTION("IF(IF(Y$1="""","""",REGEXMATCH(LOWER($E125),XLOOKUP(Y$1,Metadata!$A$2:$A1000,Metadata!$B$2:$B1000))),Y$1,"""")"),"")</f>
        <v/>
      </c>
      <c r="Z125" s="33" t="str">
        <f>IFERROR(__xludf.DUMMYFUNCTION("IF(IF(Z$1="""","""",REGEXMATCH(LOWER($E125),XLOOKUP(Z$1,Metadata!$A$2:$A1000,Metadata!$B$2:$B1000))),Z$1,"""")"),"")</f>
        <v/>
      </c>
      <c r="AA125" s="33" t="str">
        <f>IFERROR(__xludf.DUMMYFUNCTION("IF(AA$1="""","""",REGEXMATCH(LOWER($E125),XLOOKUP(AA$1,Metadata!$A$2:$A1000,Metadata!$B$2:$B1000)))"),"")</f>
        <v/>
      </c>
    </row>
    <row r="126">
      <c r="A126" s="33" t="str">
        <f>IFERROR(__xludf.DUMMYFUNCTION("""COMPUTED_VALUE"""),"Twin Thundertail")</f>
        <v>Twin Thundertail</v>
      </c>
      <c r="B126" s="33" t="str">
        <f t="array" ref="B126:I126">XLOOKUP($A126,Cards!$A$2:$A1000,Cards!$B$2:$I1000,"")</f>
        <v>Elemental</v>
      </c>
      <c r="C126" s="33">
        <v>2.0</v>
      </c>
      <c r="D126" s="33" t="s">
        <v>536</v>
      </c>
      <c r="E126" s="33" t="s">
        <v>780</v>
      </c>
      <c r="F126" s="33" t="s">
        <v>336</v>
      </c>
      <c r="G126" s="33">
        <v>4.0</v>
      </c>
      <c r="H126" s="33" t="s">
        <v>378</v>
      </c>
      <c r="I126" s="33" t="s">
        <v>62</v>
      </c>
      <c r="J126" s="33">
        <f>IFERROR(__xludf.DUMMYFUNCTION("LEN(REGEXREPLACE(XLOOKUP($A126,Cards!$A$2:$A1000,Cards!$H$2:$H1000,""""),"",\s"",""""))"),5.0)</f>
        <v>5</v>
      </c>
      <c r="K126" s="33" t="str">
        <f t="shared" si="1"/>
        <v>     Unearth   Copy    Ambush   </v>
      </c>
      <c r="L126" s="33" t="str">
        <f>IFERROR(__xludf.DUMMYFUNCTION("IF(IF(L$1="""","""",REGEXMATCH(LOWER($E126),XLOOKUP(L$1,Metadata!$A$2:$A1000,Metadata!$B$2:$B1000))),L$1,"""")"),"")</f>
        <v/>
      </c>
      <c r="M126" s="33" t="str">
        <f>IFERROR(__xludf.DUMMYFUNCTION("IF(IF(M$1="""","""",REGEXMATCH(LOWER($E126),XLOOKUP(M$1,Metadata!$A$2:$A1000,Metadata!$B$2:$B1000))),M$1,"""")"),"")</f>
        <v/>
      </c>
      <c r="N126" s="33" t="str">
        <f>IFERROR(__xludf.DUMMYFUNCTION("IF(IF(N$1="""","""",REGEXMATCH(LOWER($E126),XLOOKUP(N$1,Metadata!$A$2:$A1000,Metadata!$B$2:$B1000))),N$1,"""")"),"")</f>
        <v/>
      </c>
      <c r="O126" s="33" t="str">
        <f>IFERROR(__xludf.DUMMYFUNCTION("IF(IF(O$1="""","""",REGEXMATCH(LOWER($E126),XLOOKUP(O$1,Metadata!$A$2:$A1000,Metadata!$B$2:$B1000))),O$1,"""")"),"")</f>
        <v/>
      </c>
      <c r="P126" s="33" t="str">
        <f>IFERROR(__xludf.DUMMYFUNCTION("IF(IF(P$1="""","""",REGEXMATCH(LOWER($E126),XLOOKUP(P$1,Metadata!$A$2:$A1000,Metadata!$B$2:$B1000))),P$1,"""")"),"")</f>
        <v/>
      </c>
      <c r="Q126" s="33" t="str">
        <f>IFERROR(__xludf.DUMMYFUNCTION("IF(IF(Q$1="""","""",REGEXMATCH(LOWER($E126),XLOOKUP(Q$1,Metadata!$A$2:$A1000,Metadata!$B$2:$B1000))),Q$1,"""")"),"Unearth")</f>
        <v>Unearth</v>
      </c>
      <c r="R126" s="33" t="str">
        <f>IFERROR(__xludf.DUMMYFUNCTION("IF(IF(R$1="""","""",REGEXMATCH(LOWER($E126),XLOOKUP(R$1,Metadata!$A$2:$A1000,Metadata!$B$2:$B1000))),R$1,"""")"),"")</f>
        <v/>
      </c>
      <c r="S126" s="33" t="str">
        <f>IFERROR(__xludf.DUMMYFUNCTION("IF(IF(S$1="""","""",REGEXMATCH(LOWER($E126),XLOOKUP(S$1,Metadata!$A$2:$A1000,Metadata!$B$2:$B1000))),S$1,"""")"),"")</f>
        <v/>
      </c>
      <c r="T126" s="33" t="str">
        <f>IFERROR(__xludf.DUMMYFUNCTION("IF(IF(T$1="""","""",REGEXMATCH(LOWER($E126),XLOOKUP(T$1,Metadata!$A$2:$A1000,Metadata!$B$2:$B1000))),T$1,"""")"),"Copy")</f>
        <v>Copy</v>
      </c>
      <c r="U126" s="33" t="str">
        <f>IFERROR(__xludf.DUMMYFUNCTION("IF(IF(U$1="""","""",REGEXMATCH(LOWER($E126),XLOOKUP(U$1,Metadata!$A$2:$A1000,Metadata!$B$2:$B1000))),U$1,"""")"),"")</f>
        <v/>
      </c>
      <c r="V126" s="33" t="str">
        <f>IFERROR(__xludf.DUMMYFUNCTION("IF(IF(V$1="""","""",REGEXMATCH(LOWER($E126),XLOOKUP(V$1,Metadata!$A$2:$A1000,Metadata!$B$2:$B1000))),V$1,"""")"),"")</f>
        <v/>
      </c>
      <c r="W126" s="33" t="str">
        <f>IFERROR(__xludf.DUMMYFUNCTION("IF(IF(W$1="""","""",REGEXMATCH(LOWER($E126),XLOOKUP(W$1,Metadata!$A$2:$A1000,Metadata!$B$2:$B1000))),W$1,"""")"),"")</f>
        <v/>
      </c>
      <c r="X126" s="33" t="str">
        <f>IFERROR(__xludf.DUMMYFUNCTION("IF(IF(X$1="""","""",REGEXMATCH(LOWER($E126),XLOOKUP(X$1,Metadata!$A$2:$A1000,Metadata!$B$2:$B1000))),X$1,"""")"),"Ambush")</f>
        <v>Ambush</v>
      </c>
      <c r="Y126" s="33" t="str">
        <f>IFERROR(__xludf.DUMMYFUNCTION("IF(IF(Y$1="""","""",REGEXMATCH(LOWER($E126),XLOOKUP(Y$1,Metadata!$A$2:$A1000,Metadata!$B$2:$B1000))),Y$1,"""")"),"")</f>
        <v/>
      </c>
      <c r="Z126" s="33" t="str">
        <f>IFERROR(__xludf.DUMMYFUNCTION("IF(IF(Z$1="""","""",REGEXMATCH(LOWER($E126),XLOOKUP(Z$1,Metadata!$A$2:$A1000,Metadata!$B$2:$B1000))),Z$1,"""")"),"")</f>
        <v/>
      </c>
      <c r="AA126" s="33" t="str">
        <f>IFERROR(__xludf.DUMMYFUNCTION("IF(AA$1="""","""",REGEXMATCH(LOWER($E126),XLOOKUP(AA$1,Metadata!$A$2:$A1000,Metadata!$B$2:$B1000)))"),"")</f>
        <v/>
      </c>
    </row>
    <row r="127">
      <c r="A127" s="33" t="str">
        <f>IFERROR(__xludf.DUMMYFUNCTION("""COMPUTED_VALUE"""),"Vengeful Gust")</f>
        <v>Vengeful Gust</v>
      </c>
      <c r="B127" s="33" t="str">
        <f t="array" ref="B127:I127">XLOOKUP($A127,Cards!$A$2:$A1000,Cards!$B$2:$I1000,"")</f>
        <v>Elemental</v>
      </c>
      <c r="C127" s="33">
        <v>2.0</v>
      </c>
      <c r="D127" s="33" t="s">
        <v>355</v>
      </c>
      <c r="E127" s="33" t="s">
        <v>782</v>
      </c>
      <c r="F127" s="33"/>
      <c r="G127" s="33">
        <v>5.0</v>
      </c>
      <c r="H127" s="33" t="s">
        <v>534</v>
      </c>
      <c r="I127" s="33" t="s">
        <v>26</v>
      </c>
      <c r="J127" s="33">
        <f>IFERROR(__xludf.DUMMYFUNCTION("LEN(REGEXREPLACE(XLOOKUP($A127,Cards!$A$2:$A1000,Cards!$H$2:$H1000,""""),"",\s"",""""))"),2.0)</f>
        <v>2</v>
      </c>
      <c r="K127" s="33" t="str">
        <f t="shared" si="1"/>
        <v>       Control     Ambush   </v>
      </c>
      <c r="L127" s="33" t="str">
        <f>IFERROR(__xludf.DUMMYFUNCTION("IF(IF(L$1="""","""",REGEXMATCH(LOWER($E127),XLOOKUP(L$1,Metadata!$A$2:$A1000,Metadata!$B$2:$B1000))),L$1,"""")"),"")</f>
        <v/>
      </c>
      <c r="M127" s="33" t="str">
        <f>IFERROR(__xludf.DUMMYFUNCTION("IF(IF(M$1="""","""",REGEXMATCH(LOWER($E127),XLOOKUP(M$1,Metadata!$A$2:$A1000,Metadata!$B$2:$B1000))),M$1,"""")"),"")</f>
        <v/>
      </c>
      <c r="N127" s="33" t="str">
        <f>IFERROR(__xludf.DUMMYFUNCTION("IF(IF(N$1="""","""",REGEXMATCH(LOWER($E127),XLOOKUP(N$1,Metadata!$A$2:$A1000,Metadata!$B$2:$B1000))),N$1,"""")"),"")</f>
        <v/>
      </c>
      <c r="O127" s="33" t="str">
        <f>IFERROR(__xludf.DUMMYFUNCTION("IF(IF(O$1="""","""",REGEXMATCH(LOWER($E127),XLOOKUP(O$1,Metadata!$A$2:$A1000,Metadata!$B$2:$B1000))),O$1,"""")"),"")</f>
        <v/>
      </c>
      <c r="P127" s="33" t="str">
        <f>IFERROR(__xludf.DUMMYFUNCTION("IF(IF(P$1="""","""",REGEXMATCH(LOWER($E127),XLOOKUP(P$1,Metadata!$A$2:$A1000,Metadata!$B$2:$B1000))),P$1,"""")"),"")</f>
        <v/>
      </c>
      <c r="Q127" s="33" t="str">
        <f>IFERROR(__xludf.DUMMYFUNCTION("IF(IF(Q$1="""","""",REGEXMATCH(LOWER($E127),XLOOKUP(Q$1,Metadata!$A$2:$A1000,Metadata!$B$2:$B1000))),Q$1,"""")"),"")</f>
        <v/>
      </c>
      <c r="R127" s="33" t="str">
        <f>IFERROR(__xludf.DUMMYFUNCTION("IF(IF(R$1="""","""",REGEXMATCH(LOWER($E127),XLOOKUP(R$1,Metadata!$A$2:$A1000,Metadata!$B$2:$B1000))),R$1,"""")"),"")</f>
        <v/>
      </c>
      <c r="S127" s="33" t="str">
        <f>IFERROR(__xludf.DUMMYFUNCTION("IF(IF(S$1="""","""",REGEXMATCH(LOWER($E127),XLOOKUP(S$1,Metadata!$A$2:$A1000,Metadata!$B$2:$B1000))),S$1,"""")"),"Control")</f>
        <v>Control</v>
      </c>
      <c r="T127" s="33" t="str">
        <f>IFERROR(__xludf.DUMMYFUNCTION("IF(IF(T$1="""","""",REGEXMATCH(LOWER($E127),XLOOKUP(T$1,Metadata!$A$2:$A1000,Metadata!$B$2:$B1000))),T$1,"""")"),"")</f>
        <v/>
      </c>
      <c r="U127" s="33" t="str">
        <f>IFERROR(__xludf.DUMMYFUNCTION("IF(IF(U$1="""","""",REGEXMATCH(LOWER($E127),XLOOKUP(U$1,Metadata!$A$2:$A1000,Metadata!$B$2:$B1000))),U$1,"""")"),"")</f>
        <v/>
      </c>
      <c r="V127" s="33" t="str">
        <f>IFERROR(__xludf.DUMMYFUNCTION("IF(IF(V$1="""","""",REGEXMATCH(LOWER($E127),XLOOKUP(V$1,Metadata!$A$2:$A1000,Metadata!$B$2:$B1000))),V$1,"""")"),"")</f>
        <v/>
      </c>
      <c r="W127" s="33" t="str">
        <f>IFERROR(__xludf.DUMMYFUNCTION("IF(IF(W$1="""","""",REGEXMATCH(LOWER($E127),XLOOKUP(W$1,Metadata!$A$2:$A1000,Metadata!$B$2:$B1000))),W$1,"""")"),"")</f>
        <v/>
      </c>
      <c r="X127" s="33" t="str">
        <f>IFERROR(__xludf.DUMMYFUNCTION("IF(IF(X$1="""","""",REGEXMATCH(LOWER($E127),XLOOKUP(X$1,Metadata!$A$2:$A1000,Metadata!$B$2:$B1000))),X$1,"""")"),"Ambush")</f>
        <v>Ambush</v>
      </c>
      <c r="Y127" s="33" t="str">
        <f>IFERROR(__xludf.DUMMYFUNCTION("IF(IF(Y$1="""","""",REGEXMATCH(LOWER($E127),XLOOKUP(Y$1,Metadata!$A$2:$A1000,Metadata!$B$2:$B1000))),Y$1,"""")"),"")</f>
        <v/>
      </c>
      <c r="Z127" s="33" t="str">
        <f>IFERROR(__xludf.DUMMYFUNCTION("IF(IF(Z$1="""","""",REGEXMATCH(LOWER($E127),XLOOKUP(Z$1,Metadata!$A$2:$A1000,Metadata!$B$2:$B1000))),Z$1,"""")"),"")</f>
        <v/>
      </c>
      <c r="AA127" s="33" t="str">
        <f>IFERROR(__xludf.DUMMYFUNCTION("IF(AA$1="""","""",REGEXMATCH(LOWER($E127),XLOOKUP(AA$1,Metadata!$A$2:$A1000,Metadata!$B$2:$B1000)))"),"")</f>
        <v/>
      </c>
    </row>
    <row r="128">
      <c r="A128" s="33" t="str">
        <f>IFERROR(__xludf.DUMMYFUNCTION("""COMPUTED_VALUE"""),"Runecursed Wyvern")</f>
        <v>Runecursed Wyvern</v>
      </c>
      <c r="B128" s="33" t="str">
        <f t="array" ref="B128:I128">XLOOKUP($A128,Cards!$A$2:$A1000,Cards!$B$2:$I1000,"")</f>
        <v>Elemental</v>
      </c>
      <c r="C128" s="33">
        <v>1.0</v>
      </c>
      <c r="D128" s="33" t="s">
        <v>784</v>
      </c>
      <c r="E128" s="33" t="s">
        <v>785</v>
      </c>
      <c r="F128" s="33" t="s">
        <v>786</v>
      </c>
      <c r="G128" s="33">
        <v>6.0</v>
      </c>
      <c r="H128" s="33" t="s">
        <v>470</v>
      </c>
      <c r="I128" s="33" t="s">
        <v>62</v>
      </c>
      <c r="J128" s="33">
        <f>IFERROR(__xludf.DUMMYFUNCTION("LEN(REGEXREPLACE(XLOOKUP($A128,Cards!$A$2:$A1000,Cards!$H$2:$H1000,""""),"",\s"",""""))"),4.0)</f>
        <v>4</v>
      </c>
      <c r="K128" s="33" t="str">
        <f t="shared" si="1"/>
        <v>       Control   Empty-Crystal  Ambush   </v>
      </c>
      <c r="L128" s="33" t="str">
        <f>IFERROR(__xludf.DUMMYFUNCTION("IF(IF(L$1="""","""",REGEXMATCH(LOWER($E128),XLOOKUP(L$1,Metadata!$A$2:$A1000,Metadata!$B$2:$B1000))),L$1,"""")"),"")</f>
        <v/>
      </c>
      <c r="M128" s="33" t="str">
        <f>IFERROR(__xludf.DUMMYFUNCTION("IF(IF(M$1="""","""",REGEXMATCH(LOWER($E128),XLOOKUP(M$1,Metadata!$A$2:$A1000,Metadata!$B$2:$B1000))),M$1,"""")"),"")</f>
        <v/>
      </c>
      <c r="N128" s="33" t="str">
        <f>IFERROR(__xludf.DUMMYFUNCTION("IF(IF(N$1="""","""",REGEXMATCH(LOWER($E128),XLOOKUP(N$1,Metadata!$A$2:$A1000,Metadata!$B$2:$B1000))),N$1,"""")"),"")</f>
        <v/>
      </c>
      <c r="O128" s="33" t="str">
        <f>IFERROR(__xludf.DUMMYFUNCTION("IF(IF(O$1="""","""",REGEXMATCH(LOWER($E128),XLOOKUP(O$1,Metadata!$A$2:$A1000,Metadata!$B$2:$B1000))),O$1,"""")"),"")</f>
        <v/>
      </c>
      <c r="P128" s="33" t="str">
        <f>IFERROR(__xludf.DUMMYFUNCTION("IF(IF(P$1="""","""",REGEXMATCH(LOWER($E128),XLOOKUP(P$1,Metadata!$A$2:$A1000,Metadata!$B$2:$B1000))),P$1,"""")"),"")</f>
        <v/>
      </c>
      <c r="Q128" s="33" t="str">
        <f>IFERROR(__xludf.DUMMYFUNCTION("IF(IF(Q$1="""","""",REGEXMATCH(LOWER($E128),XLOOKUP(Q$1,Metadata!$A$2:$A1000,Metadata!$B$2:$B1000))),Q$1,"""")"),"")</f>
        <v/>
      </c>
      <c r="R128" s="33" t="str">
        <f>IFERROR(__xludf.DUMMYFUNCTION("IF(IF(R$1="""","""",REGEXMATCH(LOWER($E128),XLOOKUP(R$1,Metadata!$A$2:$A1000,Metadata!$B$2:$B1000))),R$1,"""")"),"")</f>
        <v/>
      </c>
      <c r="S128" s="33" t="str">
        <f>IFERROR(__xludf.DUMMYFUNCTION("IF(IF(S$1="""","""",REGEXMATCH(LOWER($E128),XLOOKUP(S$1,Metadata!$A$2:$A1000,Metadata!$B$2:$B1000))),S$1,"""")"),"Control")</f>
        <v>Control</v>
      </c>
      <c r="T128" s="33" t="str">
        <f>IFERROR(__xludf.DUMMYFUNCTION("IF(IF(T$1="""","""",REGEXMATCH(LOWER($E128),XLOOKUP(T$1,Metadata!$A$2:$A1000,Metadata!$B$2:$B1000))),T$1,"""")"),"")</f>
        <v/>
      </c>
      <c r="U128" s="33" t="str">
        <f>IFERROR(__xludf.DUMMYFUNCTION("IF(IF(U$1="""","""",REGEXMATCH(LOWER($E128),XLOOKUP(U$1,Metadata!$A$2:$A1000,Metadata!$B$2:$B1000))),U$1,"""")"),"")</f>
        <v/>
      </c>
      <c r="V128" s="33" t="str">
        <f>IFERROR(__xludf.DUMMYFUNCTION("IF(IF(V$1="""","""",REGEXMATCH(LOWER($E128),XLOOKUP(V$1,Metadata!$A$2:$A1000,Metadata!$B$2:$B1000))),V$1,"""")"),"Empty-Crystal")</f>
        <v>Empty-Crystal</v>
      </c>
      <c r="W128" s="33" t="str">
        <f>IFERROR(__xludf.DUMMYFUNCTION("IF(IF(W$1="""","""",REGEXMATCH(LOWER($E128),XLOOKUP(W$1,Metadata!$A$2:$A1000,Metadata!$B$2:$B1000))),W$1,"""")"),"")</f>
        <v/>
      </c>
      <c r="X128" s="33" t="str">
        <f>IFERROR(__xludf.DUMMYFUNCTION("IF(IF(X$1="""","""",REGEXMATCH(LOWER($E128),XLOOKUP(X$1,Metadata!$A$2:$A1000,Metadata!$B$2:$B1000))),X$1,"""")"),"Ambush")</f>
        <v>Ambush</v>
      </c>
      <c r="Y128" s="33" t="str">
        <f>IFERROR(__xludf.DUMMYFUNCTION("IF(IF(Y$1="""","""",REGEXMATCH(LOWER($E128),XLOOKUP(Y$1,Metadata!$A$2:$A1000,Metadata!$B$2:$B1000))),Y$1,"""")"),"")</f>
        <v/>
      </c>
      <c r="Z128" s="33" t="str">
        <f>IFERROR(__xludf.DUMMYFUNCTION("IF(IF(Z$1="""","""",REGEXMATCH(LOWER($E128),XLOOKUP(Z$1,Metadata!$A$2:$A1000,Metadata!$B$2:$B1000))),Z$1,"""")"),"")</f>
        <v/>
      </c>
      <c r="AA128" s="33" t="str">
        <f>IFERROR(__xludf.DUMMYFUNCTION("IF(AA$1="""","""",REGEXMATCH(LOWER($E128),XLOOKUP(AA$1,Metadata!$A$2:$A1000,Metadata!$B$2:$B1000)))"),"")</f>
        <v/>
      </c>
    </row>
    <row r="129">
      <c r="A129" s="33" t="str">
        <f>IFERROR(__xludf.DUMMYFUNCTION("""COMPUTED_VALUE"""),"Skulloath Lootclaimer")</f>
        <v>Skulloath Lootclaimer</v>
      </c>
      <c r="B129" s="33" t="str">
        <f t="array" ref="B129:I129">XLOOKUP($A129,Cards!$A$2:$A1000,Cards!$B$2:$I1000,"")</f>
        <v>Elemental</v>
      </c>
      <c r="C129" s="33">
        <v>1.0</v>
      </c>
      <c r="D129" s="33" t="s">
        <v>128</v>
      </c>
      <c r="E129" s="33" t="s">
        <v>795</v>
      </c>
      <c r="F129" s="33" t="s">
        <v>786</v>
      </c>
      <c r="G129" s="33">
        <v>4.0</v>
      </c>
      <c r="H129" s="33" t="s">
        <v>474</v>
      </c>
      <c r="I129" s="33" t="s">
        <v>62</v>
      </c>
      <c r="J129" s="33">
        <f>IFERROR(__xludf.DUMMYFUNCTION("LEN(REGEXREPLACE(XLOOKUP($A129,Cards!$A$2:$A1000,Cards!$H$2:$H1000,""""),"",\s"",""""))"),5.0)</f>
        <v>5</v>
      </c>
      <c r="K129" s="33" t="str">
        <f t="shared" si="1"/>
        <v>       Control   Empty-Crystal  Ambush   </v>
      </c>
      <c r="L129" s="33" t="str">
        <f>IFERROR(__xludf.DUMMYFUNCTION("IF(IF(L$1="""","""",REGEXMATCH(LOWER($E129),XLOOKUP(L$1,Metadata!$A$2:$A1000,Metadata!$B$2:$B1000))),L$1,"""")"),"")</f>
        <v/>
      </c>
      <c r="M129" s="33" t="str">
        <f>IFERROR(__xludf.DUMMYFUNCTION("IF(IF(M$1="""","""",REGEXMATCH(LOWER($E129),XLOOKUP(M$1,Metadata!$A$2:$A1000,Metadata!$B$2:$B1000))),M$1,"""")"),"")</f>
        <v/>
      </c>
      <c r="N129" s="33" t="str">
        <f>IFERROR(__xludf.DUMMYFUNCTION("IF(IF(N$1="""","""",REGEXMATCH(LOWER($E129),XLOOKUP(N$1,Metadata!$A$2:$A1000,Metadata!$B$2:$B1000))),N$1,"""")"),"")</f>
        <v/>
      </c>
      <c r="O129" s="33" t="str">
        <f>IFERROR(__xludf.DUMMYFUNCTION("IF(IF(O$1="""","""",REGEXMATCH(LOWER($E129),XLOOKUP(O$1,Metadata!$A$2:$A1000,Metadata!$B$2:$B1000))),O$1,"""")"),"")</f>
        <v/>
      </c>
      <c r="P129" s="33" t="str">
        <f>IFERROR(__xludf.DUMMYFUNCTION("IF(IF(P$1="""","""",REGEXMATCH(LOWER($E129),XLOOKUP(P$1,Metadata!$A$2:$A1000,Metadata!$B$2:$B1000))),P$1,"""")"),"")</f>
        <v/>
      </c>
      <c r="Q129" s="33" t="str">
        <f>IFERROR(__xludf.DUMMYFUNCTION("IF(IF(Q$1="""","""",REGEXMATCH(LOWER($E129),XLOOKUP(Q$1,Metadata!$A$2:$A1000,Metadata!$B$2:$B1000))),Q$1,"""")"),"")</f>
        <v/>
      </c>
      <c r="R129" s="33" t="str">
        <f>IFERROR(__xludf.DUMMYFUNCTION("IF(IF(R$1="""","""",REGEXMATCH(LOWER($E129),XLOOKUP(R$1,Metadata!$A$2:$A1000,Metadata!$B$2:$B1000))),R$1,"""")"),"")</f>
        <v/>
      </c>
      <c r="S129" s="33" t="str">
        <f>IFERROR(__xludf.DUMMYFUNCTION("IF(IF(S$1="""","""",REGEXMATCH(LOWER($E129),XLOOKUP(S$1,Metadata!$A$2:$A1000,Metadata!$B$2:$B1000))),S$1,"""")"),"Control")</f>
        <v>Control</v>
      </c>
      <c r="T129" s="33" t="str">
        <f>IFERROR(__xludf.DUMMYFUNCTION("IF(IF(T$1="""","""",REGEXMATCH(LOWER($E129),XLOOKUP(T$1,Metadata!$A$2:$A1000,Metadata!$B$2:$B1000))),T$1,"""")"),"")</f>
        <v/>
      </c>
      <c r="U129" s="33" t="str">
        <f>IFERROR(__xludf.DUMMYFUNCTION("IF(IF(U$1="""","""",REGEXMATCH(LOWER($E129),XLOOKUP(U$1,Metadata!$A$2:$A1000,Metadata!$B$2:$B1000))),U$1,"""")"),"")</f>
        <v/>
      </c>
      <c r="V129" s="33" t="str">
        <f>IFERROR(__xludf.DUMMYFUNCTION("IF(IF(V$1="""","""",REGEXMATCH(LOWER($E129),XLOOKUP(V$1,Metadata!$A$2:$A1000,Metadata!$B$2:$B1000))),V$1,"""")"),"Empty-Crystal")</f>
        <v>Empty-Crystal</v>
      </c>
      <c r="W129" s="33" t="str">
        <f>IFERROR(__xludf.DUMMYFUNCTION("IF(IF(W$1="""","""",REGEXMATCH(LOWER($E129),XLOOKUP(W$1,Metadata!$A$2:$A1000,Metadata!$B$2:$B1000))),W$1,"""")"),"")</f>
        <v/>
      </c>
      <c r="X129" s="33" t="str">
        <f>IFERROR(__xludf.DUMMYFUNCTION("IF(IF(X$1="""","""",REGEXMATCH(LOWER($E129),XLOOKUP(X$1,Metadata!$A$2:$A1000,Metadata!$B$2:$B1000))),X$1,"""")"),"Ambush")</f>
        <v>Ambush</v>
      </c>
      <c r="Y129" s="33" t="str">
        <f>IFERROR(__xludf.DUMMYFUNCTION("IF(IF(Y$1="""","""",REGEXMATCH(LOWER($E129),XLOOKUP(Y$1,Metadata!$A$2:$A1000,Metadata!$B$2:$B1000))),Y$1,"""")"),"")</f>
        <v/>
      </c>
      <c r="Z129" s="33" t="str">
        <f>IFERROR(__xludf.DUMMYFUNCTION("IF(IF(Z$1="""","""",REGEXMATCH(LOWER($E129),XLOOKUP(Z$1,Metadata!$A$2:$A1000,Metadata!$B$2:$B1000))),Z$1,"""")"),"")</f>
        <v/>
      </c>
      <c r="AA129" s="33" t="str">
        <f>IFERROR(__xludf.DUMMYFUNCTION("IF(AA$1="""","""",REGEXMATCH(LOWER($E129),XLOOKUP(AA$1,Metadata!$A$2:$A1000,Metadata!$B$2:$B1000)))"),"")</f>
        <v/>
      </c>
    </row>
    <row r="130">
      <c r="A130" s="33" t="str">
        <f>IFERROR(__xludf.DUMMYFUNCTION("""COMPUTED_VALUE"""),"Spell Cat")</f>
        <v>Spell Cat</v>
      </c>
      <c r="B130" s="33" t="str">
        <f t="array" ref="B130:I130">XLOOKUP($A130,Cards!$A$2:$A1000,Cards!$B$2:$I1000,"")</f>
        <v>Elemental</v>
      </c>
      <c r="C130" s="33">
        <v>1.0</v>
      </c>
      <c r="D130" s="33" t="s">
        <v>398</v>
      </c>
      <c r="E130" s="33" t="s">
        <v>808</v>
      </c>
      <c r="F130" s="33" t="s">
        <v>809</v>
      </c>
      <c r="G130" s="33">
        <v>2.0</v>
      </c>
      <c r="H130" s="33" t="s">
        <v>534</v>
      </c>
      <c r="I130" s="33" t="s">
        <v>62</v>
      </c>
      <c r="J130" s="33">
        <f>IFERROR(__xludf.DUMMYFUNCTION("LEN(REGEXREPLACE(XLOOKUP($A130,Cards!$A$2:$A1000,Cards!$H$2:$H1000,""""),"",\s"",""""))"),2.0)</f>
        <v>2</v>
      </c>
      <c r="K130" s="33" t="str">
        <f t="shared" si="1"/>
        <v>           Move    </v>
      </c>
      <c r="L130" s="33" t="str">
        <f>IFERROR(__xludf.DUMMYFUNCTION("IF(IF(L$1="""","""",REGEXMATCH(LOWER($E130),XLOOKUP(L$1,Metadata!$A$2:$A1000,Metadata!$B$2:$B1000))),L$1,"""")"),"")</f>
        <v/>
      </c>
      <c r="M130" s="33" t="str">
        <f>IFERROR(__xludf.DUMMYFUNCTION("IF(IF(M$1="""","""",REGEXMATCH(LOWER($E130),XLOOKUP(M$1,Metadata!$A$2:$A1000,Metadata!$B$2:$B1000))),M$1,"""")"),"")</f>
        <v/>
      </c>
      <c r="N130" s="33" t="str">
        <f>IFERROR(__xludf.DUMMYFUNCTION("IF(IF(N$1="""","""",REGEXMATCH(LOWER($E130),XLOOKUP(N$1,Metadata!$A$2:$A1000,Metadata!$B$2:$B1000))),N$1,"""")"),"")</f>
        <v/>
      </c>
      <c r="O130" s="33" t="str">
        <f>IFERROR(__xludf.DUMMYFUNCTION("IF(IF(O$1="""","""",REGEXMATCH(LOWER($E130),XLOOKUP(O$1,Metadata!$A$2:$A1000,Metadata!$B$2:$B1000))),O$1,"""")"),"")</f>
        <v/>
      </c>
      <c r="P130" s="33" t="str">
        <f>IFERROR(__xludf.DUMMYFUNCTION("IF(IF(P$1="""","""",REGEXMATCH(LOWER($E130),XLOOKUP(P$1,Metadata!$A$2:$A1000,Metadata!$B$2:$B1000))),P$1,"""")"),"")</f>
        <v/>
      </c>
      <c r="Q130" s="33" t="str">
        <f>IFERROR(__xludf.DUMMYFUNCTION("IF(IF(Q$1="""","""",REGEXMATCH(LOWER($E130),XLOOKUP(Q$1,Metadata!$A$2:$A1000,Metadata!$B$2:$B1000))),Q$1,"""")"),"")</f>
        <v/>
      </c>
      <c r="R130" s="33" t="str">
        <f>IFERROR(__xludf.DUMMYFUNCTION("IF(IF(R$1="""","""",REGEXMATCH(LOWER($E130),XLOOKUP(R$1,Metadata!$A$2:$A1000,Metadata!$B$2:$B1000))),R$1,"""")"),"")</f>
        <v/>
      </c>
      <c r="S130" s="33" t="str">
        <f>IFERROR(__xludf.DUMMYFUNCTION("IF(IF(S$1="""","""",REGEXMATCH(LOWER($E130),XLOOKUP(S$1,Metadata!$A$2:$A1000,Metadata!$B$2:$B1000))),S$1,"""")"),"")</f>
        <v/>
      </c>
      <c r="T130" s="33" t="str">
        <f>IFERROR(__xludf.DUMMYFUNCTION("IF(IF(T$1="""","""",REGEXMATCH(LOWER($E130),XLOOKUP(T$1,Metadata!$A$2:$A1000,Metadata!$B$2:$B1000))),T$1,"""")"),"")</f>
        <v/>
      </c>
      <c r="U130" s="33" t="str">
        <f>IFERROR(__xludf.DUMMYFUNCTION("IF(IF(U$1="""","""",REGEXMATCH(LOWER($E130),XLOOKUP(U$1,Metadata!$A$2:$A1000,Metadata!$B$2:$B1000))),U$1,"""")"),"")</f>
        <v/>
      </c>
      <c r="V130" s="33" t="str">
        <f>IFERROR(__xludf.DUMMYFUNCTION("IF(IF(V$1="""","""",REGEXMATCH(LOWER($E130),XLOOKUP(V$1,Metadata!$A$2:$A1000,Metadata!$B$2:$B1000))),V$1,"""")"),"")</f>
        <v/>
      </c>
      <c r="W130" s="33" t="str">
        <f>IFERROR(__xludf.DUMMYFUNCTION("IF(IF(W$1="""","""",REGEXMATCH(LOWER($E130),XLOOKUP(W$1,Metadata!$A$2:$A1000,Metadata!$B$2:$B1000))),W$1,"""")"),"Move")</f>
        <v>Move</v>
      </c>
      <c r="X130" s="33" t="str">
        <f>IFERROR(__xludf.DUMMYFUNCTION("IF(IF(X$1="""","""",REGEXMATCH(LOWER($E130),XLOOKUP(X$1,Metadata!$A$2:$A1000,Metadata!$B$2:$B1000))),X$1,"""")"),"")</f>
        <v/>
      </c>
      <c r="Y130" s="33" t="str">
        <f>IFERROR(__xludf.DUMMYFUNCTION("IF(IF(Y$1="""","""",REGEXMATCH(LOWER($E130),XLOOKUP(Y$1,Metadata!$A$2:$A1000,Metadata!$B$2:$B1000))),Y$1,"""")"),"")</f>
        <v/>
      </c>
      <c r="Z130" s="33" t="str">
        <f>IFERROR(__xludf.DUMMYFUNCTION("IF(IF(Z$1="""","""",REGEXMATCH(LOWER($E130),XLOOKUP(Z$1,Metadata!$A$2:$A1000,Metadata!$B$2:$B1000))),Z$1,"""")"),"")</f>
        <v/>
      </c>
      <c r="AA130" s="33" t="str">
        <f>IFERROR(__xludf.DUMMYFUNCTION("IF(AA$1="""","""",REGEXMATCH(LOWER($E130),XLOOKUP(AA$1,Metadata!$A$2:$A1000,Metadata!$B$2:$B1000)))"),"")</f>
        <v/>
      </c>
    </row>
    <row r="131">
      <c r="A131" s="33" t="str">
        <f>IFERROR(__xludf.DUMMYFUNCTION("""COMPUTED_VALUE"""),"Vermillion Firebird")</f>
        <v>Vermillion Firebird</v>
      </c>
      <c r="B131" s="33" t="str">
        <f t="array" ref="B131:I131">XLOOKUP($A131,Cards!$A$2:$A1000,Cards!$B$2:$I1000,"")</f>
        <v>Elemental</v>
      </c>
      <c r="C131" s="33">
        <v>1.0</v>
      </c>
      <c r="D131" s="33" t="s">
        <v>97</v>
      </c>
      <c r="E131" s="33" t="s">
        <v>818</v>
      </c>
      <c r="F131" s="33" t="s">
        <v>819</v>
      </c>
      <c r="G131" s="33">
        <v>6.0</v>
      </c>
      <c r="H131" s="33" t="s">
        <v>820</v>
      </c>
      <c r="I131" s="33" t="s">
        <v>62</v>
      </c>
      <c r="J131" s="33">
        <f>IFERROR(__xludf.DUMMYFUNCTION("LEN(REGEXREPLACE(XLOOKUP($A131,Cards!$A$2:$A1000,Cards!$H$2:$H1000,""""),"",\s"",""""))"),5.0)</f>
        <v>5</v>
      </c>
      <c r="K131" s="33" t="str">
        <f t="shared" si="1"/>
        <v>     Unearth  Control   Empty-Crystal  Ambush   </v>
      </c>
      <c r="L131" s="33" t="str">
        <f>IFERROR(__xludf.DUMMYFUNCTION("IF(IF(L$1="""","""",REGEXMATCH(LOWER($E131),XLOOKUP(L$1,Metadata!$A$2:$A1000,Metadata!$B$2:$B1000))),L$1,"""")"),"")</f>
        <v/>
      </c>
      <c r="M131" s="33" t="str">
        <f>IFERROR(__xludf.DUMMYFUNCTION("IF(IF(M$1="""","""",REGEXMATCH(LOWER($E131),XLOOKUP(M$1,Metadata!$A$2:$A1000,Metadata!$B$2:$B1000))),M$1,"""")"),"")</f>
        <v/>
      </c>
      <c r="N131" s="33" t="str">
        <f>IFERROR(__xludf.DUMMYFUNCTION("IF(IF(N$1="""","""",REGEXMATCH(LOWER($E131),XLOOKUP(N$1,Metadata!$A$2:$A1000,Metadata!$B$2:$B1000))),N$1,"""")"),"")</f>
        <v/>
      </c>
      <c r="O131" s="33" t="str">
        <f>IFERROR(__xludf.DUMMYFUNCTION("IF(IF(O$1="""","""",REGEXMATCH(LOWER($E131),XLOOKUP(O$1,Metadata!$A$2:$A1000,Metadata!$B$2:$B1000))),O$1,"""")"),"")</f>
        <v/>
      </c>
      <c r="P131" s="33" t="str">
        <f>IFERROR(__xludf.DUMMYFUNCTION("IF(IF(P$1="""","""",REGEXMATCH(LOWER($E131),XLOOKUP(P$1,Metadata!$A$2:$A1000,Metadata!$B$2:$B1000))),P$1,"""")"),"")</f>
        <v/>
      </c>
      <c r="Q131" s="33" t="str">
        <f>IFERROR(__xludf.DUMMYFUNCTION("IF(IF(Q$1="""","""",REGEXMATCH(LOWER($E131),XLOOKUP(Q$1,Metadata!$A$2:$A1000,Metadata!$B$2:$B1000))),Q$1,"""")"),"Unearth")</f>
        <v>Unearth</v>
      </c>
      <c r="R131" s="33" t="str">
        <f>IFERROR(__xludf.DUMMYFUNCTION("IF(IF(R$1="""","""",REGEXMATCH(LOWER($E131),XLOOKUP(R$1,Metadata!$A$2:$A1000,Metadata!$B$2:$B1000))),R$1,"""")"),"")</f>
        <v/>
      </c>
      <c r="S131" s="33" t="str">
        <f>IFERROR(__xludf.DUMMYFUNCTION("IF(IF(S$1="""","""",REGEXMATCH(LOWER($E131),XLOOKUP(S$1,Metadata!$A$2:$A1000,Metadata!$B$2:$B1000))),S$1,"""")"),"Control")</f>
        <v>Control</v>
      </c>
      <c r="T131" s="33" t="str">
        <f>IFERROR(__xludf.DUMMYFUNCTION("IF(IF(T$1="""","""",REGEXMATCH(LOWER($E131),XLOOKUP(T$1,Metadata!$A$2:$A1000,Metadata!$B$2:$B1000))),T$1,"""")"),"")</f>
        <v/>
      </c>
      <c r="U131" s="33" t="str">
        <f>IFERROR(__xludf.DUMMYFUNCTION("IF(IF(U$1="""","""",REGEXMATCH(LOWER($E131),XLOOKUP(U$1,Metadata!$A$2:$A1000,Metadata!$B$2:$B1000))),U$1,"""")"),"")</f>
        <v/>
      </c>
      <c r="V131" s="33" t="str">
        <f>IFERROR(__xludf.DUMMYFUNCTION("IF(IF(V$1="""","""",REGEXMATCH(LOWER($E131),XLOOKUP(V$1,Metadata!$A$2:$A1000,Metadata!$B$2:$B1000))),V$1,"""")"),"Empty-Crystal")</f>
        <v>Empty-Crystal</v>
      </c>
      <c r="W131" s="33" t="str">
        <f>IFERROR(__xludf.DUMMYFUNCTION("IF(IF(W$1="""","""",REGEXMATCH(LOWER($E131),XLOOKUP(W$1,Metadata!$A$2:$A1000,Metadata!$B$2:$B1000))),W$1,"""")"),"")</f>
        <v/>
      </c>
      <c r="X131" s="33" t="str">
        <f>IFERROR(__xludf.DUMMYFUNCTION("IF(IF(X$1="""","""",REGEXMATCH(LOWER($E131),XLOOKUP(X$1,Metadata!$A$2:$A1000,Metadata!$B$2:$B1000))),X$1,"""")"),"Ambush")</f>
        <v>Ambush</v>
      </c>
      <c r="Y131" s="33" t="str">
        <f>IFERROR(__xludf.DUMMYFUNCTION("IF(IF(Y$1="""","""",REGEXMATCH(LOWER($E131),XLOOKUP(Y$1,Metadata!$A$2:$A1000,Metadata!$B$2:$B1000))),Y$1,"""")"),"")</f>
        <v/>
      </c>
      <c r="Z131" s="33" t="str">
        <f>IFERROR(__xludf.DUMMYFUNCTION("IF(IF(Z$1="""","""",REGEXMATCH(LOWER($E131),XLOOKUP(Z$1,Metadata!$A$2:$A1000,Metadata!$B$2:$B1000))),Z$1,"""")"),"")</f>
        <v/>
      </c>
      <c r="AA131" s="33" t="str">
        <f>IFERROR(__xludf.DUMMYFUNCTION("IF(AA$1="""","""",REGEXMATCH(LOWER($E131),XLOOKUP(AA$1,Metadata!$A$2:$A1000,Metadata!$B$2:$B1000)))"),"")</f>
        <v/>
      </c>
    </row>
    <row r="132">
      <c r="A132" s="33" t="str">
        <f>IFERROR(__xludf.DUMMYFUNCTION("""COMPUTED_VALUE"""),"Oasisdweller")</f>
        <v>Oasisdweller</v>
      </c>
      <c r="B132" s="33" t="str">
        <f t="array" ref="B132:I132">XLOOKUP($A132,Cards!$A$2:$A1000,Cards!$B$2:$I1000,"")</f>
        <v>Elemental</v>
      </c>
      <c r="C132" s="33">
        <v>1.0</v>
      </c>
      <c r="D132" s="33" t="s">
        <v>536</v>
      </c>
      <c r="E132" s="33" t="s">
        <v>830</v>
      </c>
      <c r="F132" s="33"/>
      <c r="G132" s="33">
        <v>3.0</v>
      </c>
      <c r="H132" s="33" t="s">
        <v>586</v>
      </c>
      <c r="I132" s="33" t="s">
        <v>62</v>
      </c>
      <c r="J132" s="33">
        <f>IFERROR(__xludf.DUMMYFUNCTION("LEN(REGEXREPLACE(XLOOKUP($A132,Cards!$A$2:$A1000,Cards!$H$2:$H1000,""""),"",\s"",""""))"),4.0)</f>
        <v>4</v>
      </c>
      <c r="K132" s="33" t="str">
        <f t="shared" si="1"/>
        <v>               </v>
      </c>
      <c r="L132" s="33" t="str">
        <f>IFERROR(__xludf.DUMMYFUNCTION("IF(IF(L$1="""","""",REGEXMATCH(LOWER($E132),XLOOKUP(L$1,Metadata!$A$2:$A1000,Metadata!$B$2:$B1000))),L$1,"""")"),"")</f>
        <v/>
      </c>
      <c r="M132" s="33" t="str">
        <f>IFERROR(__xludf.DUMMYFUNCTION("IF(IF(M$1="""","""",REGEXMATCH(LOWER($E132),XLOOKUP(M$1,Metadata!$A$2:$A1000,Metadata!$B$2:$B1000))),M$1,"""")"),"")</f>
        <v/>
      </c>
      <c r="N132" s="33" t="str">
        <f>IFERROR(__xludf.DUMMYFUNCTION("IF(IF(N$1="""","""",REGEXMATCH(LOWER($E132),XLOOKUP(N$1,Metadata!$A$2:$A1000,Metadata!$B$2:$B1000))),N$1,"""")"),"")</f>
        <v/>
      </c>
      <c r="O132" s="33" t="str">
        <f>IFERROR(__xludf.DUMMYFUNCTION("IF(IF(O$1="""","""",REGEXMATCH(LOWER($E132),XLOOKUP(O$1,Metadata!$A$2:$A1000,Metadata!$B$2:$B1000))),O$1,"""")"),"")</f>
        <v/>
      </c>
      <c r="P132" s="33" t="str">
        <f>IFERROR(__xludf.DUMMYFUNCTION("IF(IF(P$1="""","""",REGEXMATCH(LOWER($E132),XLOOKUP(P$1,Metadata!$A$2:$A1000,Metadata!$B$2:$B1000))),P$1,"""")"),"")</f>
        <v/>
      </c>
      <c r="Q132" s="33" t="str">
        <f>IFERROR(__xludf.DUMMYFUNCTION("IF(IF(Q$1="""","""",REGEXMATCH(LOWER($E132),XLOOKUP(Q$1,Metadata!$A$2:$A1000,Metadata!$B$2:$B1000))),Q$1,"""")"),"")</f>
        <v/>
      </c>
      <c r="R132" s="33" t="str">
        <f>IFERROR(__xludf.DUMMYFUNCTION("IF(IF(R$1="""","""",REGEXMATCH(LOWER($E132),XLOOKUP(R$1,Metadata!$A$2:$A1000,Metadata!$B$2:$B1000))),R$1,"""")"),"")</f>
        <v/>
      </c>
      <c r="S132" s="33" t="str">
        <f>IFERROR(__xludf.DUMMYFUNCTION("IF(IF(S$1="""","""",REGEXMATCH(LOWER($E132),XLOOKUP(S$1,Metadata!$A$2:$A1000,Metadata!$B$2:$B1000))),S$1,"""")"),"")</f>
        <v/>
      </c>
      <c r="T132" s="33" t="str">
        <f>IFERROR(__xludf.DUMMYFUNCTION("IF(IF(T$1="""","""",REGEXMATCH(LOWER($E132),XLOOKUP(T$1,Metadata!$A$2:$A1000,Metadata!$B$2:$B1000))),T$1,"""")"),"")</f>
        <v/>
      </c>
      <c r="U132" s="33" t="str">
        <f>IFERROR(__xludf.DUMMYFUNCTION("IF(IF(U$1="""","""",REGEXMATCH(LOWER($E132),XLOOKUP(U$1,Metadata!$A$2:$A1000,Metadata!$B$2:$B1000))),U$1,"""")"),"")</f>
        <v/>
      </c>
      <c r="V132" s="33" t="str">
        <f>IFERROR(__xludf.DUMMYFUNCTION("IF(IF(V$1="""","""",REGEXMATCH(LOWER($E132),XLOOKUP(V$1,Metadata!$A$2:$A1000,Metadata!$B$2:$B1000))),V$1,"""")"),"")</f>
        <v/>
      </c>
      <c r="W132" s="33" t="str">
        <f>IFERROR(__xludf.DUMMYFUNCTION("IF(IF(W$1="""","""",REGEXMATCH(LOWER($E132),XLOOKUP(W$1,Metadata!$A$2:$A1000,Metadata!$B$2:$B1000))),W$1,"""")"),"")</f>
        <v/>
      </c>
      <c r="X132" s="33" t="str">
        <f>IFERROR(__xludf.DUMMYFUNCTION("IF(IF(X$1="""","""",REGEXMATCH(LOWER($E132),XLOOKUP(X$1,Metadata!$A$2:$A1000,Metadata!$B$2:$B1000))),X$1,"""")"),"")</f>
        <v/>
      </c>
      <c r="Y132" s="33" t="str">
        <f>IFERROR(__xludf.DUMMYFUNCTION("IF(IF(Y$1="""","""",REGEXMATCH(LOWER($E132),XLOOKUP(Y$1,Metadata!$A$2:$A1000,Metadata!$B$2:$B1000))),Y$1,"""")"),"")</f>
        <v/>
      </c>
      <c r="Z132" s="33" t="str">
        <f>IFERROR(__xludf.DUMMYFUNCTION("IF(IF(Z$1="""","""",REGEXMATCH(LOWER($E132),XLOOKUP(Z$1,Metadata!$A$2:$A1000,Metadata!$B$2:$B1000))),Z$1,"""")"),"")</f>
        <v/>
      </c>
      <c r="AA132" s="33" t="str">
        <f>IFERROR(__xludf.DUMMYFUNCTION("IF(AA$1="""","""",REGEXMATCH(LOWER($E132),XLOOKUP(AA$1,Metadata!$A$2:$A1000,Metadata!$B$2:$B1000)))"),"")</f>
        <v/>
      </c>
    </row>
    <row r="133">
      <c r="A133" s="33" t="str">
        <f>IFERROR(__xludf.DUMMYFUNCTION("""COMPUTED_VALUE"""),"Portalrunner")</f>
        <v>Portalrunner</v>
      </c>
      <c r="B133" s="33" t="str">
        <f t="array" ref="B133:I133">XLOOKUP($A133,Cards!$A$2:$A1000,Cards!$B$2:$I1000,"")</f>
        <v>Elemental Mortal</v>
      </c>
      <c r="C133" s="33">
        <v>2.0</v>
      </c>
      <c r="D133" s="33" t="s">
        <v>294</v>
      </c>
      <c r="E133" s="33" t="s">
        <v>844</v>
      </c>
      <c r="F133" s="33" t="s">
        <v>845</v>
      </c>
      <c r="G133" s="33">
        <v>3.0</v>
      </c>
      <c r="H133" s="33" t="s">
        <v>846</v>
      </c>
      <c r="I133" s="33" t="s">
        <v>62</v>
      </c>
      <c r="J133" s="33">
        <f>IFERROR(__xludf.DUMMYFUNCTION("LEN(REGEXREPLACE(XLOOKUP($A133,Cards!$A$2:$A1000,Cards!$H$2:$H1000,""""),"",\s"",""""))"),4.0)</f>
        <v>4</v>
      </c>
      <c r="K133" s="33" t="str">
        <f t="shared" si="1"/>
        <v>           Move    </v>
      </c>
      <c r="L133" s="33" t="str">
        <f>IFERROR(__xludf.DUMMYFUNCTION("IF(IF(L$1="""","""",REGEXMATCH(LOWER($E133),XLOOKUP(L$1,Metadata!$A$2:$A1000,Metadata!$B$2:$B1000))),L$1,"""")"),"")</f>
        <v/>
      </c>
      <c r="M133" s="33" t="str">
        <f>IFERROR(__xludf.DUMMYFUNCTION("IF(IF(M$1="""","""",REGEXMATCH(LOWER($E133),XLOOKUP(M$1,Metadata!$A$2:$A1000,Metadata!$B$2:$B1000))),M$1,"""")"),"")</f>
        <v/>
      </c>
      <c r="N133" s="33" t="str">
        <f>IFERROR(__xludf.DUMMYFUNCTION("IF(IF(N$1="""","""",REGEXMATCH(LOWER($E133),XLOOKUP(N$1,Metadata!$A$2:$A1000,Metadata!$B$2:$B1000))),N$1,"""")"),"")</f>
        <v/>
      </c>
      <c r="O133" s="33" t="str">
        <f>IFERROR(__xludf.DUMMYFUNCTION("IF(IF(O$1="""","""",REGEXMATCH(LOWER($E133),XLOOKUP(O$1,Metadata!$A$2:$A1000,Metadata!$B$2:$B1000))),O$1,"""")"),"")</f>
        <v/>
      </c>
      <c r="P133" s="33" t="str">
        <f>IFERROR(__xludf.DUMMYFUNCTION("IF(IF(P$1="""","""",REGEXMATCH(LOWER($E133),XLOOKUP(P$1,Metadata!$A$2:$A1000,Metadata!$B$2:$B1000))),P$1,"""")"),"")</f>
        <v/>
      </c>
      <c r="Q133" s="33" t="str">
        <f>IFERROR(__xludf.DUMMYFUNCTION("IF(IF(Q$1="""","""",REGEXMATCH(LOWER($E133),XLOOKUP(Q$1,Metadata!$A$2:$A1000,Metadata!$B$2:$B1000))),Q$1,"""")"),"")</f>
        <v/>
      </c>
      <c r="R133" s="33" t="str">
        <f>IFERROR(__xludf.DUMMYFUNCTION("IF(IF(R$1="""","""",REGEXMATCH(LOWER($E133),XLOOKUP(R$1,Metadata!$A$2:$A1000,Metadata!$B$2:$B1000))),R$1,"""")"),"")</f>
        <v/>
      </c>
      <c r="S133" s="33" t="str">
        <f>IFERROR(__xludf.DUMMYFUNCTION("IF(IF(S$1="""","""",REGEXMATCH(LOWER($E133),XLOOKUP(S$1,Metadata!$A$2:$A1000,Metadata!$B$2:$B1000))),S$1,"""")"),"")</f>
        <v/>
      </c>
      <c r="T133" s="33" t="str">
        <f>IFERROR(__xludf.DUMMYFUNCTION("IF(IF(T$1="""","""",REGEXMATCH(LOWER($E133),XLOOKUP(T$1,Metadata!$A$2:$A1000,Metadata!$B$2:$B1000))),T$1,"""")"),"")</f>
        <v/>
      </c>
      <c r="U133" s="33" t="str">
        <f>IFERROR(__xludf.DUMMYFUNCTION("IF(IF(U$1="""","""",REGEXMATCH(LOWER($E133),XLOOKUP(U$1,Metadata!$A$2:$A1000,Metadata!$B$2:$B1000))),U$1,"""")"),"")</f>
        <v/>
      </c>
      <c r="V133" s="33" t="str">
        <f>IFERROR(__xludf.DUMMYFUNCTION("IF(IF(V$1="""","""",REGEXMATCH(LOWER($E133),XLOOKUP(V$1,Metadata!$A$2:$A1000,Metadata!$B$2:$B1000))),V$1,"""")"),"")</f>
        <v/>
      </c>
      <c r="W133" s="33" t="str">
        <f>IFERROR(__xludf.DUMMYFUNCTION("IF(IF(W$1="""","""",REGEXMATCH(LOWER($E133),XLOOKUP(W$1,Metadata!$A$2:$A1000,Metadata!$B$2:$B1000))),W$1,"""")"),"Move")</f>
        <v>Move</v>
      </c>
      <c r="X133" s="33" t="str">
        <f>IFERROR(__xludf.DUMMYFUNCTION("IF(IF(X$1="""","""",REGEXMATCH(LOWER($E133),XLOOKUP(X$1,Metadata!$A$2:$A1000,Metadata!$B$2:$B1000))),X$1,"""")"),"")</f>
        <v/>
      </c>
      <c r="Y133" s="33" t="str">
        <f>IFERROR(__xludf.DUMMYFUNCTION("IF(IF(Y$1="""","""",REGEXMATCH(LOWER($E133),XLOOKUP(Y$1,Metadata!$A$2:$A1000,Metadata!$B$2:$B1000))),Y$1,"""")"),"")</f>
        <v/>
      </c>
      <c r="Z133" s="33" t="str">
        <f>IFERROR(__xludf.DUMMYFUNCTION("IF(IF(Z$1="""","""",REGEXMATCH(LOWER($E133),XLOOKUP(Z$1,Metadata!$A$2:$A1000,Metadata!$B$2:$B1000))),Z$1,"""")"),"")</f>
        <v/>
      </c>
      <c r="AA133" s="33" t="str">
        <f>IFERROR(__xludf.DUMMYFUNCTION("IF(AA$1="""","""",REGEXMATCH(LOWER($E133),XLOOKUP(AA$1,Metadata!$A$2:$A1000,Metadata!$B$2:$B1000)))"),"")</f>
        <v/>
      </c>
    </row>
    <row r="134">
      <c r="A134" s="33" t="str">
        <f>IFERROR(__xludf.DUMMYFUNCTION("""COMPUTED_VALUE"""),"Cinderguard Irregulars")</f>
        <v>Cinderguard Irregulars</v>
      </c>
      <c r="B134" s="33" t="str">
        <f t="array" ref="B134:I134">XLOOKUP($A134,Cards!$A$2:$A1000,Cards!$B$2:$I1000,"")</f>
        <v>Elemental</v>
      </c>
      <c r="C134" s="33">
        <v>1.0</v>
      </c>
      <c r="D134" s="33" t="s">
        <v>394</v>
      </c>
      <c r="E134" s="33"/>
      <c r="F134" s="33" t="s">
        <v>848</v>
      </c>
      <c r="G134" s="33">
        <v>3.0</v>
      </c>
      <c r="H134" s="33" t="s">
        <v>534</v>
      </c>
      <c r="I134" s="33" t="s">
        <v>26</v>
      </c>
      <c r="J134" s="33">
        <f>IFERROR(__xludf.DUMMYFUNCTION("LEN(REGEXREPLACE(XLOOKUP($A134,Cards!$A$2:$A1000,Cards!$H$2:$H1000,""""),"",\s"",""""))"),2.0)</f>
        <v>2</v>
      </c>
      <c r="K134" s="33" t="str">
        <f t="shared" si="1"/>
        <v>               </v>
      </c>
      <c r="L134" s="33" t="str">
        <f>IFERROR(__xludf.DUMMYFUNCTION("IF(IF(L$1="""","""",REGEXMATCH(LOWER($E134),XLOOKUP(L$1,Metadata!$A$2:$A1000,Metadata!$B$2:$B1000))),L$1,"""")"),"")</f>
        <v/>
      </c>
      <c r="M134" s="33" t="str">
        <f>IFERROR(__xludf.DUMMYFUNCTION("IF(IF(M$1="""","""",REGEXMATCH(LOWER($E134),XLOOKUP(M$1,Metadata!$A$2:$A1000,Metadata!$B$2:$B1000))),M$1,"""")"),"")</f>
        <v/>
      </c>
      <c r="N134" s="33" t="str">
        <f>IFERROR(__xludf.DUMMYFUNCTION("IF(IF(N$1="""","""",REGEXMATCH(LOWER($E134),XLOOKUP(N$1,Metadata!$A$2:$A1000,Metadata!$B$2:$B1000))),N$1,"""")"),"")</f>
        <v/>
      </c>
      <c r="O134" s="33" t="str">
        <f>IFERROR(__xludf.DUMMYFUNCTION("IF(IF(O$1="""","""",REGEXMATCH(LOWER($E134),XLOOKUP(O$1,Metadata!$A$2:$A1000,Metadata!$B$2:$B1000))),O$1,"""")"),"")</f>
        <v/>
      </c>
      <c r="P134" s="33" t="str">
        <f>IFERROR(__xludf.DUMMYFUNCTION("IF(IF(P$1="""","""",REGEXMATCH(LOWER($E134),XLOOKUP(P$1,Metadata!$A$2:$A1000,Metadata!$B$2:$B1000))),P$1,"""")"),"")</f>
        <v/>
      </c>
      <c r="Q134" s="33" t="str">
        <f>IFERROR(__xludf.DUMMYFUNCTION("IF(IF(Q$1="""","""",REGEXMATCH(LOWER($E134),XLOOKUP(Q$1,Metadata!$A$2:$A1000,Metadata!$B$2:$B1000))),Q$1,"""")"),"")</f>
        <v/>
      </c>
      <c r="R134" s="33" t="str">
        <f>IFERROR(__xludf.DUMMYFUNCTION("IF(IF(R$1="""","""",REGEXMATCH(LOWER($E134),XLOOKUP(R$1,Metadata!$A$2:$A1000,Metadata!$B$2:$B1000))),R$1,"""")"),"")</f>
        <v/>
      </c>
      <c r="S134" s="33" t="str">
        <f>IFERROR(__xludf.DUMMYFUNCTION("IF(IF(S$1="""","""",REGEXMATCH(LOWER($E134),XLOOKUP(S$1,Metadata!$A$2:$A1000,Metadata!$B$2:$B1000))),S$1,"""")"),"")</f>
        <v/>
      </c>
      <c r="T134" s="33" t="str">
        <f>IFERROR(__xludf.DUMMYFUNCTION("IF(IF(T$1="""","""",REGEXMATCH(LOWER($E134),XLOOKUP(T$1,Metadata!$A$2:$A1000,Metadata!$B$2:$B1000))),T$1,"""")"),"")</f>
        <v/>
      </c>
      <c r="U134" s="33" t="str">
        <f>IFERROR(__xludf.DUMMYFUNCTION("IF(IF(U$1="""","""",REGEXMATCH(LOWER($E134),XLOOKUP(U$1,Metadata!$A$2:$A1000,Metadata!$B$2:$B1000))),U$1,"""")"),"")</f>
        <v/>
      </c>
      <c r="V134" s="33" t="str">
        <f>IFERROR(__xludf.DUMMYFUNCTION("IF(IF(V$1="""","""",REGEXMATCH(LOWER($E134),XLOOKUP(V$1,Metadata!$A$2:$A1000,Metadata!$B$2:$B1000))),V$1,"""")"),"")</f>
        <v/>
      </c>
      <c r="W134" s="33" t="str">
        <f>IFERROR(__xludf.DUMMYFUNCTION("IF(IF(W$1="""","""",REGEXMATCH(LOWER($E134),XLOOKUP(W$1,Metadata!$A$2:$A1000,Metadata!$B$2:$B1000))),W$1,"""")"),"")</f>
        <v/>
      </c>
      <c r="X134" s="33" t="str">
        <f>IFERROR(__xludf.DUMMYFUNCTION("IF(IF(X$1="""","""",REGEXMATCH(LOWER($E134),XLOOKUP(X$1,Metadata!$A$2:$A1000,Metadata!$B$2:$B1000))),X$1,"""")"),"")</f>
        <v/>
      </c>
      <c r="Y134" s="33" t="str">
        <f>IFERROR(__xludf.DUMMYFUNCTION("IF(IF(Y$1="""","""",REGEXMATCH(LOWER($E134),XLOOKUP(Y$1,Metadata!$A$2:$A1000,Metadata!$B$2:$B1000))),Y$1,"""")"),"")</f>
        <v/>
      </c>
      <c r="Z134" s="33" t="str">
        <f>IFERROR(__xludf.DUMMYFUNCTION("IF(IF(Z$1="""","""",REGEXMATCH(LOWER($E134),XLOOKUP(Z$1,Metadata!$A$2:$A1000,Metadata!$B$2:$B1000))),Z$1,"""")"),"")</f>
        <v/>
      </c>
      <c r="AA134" s="33" t="str">
        <f>IFERROR(__xludf.DUMMYFUNCTION("IF(AA$1="""","""",REGEXMATCH(LOWER($E134),XLOOKUP(AA$1,Metadata!$A$2:$A1000,Metadata!$B$2:$B1000)))"),"")</f>
        <v/>
      </c>
    </row>
    <row r="135">
      <c r="A135" s="33" t="str">
        <f>IFERROR(__xludf.DUMMYFUNCTION("""COMPUTED_VALUE"""),"Steelclaw Veterans")</f>
        <v>Steelclaw Veterans</v>
      </c>
      <c r="B135" s="33" t="str">
        <f t="array" ref="B135:I135">XLOOKUP($A135,Cards!$A$2:$A1000,Cards!$B$2:$I1000,"")</f>
        <v>Elemental Mortal</v>
      </c>
      <c r="C135" s="33">
        <v>2.0</v>
      </c>
      <c r="D135" s="33" t="s">
        <v>861</v>
      </c>
      <c r="E135" s="33" t="s">
        <v>862</v>
      </c>
      <c r="F135" s="33" t="s">
        <v>863</v>
      </c>
      <c r="G135" s="33">
        <v>6.0</v>
      </c>
      <c r="H135" s="33" t="s">
        <v>864</v>
      </c>
      <c r="I135" s="33" t="s">
        <v>32</v>
      </c>
      <c r="J135" s="33">
        <f>IFERROR(__xludf.DUMMYFUNCTION("LEN(REGEXREPLACE(XLOOKUP($A135,Cards!$A$2:$A1000,Cards!$H$2:$H1000,""""),"",\s"",""""))"),6.0)</f>
        <v>6</v>
      </c>
      <c r="K135" s="33" t="str">
        <f t="shared" si="1"/>
        <v>       Control  Aggro   Ambush   </v>
      </c>
      <c r="L135" s="33" t="str">
        <f>IFERROR(__xludf.DUMMYFUNCTION("IF(IF(L$1="""","""",REGEXMATCH(LOWER($E135),XLOOKUP(L$1,Metadata!$A$2:$A1000,Metadata!$B$2:$B1000))),L$1,"""")"),"")</f>
        <v/>
      </c>
      <c r="M135" s="33" t="str">
        <f>IFERROR(__xludf.DUMMYFUNCTION("IF(IF(M$1="""","""",REGEXMATCH(LOWER($E135),XLOOKUP(M$1,Metadata!$A$2:$A1000,Metadata!$B$2:$B1000))),M$1,"""")"),"")</f>
        <v/>
      </c>
      <c r="N135" s="33" t="str">
        <f>IFERROR(__xludf.DUMMYFUNCTION("IF(IF(N$1="""","""",REGEXMATCH(LOWER($E135),XLOOKUP(N$1,Metadata!$A$2:$A1000,Metadata!$B$2:$B1000))),N$1,"""")"),"")</f>
        <v/>
      </c>
      <c r="O135" s="33" t="str">
        <f>IFERROR(__xludf.DUMMYFUNCTION("IF(IF(O$1="""","""",REGEXMATCH(LOWER($E135),XLOOKUP(O$1,Metadata!$A$2:$A1000,Metadata!$B$2:$B1000))),O$1,"""")"),"")</f>
        <v/>
      </c>
      <c r="P135" s="33" t="str">
        <f>IFERROR(__xludf.DUMMYFUNCTION("IF(IF(P$1="""","""",REGEXMATCH(LOWER($E135),XLOOKUP(P$1,Metadata!$A$2:$A1000,Metadata!$B$2:$B1000))),P$1,"""")"),"")</f>
        <v/>
      </c>
      <c r="Q135" s="33" t="str">
        <f>IFERROR(__xludf.DUMMYFUNCTION("IF(IF(Q$1="""","""",REGEXMATCH(LOWER($E135),XLOOKUP(Q$1,Metadata!$A$2:$A1000,Metadata!$B$2:$B1000))),Q$1,"""")"),"")</f>
        <v/>
      </c>
      <c r="R135" s="33" t="str">
        <f>IFERROR(__xludf.DUMMYFUNCTION("IF(IF(R$1="""","""",REGEXMATCH(LOWER($E135),XLOOKUP(R$1,Metadata!$A$2:$A1000,Metadata!$B$2:$B1000))),R$1,"""")"),"")</f>
        <v/>
      </c>
      <c r="S135" s="33" t="str">
        <f>IFERROR(__xludf.DUMMYFUNCTION("IF(IF(S$1="""","""",REGEXMATCH(LOWER($E135),XLOOKUP(S$1,Metadata!$A$2:$A1000,Metadata!$B$2:$B1000))),S$1,"""")"),"Control")</f>
        <v>Control</v>
      </c>
      <c r="T135" s="33" t="str">
        <f>IFERROR(__xludf.DUMMYFUNCTION("IF(IF(T$1="""","""",REGEXMATCH(LOWER($E135),XLOOKUP(T$1,Metadata!$A$2:$A1000,Metadata!$B$2:$B1000))),T$1,"""")"),"")</f>
        <v/>
      </c>
      <c r="U135" s="33" t="str">
        <f>IFERROR(__xludf.DUMMYFUNCTION("IF(IF(U$1="""","""",REGEXMATCH(LOWER($E135),XLOOKUP(U$1,Metadata!$A$2:$A1000,Metadata!$B$2:$B1000))),U$1,"""")"),"Aggro")</f>
        <v>Aggro</v>
      </c>
      <c r="V135" s="33" t="str">
        <f>IFERROR(__xludf.DUMMYFUNCTION("IF(IF(V$1="""","""",REGEXMATCH(LOWER($E135),XLOOKUP(V$1,Metadata!$A$2:$A1000,Metadata!$B$2:$B1000))),V$1,"""")"),"")</f>
        <v/>
      </c>
      <c r="W135" s="33" t="str">
        <f>IFERROR(__xludf.DUMMYFUNCTION("IF(IF(W$1="""","""",REGEXMATCH(LOWER($E135),XLOOKUP(W$1,Metadata!$A$2:$A1000,Metadata!$B$2:$B1000))),W$1,"""")"),"")</f>
        <v/>
      </c>
      <c r="X135" s="33" t="str">
        <f>IFERROR(__xludf.DUMMYFUNCTION("IF(IF(X$1="""","""",REGEXMATCH(LOWER($E135),XLOOKUP(X$1,Metadata!$A$2:$A1000,Metadata!$B$2:$B1000))),X$1,"""")"),"Ambush")</f>
        <v>Ambush</v>
      </c>
      <c r="Y135" s="33" t="str">
        <f>IFERROR(__xludf.DUMMYFUNCTION("IF(IF(Y$1="""","""",REGEXMATCH(LOWER($E135),XLOOKUP(Y$1,Metadata!$A$2:$A1000,Metadata!$B$2:$B1000))),Y$1,"""")"),"")</f>
        <v/>
      </c>
      <c r="Z135" s="33" t="str">
        <f>IFERROR(__xludf.DUMMYFUNCTION("IF(IF(Z$1="""","""",REGEXMATCH(LOWER($E135),XLOOKUP(Z$1,Metadata!$A$2:$A1000,Metadata!$B$2:$B1000))),Z$1,"""")"),"")</f>
        <v/>
      </c>
      <c r="AA135" s="33" t="str">
        <f>IFERROR(__xludf.DUMMYFUNCTION("IF(AA$1="""","""",REGEXMATCH(LOWER($E135),XLOOKUP(AA$1,Metadata!$A$2:$A1000,Metadata!$B$2:$B1000)))"),"")</f>
        <v/>
      </c>
    </row>
    <row r="136">
      <c r="A136" s="33" t="str">
        <f>IFERROR(__xludf.DUMMYFUNCTION("""COMPUTED_VALUE"""),"Crazed Hermit")</f>
        <v>Crazed Hermit</v>
      </c>
      <c r="B136" s="33" t="str">
        <f t="array" ref="B136:I136">XLOOKUP($A136,Cards!$A$2:$A1000,Cards!$B$2:$I1000,"")</f>
        <v>Elemental Nature</v>
      </c>
      <c r="C136" s="33">
        <v>2.0</v>
      </c>
      <c r="D136" s="33" t="s">
        <v>867</v>
      </c>
      <c r="E136" s="33" t="s">
        <v>868</v>
      </c>
      <c r="F136" s="33" t="s">
        <v>869</v>
      </c>
      <c r="G136" s="33">
        <v>5.0</v>
      </c>
      <c r="H136" s="33" t="s">
        <v>870</v>
      </c>
      <c r="I136" s="33" t="s">
        <v>62</v>
      </c>
      <c r="J136" s="33">
        <f>IFERROR(__xludf.DUMMYFUNCTION("LEN(REGEXREPLACE(XLOOKUP($A136,Cards!$A$2:$A1000,Cards!$H$2:$H1000,""""),"",\s"",""""))"),4.0)</f>
        <v>4</v>
      </c>
      <c r="K136" s="33" t="str">
        <f t="shared" si="1"/>
        <v>      Ramp  Copy       </v>
      </c>
      <c r="L136" s="33" t="str">
        <f>IFERROR(__xludf.DUMMYFUNCTION("IF(IF(L$1="""","""",REGEXMATCH(LOWER($E136),XLOOKUP(L$1,Metadata!$A$2:$A1000,Metadata!$B$2:$B1000))),L$1,"""")"),"")</f>
        <v/>
      </c>
      <c r="M136" s="33" t="str">
        <f>IFERROR(__xludf.DUMMYFUNCTION("IF(IF(M$1="""","""",REGEXMATCH(LOWER($E136),XLOOKUP(M$1,Metadata!$A$2:$A1000,Metadata!$B$2:$B1000))),M$1,"""")"),"")</f>
        <v/>
      </c>
      <c r="N136" s="33" t="str">
        <f>IFERROR(__xludf.DUMMYFUNCTION("IF(IF(N$1="""","""",REGEXMATCH(LOWER($E136),XLOOKUP(N$1,Metadata!$A$2:$A1000,Metadata!$B$2:$B1000))),N$1,"""")"),"")</f>
        <v/>
      </c>
      <c r="O136" s="33" t="str">
        <f>IFERROR(__xludf.DUMMYFUNCTION("IF(IF(O$1="""","""",REGEXMATCH(LOWER($E136),XLOOKUP(O$1,Metadata!$A$2:$A1000,Metadata!$B$2:$B1000))),O$1,"""")"),"")</f>
        <v/>
      </c>
      <c r="P136" s="33" t="str">
        <f>IFERROR(__xludf.DUMMYFUNCTION("IF(IF(P$1="""","""",REGEXMATCH(LOWER($E136),XLOOKUP(P$1,Metadata!$A$2:$A1000,Metadata!$B$2:$B1000))),P$1,"""")"),"")</f>
        <v/>
      </c>
      <c r="Q136" s="33" t="str">
        <f>IFERROR(__xludf.DUMMYFUNCTION("IF(IF(Q$1="""","""",REGEXMATCH(LOWER($E136),XLOOKUP(Q$1,Metadata!$A$2:$A1000,Metadata!$B$2:$B1000))),Q$1,"""")"),"")</f>
        <v/>
      </c>
      <c r="R136" s="33" t="str">
        <f>IFERROR(__xludf.DUMMYFUNCTION("IF(IF(R$1="""","""",REGEXMATCH(LOWER($E136),XLOOKUP(R$1,Metadata!$A$2:$A1000,Metadata!$B$2:$B1000))),R$1,"""")"),"Ramp")</f>
        <v>Ramp</v>
      </c>
      <c r="S136" s="33" t="str">
        <f>IFERROR(__xludf.DUMMYFUNCTION("IF(IF(S$1="""","""",REGEXMATCH(LOWER($E136),XLOOKUP(S$1,Metadata!$A$2:$A1000,Metadata!$B$2:$B1000))),S$1,"""")"),"")</f>
        <v/>
      </c>
      <c r="T136" s="33" t="str">
        <f>IFERROR(__xludf.DUMMYFUNCTION("IF(IF(T$1="""","""",REGEXMATCH(LOWER($E136),XLOOKUP(T$1,Metadata!$A$2:$A1000,Metadata!$B$2:$B1000))),T$1,"""")"),"Copy")</f>
        <v>Copy</v>
      </c>
      <c r="U136" s="33" t="str">
        <f>IFERROR(__xludf.DUMMYFUNCTION("IF(IF(U$1="""","""",REGEXMATCH(LOWER($E136),XLOOKUP(U$1,Metadata!$A$2:$A1000,Metadata!$B$2:$B1000))),U$1,"""")"),"")</f>
        <v/>
      </c>
      <c r="V136" s="33" t="str">
        <f>IFERROR(__xludf.DUMMYFUNCTION("IF(IF(V$1="""","""",REGEXMATCH(LOWER($E136),XLOOKUP(V$1,Metadata!$A$2:$A1000,Metadata!$B$2:$B1000))),V$1,"""")"),"")</f>
        <v/>
      </c>
      <c r="W136" s="33" t="str">
        <f>IFERROR(__xludf.DUMMYFUNCTION("IF(IF(W$1="""","""",REGEXMATCH(LOWER($E136),XLOOKUP(W$1,Metadata!$A$2:$A1000,Metadata!$B$2:$B1000))),W$1,"""")"),"")</f>
        <v/>
      </c>
      <c r="X136" s="33" t="str">
        <f>IFERROR(__xludf.DUMMYFUNCTION("IF(IF(X$1="""","""",REGEXMATCH(LOWER($E136),XLOOKUP(X$1,Metadata!$A$2:$A1000,Metadata!$B$2:$B1000))),X$1,"""")"),"")</f>
        <v/>
      </c>
      <c r="Y136" s="33" t="str">
        <f>IFERROR(__xludf.DUMMYFUNCTION("IF(IF(Y$1="""","""",REGEXMATCH(LOWER($E136),XLOOKUP(Y$1,Metadata!$A$2:$A1000,Metadata!$B$2:$B1000))),Y$1,"""")"),"")</f>
        <v/>
      </c>
      <c r="Z136" s="33" t="str">
        <f>IFERROR(__xludf.DUMMYFUNCTION("IF(IF(Z$1="""","""",REGEXMATCH(LOWER($E136),XLOOKUP(Z$1,Metadata!$A$2:$A1000,Metadata!$B$2:$B1000))),Z$1,"""")"),"")</f>
        <v/>
      </c>
      <c r="AA136" s="33" t="str">
        <f>IFERROR(__xludf.DUMMYFUNCTION("IF(AA$1="""","""",REGEXMATCH(LOWER($E136),XLOOKUP(AA$1,Metadata!$A$2:$A1000,Metadata!$B$2:$B1000)))"),"")</f>
        <v/>
      </c>
    </row>
    <row r="137">
      <c r="A137" s="33" t="str">
        <f>IFERROR(__xludf.DUMMYFUNCTION("""COMPUTED_VALUE"""),"Galeweaver")</f>
        <v>Galeweaver</v>
      </c>
      <c r="B137" s="33" t="str">
        <f t="array" ref="B137:I137">XLOOKUP($A137,Cards!$A$2:$A1000,Cards!$B$2:$I1000,"")</f>
        <v>Elemental</v>
      </c>
      <c r="C137" s="33">
        <v>1.0</v>
      </c>
      <c r="D137" s="33" t="s">
        <v>355</v>
      </c>
      <c r="E137" s="33" t="s">
        <v>872</v>
      </c>
      <c r="F137" s="33" t="s">
        <v>873</v>
      </c>
      <c r="G137" s="33">
        <v>5.0</v>
      </c>
      <c r="H137" s="33" t="s">
        <v>519</v>
      </c>
      <c r="I137" s="33" t="s">
        <v>32</v>
      </c>
      <c r="J137" s="33">
        <f>IFERROR(__xludf.DUMMYFUNCTION("LEN(REGEXREPLACE(XLOOKUP($A137,Cards!$A$2:$A1000,Cards!$H$2:$H1000,""""),"",\s"",""""))"),6.0)</f>
        <v>6</v>
      </c>
      <c r="K137" s="33" t="str">
        <f t="shared" si="1"/>
        <v>           Move    </v>
      </c>
      <c r="L137" s="33" t="str">
        <f>IFERROR(__xludf.DUMMYFUNCTION("IF(IF(L$1="""","""",REGEXMATCH(LOWER($E137),XLOOKUP(L$1,Metadata!$A$2:$A1000,Metadata!$B$2:$B1000))),L$1,"""")"),"")</f>
        <v/>
      </c>
      <c r="M137" s="33" t="str">
        <f>IFERROR(__xludf.DUMMYFUNCTION("IF(IF(M$1="""","""",REGEXMATCH(LOWER($E137),XLOOKUP(M$1,Metadata!$A$2:$A1000,Metadata!$B$2:$B1000))),M$1,"""")"),"")</f>
        <v/>
      </c>
      <c r="N137" s="33" t="str">
        <f>IFERROR(__xludf.DUMMYFUNCTION("IF(IF(N$1="""","""",REGEXMATCH(LOWER($E137),XLOOKUP(N$1,Metadata!$A$2:$A1000,Metadata!$B$2:$B1000))),N$1,"""")"),"")</f>
        <v/>
      </c>
      <c r="O137" s="33" t="str">
        <f>IFERROR(__xludf.DUMMYFUNCTION("IF(IF(O$1="""","""",REGEXMATCH(LOWER($E137),XLOOKUP(O$1,Metadata!$A$2:$A1000,Metadata!$B$2:$B1000))),O$1,"""")"),"")</f>
        <v/>
      </c>
      <c r="P137" s="33" t="str">
        <f>IFERROR(__xludf.DUMMYFUNCTION("IF(IF(P$1="""","""",REGEXMATCH(LOWER($E137),XLOOKUP(P$1,Metadata!$A$2:$A1000,Metadata!$B$2:$B1000))),P$1,"""")"),"")</f>
        <v/>
      </c>
      <c r="Q137" s="33" t="str">
        <f>IFERROR(__xludf.DUMMYFUNCTION("IF(IF(Q$1="""","""",REGEXMATCH(LOWER($E137),XLOOKUP(Q$1,Metadata!$A$2:$A1000,Metadata!$B$2:$B1000))),Q$1,"""")"),"")</f>
        <v/>
      </c>
      <c r="R137" s="33" t="str">
        <f>IFERROR(__xludf.DUMMYFUNCTION("IF(IF(R$1="""","""",REGEXMATCH(LOWER($E137),XLOOKUP(R$1,Metadata!$A$2:$A1000,Metadata!$B$2:$B1000))),R$1,"""")"),"")</f>
        <v/>
      </c>
      <c r="S137" s="33" t="str">
        <f>IFERROR(__xludf.DUMMYFUNCTION("IF(IF(S$1="""","""",REGEXMATCH(LOWER($E137),XLOOKUP(S$1,Metadata!$A$2:$A1000,Metadata!$B$2:$B1000))),S$1,"""")"),"")</f>
        <v/>
      </c>
      <c r="T137" s="33" t="str">
        <f>IFERROR(__xludf.DUMMYFUNCTION("IF(IF(T$1="""","""",REGEXMATCH(LOWER($E137),XLOOKUP(T$1,Metadata!$A$2:$A1000,Metadata!$B$2:$B1000))),T$1,"""")"),"")</f>
        <v/>
      </c>
      <c r="U137" s="33" t="str">
        <f>IFERROR(__xludf.DUMMYFUNCTION("IF(IF(U$1="""","""",REGEXMATCH(LOWER($E137),XLOOKUP(U$1,Metadata!$A$2:$A1000,Metadata!$B$2:$B1000))),U$1,"""")"),"")</f>
        <v/>
      </c>
      <c r="V137" s="33" t="str">
        <f>IFERROR(__xludf.DUMMYFUNCTION("IF(IF(V$1="""","""",REGEXMATCH(LOWER($E137),XLOOKUP(V$1,Metadata!$A$2:$A1000,Metadata!$B$2:$B1000))),V$1,"""")"),"")</f>
        <v/>
      </c>
      <c r="W137" s="33" t="str">
        <f>IFERROR(__xludf.DUMMYFUNCTION("IF(IF(W$1="""","""",REGEXMATCH(LOWER($E137),XLOOKUP(W$1,Metadata!$A$2:$A1000,Metadata!$B$2:$B1000))),W$1,"""")"),"Move")</f>
        <v>Move</v>
      </c>
      <c r="X137" s="33" t="str">
        <f>IFERROR(__xludf.DUMMYFUNCTION("IF(IF(X$1="""","""",REGEXMATCH(LOWER($E137),XLOOKUP(X$1,Metadata!$A$2:$A1000,Metadata!$B$2:$B1000))),X$1,"""")"),"")</f>
        <v/>
      </c>
      <c r="Y137" s="33" t="str">
        <f>IFERROR(__xludf.DUMMYFUNCTION("IF(IF(Y$1="""","""",REGEXMATCH(LOWER($E137),XLOOKUP(Y$1,Metadata!$A$2:$A1000,Metadata!$B$2:$B1000))),Y$1,"""")"),"")</f>
        <v/>
      </c>
      <c r="Z137" s="33" t="str">
        <f>IFERROR(__xludf.DUMMYFUNCTION("IF(IF(Z$1="""","""",REGEXMATCH(LOWER($E137),XLOOKUP(Z$1,Metadata!$A$2:$A1000,Metadata!$B$2:$B1000))),Z$1,"""")"),"")</f>
        <v/>
      </c>
      <c r="AA137" s="33" t="str">
        <f>IFERROR(__xludf.DUMMYFUNCTION("IF(AA$1="""","""",REGEXMATCH(LOWER($E137),XLOOKUP(AA$1,Metadata!$A$2:$A1000,Metadata!$B$2:$B1000)))"),"")</f>
        <v/>
      </c>
    </row>
    <row r="138">
      <c r="A138" s="33" t="str">
        <f>IFERROR(__xludf.DUMMYFUNCTION("""COMPUTED_VALUE"""),"Lurking Canopystomper")</f>
        <v>Lurking Canopystomper</v>
      </c>
      <c r="B138" s="33" t="str">
        <f t="array" ref="B138:I138">XLOOKUP($A138,Cards!$A$2:$A1000,Cards!$B$2:$I1000,"")</f>
        <v>Elemental Nature</v>
      </c>
      <c r="C138" s="33">
        <v>0.0</v>
      </c>
      <c r="D138" s="33" t="s">
        <v>886</v>
      </c>
      <c r="E138" s="33" t="s">
        <v>887</v>
      </c>
      <c r="F138" s="33"/>
      <c r="G138" s="33">
        <v>8.0</v>
      </c>
      <c r="H138" s="33" t="s">
        <v>888</v>
      </c>
      <c r="I138" s="33" t="s">
        <v>62</v>
      </c>
      <c r="J138" s="33">
        <f>IFERROR(__xludf.DUMMYFUNCTION("LEN(REGEXREPLACE(XLOOKUP($A138,Cards!$A$2:$A1000,Cards!$H$2:$H1000,""""),"",\s"",""""))"),5.0)</f>
        <v>5</v>
      </c>
      <c r="K138" s="33" t="str">
        <f t="shared" si="1"/>
        <v>       Control     Ambush   </v>
      </c>
      <c r="L138" s="33" t="str">
        <f>IFERROR(__xludf.DUMMYFUNCTION("IF(IF(L$1="""","""",REGEXMATCH(LOWER($E138),XLOOKUP(L$1,Metadata!$A$2:$A1000,Metadata!$B$2:$B1000))),L$1,"""")"),"")</f>
        <v/>
      </c>
      <c r="M138" s="33" t="str">
        <f>IFERROR(__xludf.DUMMYFUNCTION("IF(IF(M$1="""","""",REGEXMATCH(LOWER($E138),XLOOKUP(M$1,Metadata!$A$2:$A1000,Metadata!$B$2:$B1000))),M$1,"""")"),"")</f>
        <v/>
      </c>
      <c r="N138" s="33" t="str">
        <f>IFERROR(__xludf.DUMMYFUNCTION("IF(IF(N$1="""","""",REGEXMATCH(LOWER($E138),XLOOKUP(N$1,Metadata!$A$2:$A1000,Metadata!$B$2:$B1000))),N$1,"""")"),"")</f>
        <v/>
      </c>
      <c r="O138" s="33" t="str">
        <f>IFERROR(__xludf.DUMMYFUNCTION("IF(IF(O$1="""","""",REGEXMATCH(LOWER($E138),XLOOKUP(O$1,Metadata!$A$2:$A1000,Metadata!$B$2:$B1000))),O$1,"""")"),"")</f>
        <v/>
      </c>
      <c r="P138" s="33" t="str">
        <f>IFERROR(__xludf.DUMMYFUNCTION("IF(IF(P$1="""","""",REGEXMATCH(LOWER($E138),XLOOKUP(P$1,Metadata!$A$2:$A1000,Metadata!$B$2:$B1000))),P$1,"""")"),"")</f>
        <v/>
      </c>
      <c r="Q138" s="33" t="str">
        <f>IFERROR(__xludf.DUMMYFUNCTION("IF(IF(Q$1="""","""",REGEXMATCH(LOWER($E138),XLOOKUP(Q$1,Metadata!$A$2:$A1000,Metadata!$B$2:$B1000))),Q$1,"""")"),"")</f>
        <v/>
      </c>
      <c r="R138" s="33" t="str">
        <f>IFERROR(__xludf.DUMMYFUNCTION("IF(IF(R$1="""","""",REGEXMATCH(LOWER($E138),XLOOKUP(R$1,Metadata!$A$2:$A1000,Metadata!$B$2:$B1000))),R$1,"""")"),"")</f>
        <v/>
      </c>
      <c r="S138" s="33" t="str">
        <f>IFERROR(__xludf.DUMMYFUNCTION("IF(IF(S$1="""","""",REGEXMATCH(LOWER($E138),XLOOKUP(S$1,Metadata!$A$2:$A1000,Metadata!$B$2:$B1000))),S$1,"""")"),"Control")</f>
        <v>Control</v>
      </c>
      <c r="T138" s="33" t="str">
        <f>IFERROR(__xludf.DUMMYFUNCTION("IF(IF(T$1="""","""",REGEXMATCH(LOWER($E138),XLOOKUP(T$1,Metadata!$A$2:$A1000,Metadata!$B$2:$B1000))),T$1,"""")"),"")</f>
        <v/>
      </c>
      <c r="U138" s="33" t="str">
        <f>IFERROR(__xludf.DUMMYFUNCTION("IF(IF(U$1="""","""",REGEXMATCH(LOWER($E138),XLOOKUP(U$1,Metadata!$A$2:$A1000,Metadata!$B$2:$B1000))),U$1,"""")"),"")</f>
        <v/>
      </c>
      <c r="V138" s="33" t="str">
        <f>IFERROR(__xludf.DUMMYFUNCTION("IF(IF(V$1="""","""",REGEXMATCH(LOWER($E138),XLOOKUP(V$1,Metadata!$A$2:$A1000,Metadata!$B$2:$B1000))),V$1,"""")"),"")</f>
        <v/>
      </c>
      <c r="W138" s="33" t="str">
        <f>IFERROR(__xludf.DUMMYFUNCTION("IF(IF(W$1="""","""",REGEXMATCH(LOWER($E138),XLOOKUP(W$1,Metadata!$A$2:$A1000,Metadata!$B$2:$B1000))),W$1,"""")"),"")</f>
        <v/>
      </c>
      <c r="X138" s="33" t="str">
        <f>IFERROR(__xludf.DUMMYFUNCTION("IF(IF(X$1="""","""",REGEXMATCH(LOWER($E138),XLOOKUP(X$1,Metadata!$A$2:$A1000,Metadata!$B$2:$B1000))),X$1,"""")"),"Ambush")</f>
        <v>Ambush</v>
      </c>
      <c r="Y138" s="33" t="str">
        <f>IFERROR(__xludf.DUMMYFUNCTION("IF(IF(Y$1="""","""",REGEXMATCH(LOWER($E138),XLOOKUP(Y$1,Metadata!$A$2:$A1000,Metadata!$B$2:$B1000))),Y$1,"""")"),"")</f>
        <v/>
      </c>
      <c r="Z138" s="33" t="str">
        <f>IFERROR(__xludf.DUMMYFUNCTION("IF(IF(Z$1="""","""",REGEXMATCH(LOWER($E138),XLOOKUP(Z$1,Metadata!$A$2:$A1000,Metadata!$B$2:$B1000))),Z$1,"""")"),"")</f>
        <v/>
      </c>
      <c r="AA138" s="33" t="str">
        <f>IFERROR(__xludf.DUMMYFUNCTION("IF(AA$1="""","""",REGEXMATCH(LOWER($E138),XLOOKUP(AA$1,Metadata!$A$2:$A1000,Metadata!$B$2:$B1000)))"),"")</f>
        <v/>
      </c>
    </row>
    <row r="139">
      <c r="A139" s="33" t="str">
        <f>IFERROR(__xludf.DUMMYFUNCTION("""COMPUTED_VALUE"""),"Resourceful Poacher")</f>
        <v>Resourceful Poacher</v>
      </c>
      <c r="B139" s="33" t="str">
        <f t="array" ref="B139:I139">XLOOKUP($A139,Cards!$A$2:$A1000,Cards!$B$2:$I1000,"")</f>
        <v>Elemental Nature</v>
      </c>
      <c r="C139" s="33">
        <v>2.0</v>
      </c>
      <c r="D139" s="33" t="s">
        <v>128</v>
      </c>
      <c r="E139" s="33" t="s">
        <v>890</v>
      </c>
      <c r="F139" s="33" t="s">
        <v>891</v>
      </c>
      <c r="G139" s="33">
        <v>4.0</v>
      </c>
      <c r="H139" s="33" t="s">
        <v>892</v>
      </c>
      <c r="I139" s="33" t="s">
        <v>62</v>
      </c>
      <c r="J139" s="33">
        <f>IFERROR(__xludf.DUMMYFUNCTION("LEN(REGEXREPLACE(XLOOKUP($A139,Cards!$A$2:$A1000,Cards!$H$2:$H1000,""""),"",\s"",""""))"),5.0)</f>
        <v>5</v>
      </c>
      <c r="K139" s="33" t="str">
        <f t="shared" si="1"/>
        <v>               </v>
      </c>
      <c r="L139" s="33" t="str">
        <f>IFERROR(__xludf.DUMMYFUNCTION("IF(IF(L$1="""","""",REGEXMATCH(LOWER($E139),XLOOKUP(L$1,Metadata!$A$2:$A1000,Metadata!$B$2:$B1000))),L$1,"""")"),"")</f>
        <v/>
      </c>
      <c r="M139" s="33" t="str">
        <f>IFERROR(__xludf.DUMMYFUNCTION("IF(IF(M$1="""","""",REGEXMATCH(LOWER($E139),XLOOKUP(M$1,Metadata!$A$2:$A1000,Metadata!$B$2:$B1000))),M$1,"""")"),"")</f>
        <v/>
      </c>
      <c r="N139" s="33" t="str">
        <f>IFERROR(__xludf.DUMMYFUNCTION("IF(IF(N$1="""","""",REGEXMATCH(LOWER($E139),XLOOKUP(N$1,Metadata!$A$2:$A1000,Metadata!$B$2:$B1000))),N$1,"""")"),"")</f>
        <v/>
      </c>
      <c r="O139" s="33" t="str">
        <f>IFERROR(__xludf.DUMMYFUNCTION("IF(IF(O$1="""","""",REGEXMATCH(LOWER($E139),XLOOKUP(O$1,Metadata!$A$2:$A1000,Metadata!$B$2:$B1000))),O$1,"""")"),"")</f>
        <v/>
      </c>
      <c r="P139" s="33" t="str">
        <f>IFERROR(__xludf.DUMMYFUNCTION("IF(IF(P$1="""","""",REGEXMATCH(LOWER($E139),XLOOKUP(P$1,Metadata!$A$2:$A1000,Metadata!$B$2:$B1000))),P$1,"""")"),"")</f>
        <v/>
      </c>
      <c r="Q139" s="33" t="str">
        <f>IFERROR(__xludf.DUMMYFUNCTION("IF(IF(Q$1="""","""",REGEXMATCH(LOWER($E139),XLOOKUP(Q$1,Metadata!$A$2:$A1000,Metadata!$B$2:$B1000))),Q$1,"""")"),"")</f>
        <v/>
      </c>
      <c r="R139" s="33" t="str">
        <f>IFERROR(__xludf.DUMMYFUNCTION("IF(IF(R$1="""","""",REGEXMATCH(LOWER($E139),XLOOKUP(R$1,Metadata!$A$2:$A1000,Metadata!$B$2:$B1000))),R$1,"""")"),"")</f>
        <v/>
      </c>
      <c r="S139" s="33" t="str">
        <f>IFERROR(__xludf.DUMMYFUNCTION("IF(IF(S$1="""","""",REGEXMATCH(LOWER($E139),XLOOKUP(S$1,Metadata!$A$2:$A1000,Metadata!$B$2:$B1000))),S$1,"""")"),"")</f>
        <v/>
      </c>
      <c r="T139" s="33" t="str">
        <f>IFERROR(__xludf.DUMMYFUNCTION("IF(IF(T$1="""","""",REGEXMATCH(LOWER($E139),XLOOKUP(T$1,Metadata!$A$2:$A1000,Metadata!$B$2:$B1000))),T$1,"""")"),"")</f>
        <v/>
      </c>
      <c r="U139" s="33" t="str">
        <f>IFERROR(__xludf.DUMMYFUNCTION("IF(IF(U$1="""","""",REGEXMATCH(LOWER($E139),XLOOKUP(U$1,Metadata!$A$2:$A1000,Metadata!$B$2:$B1000))),U$1,"""")"),"")</f>
        <v/>
      </c>
      <c r="V139" s="33" t="str">
        <f>IFERROR(__xludf.DUMMYFUNCTION("IF(IF(V$1="""","""",REGEXMATCH(LOWER($E139),XLOOKUP(V$1,Metadata!$A$2:$A1000,Metadata!$B$2:$B1000))),V$1,"""")"),"")</f>
        <v/>
      </c>
      <c r="W139" s="33" t="str">
        <f>IFERROR(__xludf.DUMMYFUNCTION("IF(IF(W$1="""","""",REGEXMATCH(LOWER($E139),XLOOKUP(W$1,Metadata!$A$2:$A1000,Metadata!$B$2:$B1000))),W$1,"""")"),"")</f>
        <v/>
      </c>
      <c r="X139" s="33" t="str">
        <f>IFERROR(__xludf.DUMMYFUNCTION("IF(IF(X$1="""","""",REGEXMATCH(LOWER($E139),XLOOKUP(X$1,Metadata!$A$2:$A1000,Metadata!$B$2:$B1000))),X$1,"""")"),"")</f>
        <v/>
      </c>
      <c r="Y139" s="33" t="str">
        <f>IFERROR(__xludf.DUMMYFUNCTION("IF(IF(Y$1="""","""",REGEXMATCH(LOWER($E139),XLOOKUP(Y$1,Metadata!$A$2:$A1000,Metadata!$B$2:$B1000))),Y$1,"""")"),"")</f>
        <v/>
      </c>
      <c r="Z139" s="33" t="str">
        <f>IFERROR(__xludf.DUMMYFUNCTION("IF(IF(Z$1="""","""",REGEXMATCH(LOWER($E139),XLOOKUP(Z$1,Metadata!$A$2:$A1000,Metadata!$B$2:$B1000))),Z$1,"""")"),"")</f>
        <v/>
      </c>
      <c r="AA139" s="33" t="str">
        <f>IFERROR(__xludf.DUMMYFUNCTION("IF(AA$1="""","""",REGEXMATCH(LOWER($E139),XLOOKUP(AA$1,Metadata!$A$2:$A1000,Metadata!$B$2:$B1000)))"),"")</f>
        <v/>
      </c>
    </row>
    <row r="140">
      <c r="A140" s="33" t="str">
        <f>IFERROR(__xludf.DUMMYFUNCTION("""COMPUTED_VALUE"""),"Infernoblight")</f>
        <v>Infernoblight</v>
      </c>
      <c r="B140" s="33" t="str">
        <f t="array" ref="B140:I140">XLOOKUP($A140,Cards!$A$2:$A1000,Cards!$B$2:$I1000,"")</f>
        <v>Elemental</v>
      </c>
      <c r="C140" s="33">
        <v>1.0</v>
      </c>
      <c r="D140" s="33" t="s">
        <v>740</v>
      </c>
      <c r="E140" s="33" t="s">
        <v>894</v>
      </c>
      <c r="F140" s="33" t="s">
        <v>895</v>
      </c>
      <c r="G140" s="33">
        <v>4.0</v>
      </c>
      <c r="H140" s="33" t="s">
        <v>474</v>
      </c>
      <c r="I140" s="33" t="s">
        <v>32</v>
      </c>
      <c r="J140" s="33">
        <f>IFERROR(__xludf.DUMMYFUNCTION("LEN(REGEXREPLACE(XLOOKUP($A140,Cards!$A$2:$A1000,Cards!$H$2:$H1000,""""),"",\s"",""""))"),5.0)</f>
        <v>5</v>
      </c>
      <c r="K140" s="33" t="str">
        <f t="shared" si="1"/>
        <v>               </v>
      </c>
      <c r="L140" s="33" t="str">
        <f>IFERROR(__xludf.DUMMYFUNCTION("IF(IF(L$1="""","""",REGEXMATCH(LOWER($E140),XLOOKUP(L$1,Metadata!$A$2:$A1000,Metadata!$B$2:$B1000))),L$1,"""")"),"")</f>
        <v/>
      </c>
      <c r="M140" s="33" t="str">
        <f>IFERROR(__xludf.DUMMYFUNCTION("IF(IF(M$1="""","""",REGEXMATCH(LOWER($E140),XLOOKUP(M$1,Metadata!$A$2:$A1000,Metadata!$B$2:$B1000))),M$1,"""")"),"")</f>
        <v/>
      </c>
      <c r="N140" s="33" t="str">
        <f>IFERROR(__xludf.DUMMYFUNCTION("IF(IF(N$1="""","""",REGEXMATCH(LOWER($E140),XLOOKUP(N$1,Metadata!$A$2:$A1000,Metadata!$B$2:$B1000))),N$1,"""")"),"")</f>
        <v/>
      </c>
      <c r="O140" s="33" t="str">
        <f>IFERROR(__xludf.DUMMYFUNCTION("IF(IF(O$1="""","""",REGEXMATCH(LOWER($E140),XLOOKUP(O$1,Metadata!$A$2:$A1000,Metadata!$B$2:$B1000))),O$1,"""")"),"")</f>
        <v/>
      </c>
      <c r="P140" s="33" t="str">
        <f>IFERROR(__xludf.DUMMYFUNCTION("IF(IF(P$1="""","""",REGEXMATCH(LOWER($E140),XLOOKUP(P$1,Metadata!$A$2:$A1000,Metadata!$B$2:$B1000))),P$1,"""")"),"")</f>
        <v/>
      </c>
      <c r="Q140" s="33" t="str">
        <f>IFERROR(__xludf.DUMMYFUNCTION("IF(IF(Q$1="""","""",REGEXMATCH(LOWER($E140),XLOOKUP(Q$1,Metadata!$A$2:$A1000,Metadata!$B$2:$B1000))),Q$1,"""")"),"")</f>
        <v/>
      </c>
      <c r="R140" s="33" t="str">
        <f>IFERROR(__xludf.DUMMYFUNCTION("IF(IF(R$1="""","""",REGEXMATCH(LOWER($E140),XLOOKUP(R$1,Metadata!$A$2:$A1000,Metadata!$B$2:$B1000))),R$1,"""")"),"")</f>
        <v/>
      </c>
      <c r="S140" s="33" t="str">
        <f>IFERROR(__xludf.DUMMYFUNCTION("IF(IF(S$1="""","""",REGEXMATCH(LOWER($E140),XLOOKUP(S$1,Metadata!$A$2:$A1000,Metadata!$B$2:$B1000))),S$1,"""")"),"")</f>
        <v/>
      </c>
      <c r="T140" s="33" t="str">
        <f>IFERROR(__xludf.DUMMYFUNCTION("IF(IF(T$1="""","""",REGEXMATCH(LOWER($E140),XLOOKUP(T$1,Metadata!$A$2:$A1000,Metadata!$B$2:$B1000))),T$1,"""")"),"")</f>
        <v/>
      </c>
      <c r="U140" s="33" t="str">
        <f>IFERROR(__xludf.DUMMYFUNCTION("IF(IF(U$1="""","""",REGEXMATCH(LOWER($E140),XLOOKUP(U$1,Metadata!$A$2:$A1000,Metadata!$B$2:$B1000))),U$1,"""")"),"")</f>
        <v/>
      </c>
      <c r="V140" s="33" t="str">
        <f>IFERROR(__xludf.DUMMYFUNCTION("IF(IF(V$1="""","""",REGEXMATCH(LOWER($E140),XLOOKUP(V$1,Metadata!$A$2:$A1000,Metadata!$B$2:$B1000))),V$1,"""")"),"")</f>
        <v/>
      </c>
      <c r="W140" s="33" t="str">
        <f>IFERROR(__xludf.DUMMYFUNCTION("IF(IF(W$1="""","""",REGEXMATCH(LOWER($E140),XLOOKUP(W$1,Metadata!$A$2:$A1000,Metadata!$B$2:$B1000))),W$1,"""")"),"")</f>
        <v/>
      </c>
      <c r="X140" s="33" t="str">
        <f>IFERROR(__xludf.DUMMYFUNCTION("IF(IF(X$1="""","""",REGEXMATCH(LOWER($E140),XLOOKUP(X$1,Metadata!$A$2:$A1000,Metadata!$B$2:$B1000))),X$1,"""")"),"")</f>
        <v/>
      </c>
      <c r="Y140" s="33" t="str">
        <f>IFERROR(__xludf.DUMMYFUNCTION("IF(IF(Y$1="""","""",REGEXMATCH(LOWER($E140),XLOOKUP(Y$1,Metadata!$A$2:$A1000,Metadata!$B$2:$B1000))),Y$1,"""")"),"")</f>
        <v/>
      </c>
      <c r="Z140" s="33" t="str">
        <f>IFERROR(__xludf.DUMMYFUNCTION("IF(IF(Z$1="""","""",REGEXMATCH(LOWER($E140),XLOOKUP(Z$1,Metadata!$A$2:$A1000,Metadata!$B$2:$B1000))),Z$1,"""")"),"")</f>
        <v/>
      </c>
      <c r="AA140" s="33" t="str">
        <f>IFERROR(__xludf.DUMMYFUNCTION("IF(AA$1="""","""",REGEXMATCH(LOWER($E140),XLOOKUP(AA$1,Metadata!$A$2:$A1000,Metadata!$B$2:$B1000)))"),"")</f>
        <v/>
      </c>
    </row>
    <row r="141">
      <c r="A141" s="33" t="str">
        <f>IFERROR(__xludf.DUMMYFUNCTION("""COMPUTED_VALUE"""),"The Skyshrieker")</f>
        <v>The Skyshrieker</v>
      </c>
      <c r="B141" s="33" t="str">
        <f t="array" ref="B141:I141">XLOOKUP($A141,Cards!$A$2:$A1000,Cards!$B$2:$I1000,"")</f>
        <v>Elemental Nature</v>
      </c>
      <c r="C141" s="33">
        <v>2.0</v>
      </c>
      <c r="D141" s="33" t="s">
        <v>886</v>
      </c>
      <c r="E141" s="33" t="s">
        <v>908</v>
      </c>
      <c r="F141" s="33" t="s">
        <v>909</v>
      </c>
      <c r="G141" s="33">
        <v>5.0</v>
      </c>
      <c r="H141" s="33" t="s">
        <v>892</v>
      </c>
      <c r="I141" s="33" t="s">
        <v>62</v>
      </c>
      <c r="J141" s="33">
        <f>IFERROR(__xludf.DUMMYFUNCTION("LEN(REGEXREPLACE(XLOOKUP($A141,Cards!$A$2:$A1000,Cards!$H$2:$H1000,""""),"",\s"",""""))"),5.0)</f>
        <v>5</v>
      </c>
      <c r="K141" s="33" t="str">
        <f t="shared" si="1"/>
        <v>           Move    </v>
      </c>
      <c r="L141" s="33" t="str">
        <f>IFERROR(__xludf.DUMMYFUNCTION("IF(IF(L$1="""","""",REGEXMATCH(LOWER($E141),XLOOKUP(L$1,Metadata!$A$2:$A1000,Metadata!$B$2:$B1000))),L$1,"""")"),"")</f>
        <v/>
      </c>
      <c r="M141" s="33" t="str">
        <f>IFERROR(__xludf.DUMMYFUNCTION("IF(IF(M$1="""","""",REGEXMATCH(LOWER($E141),XLOOKUP(M$1,Metadata!$A$2:$A1000,Metadata!$B$2:$B1000))),M$1,"""")"),"")</f>
        <v/>
      </c>
      <c r="N141" s="33" t="str">
        <f>IFERROR(__xludf.DUMMYFUNCTION("IF(IF(N$1="""","""",REGEXMATCH(LOWER($E141),XLOOKUP(N$1,Metadata!$A$2:$A1000,Metadata!$B$2:$B1000))),N$1,"""")"),"")</f>
        <v/>
      </c>
      <c r="O141" s="33" t="str">
        <f>IFERROR(__xludf.DUMMYFUNCTION("IF(IF(O$1="""","""",REGEXMATCH(LOWER($E141),XLOOKUP(O$1,Metadata!$A$2:$A1000,Metadata!$B$2:$B1000))),O$1,"""")"),"")</f>
        <v/>
      </c>
      <c r="P141" s="33" t="str">
        <f>IFERROR(__xludf.DUMMYFUNCTION("IF(IF(P$1="""","""",REGEXMATCH(LOWER($E141),XLOOKUP(P$1,Metadata!$A$2:$A1000,Metadata!$B$2:$B1000))),P$1,"""")"),"")</f>
        <v/>
      </c>
      <c r="Q141" s="33" t="str">
        <f>IFERROR(__xludf.DUMMYFUNCTION("IF(IF(Q$1="""","""",REGEXMATCH(LOWER($E141),XLOOKUP(Q$1,Metadata!$A$2:$A1000,Metadata!$B$2:$B1000))),Q$1,"""")"),"")</f>
        <v/>
      </c>
      <c r="R141" s="33" t="str">
        <f>IFERROR(__xludf.DUMMYFUNCTION("IF(IF(R$1="""","""",REGEXMATCH(LOWER($E141),XLOOKUP(R$1,Metadata!$A$2:$A1000,Metadata!$B$2:$B1000))),R$1,"""")"),"")</f>
        <v/>
      </c>
      <c r="S141" s="33" t="str">
        <f>IFERROR(__xludf.DUMMYFUNCTION("IF(IF(S$1="""","""",REGEXMATCH(LOWER($E141),XLOOKUP(S$1,Metadata!$A$2:$A1000,Metadata!$B$2:$B1000))),S$1,"""")"),"")</f>
        <v/>
      </c>
      <c r="T141" s="33" t="str">
        <f>IFERROR(__xludf.DUMMYFUNCTION("IF(IF(T$1="""","""",REGEXMATCH(LOWER($E141),XLOOKUP(T$1,Metadata!$A$2:$A1000,Metadata!$B$2:$B1000))),T$1,"""")"),"")</f>
        <v/>
      </c>
      <c r="U141" s="33" t="str">
        <f>IFERROR(__xludf.DUMMYFUNCTION("IF(IF(U$1="""","""",REGEXMATCH(LOWER($E141),XLOOKUP(U$1,Metadata!$A$2:$A1000,Metadata!$B$2:$B1000))),U$1,"""")"),"")</f>
        <v/>
      </c>
      <c r="V141" s="33" t="str">
        <f>IFERROR(__xludf.DUMMYFUNCTION("IF(IF(V$1="""","""",REGEXMATCH(LOWER($E141),XLOOKUP(V$1,Metadata!$A$2:$A1000,Metadata!$B$2:$B1000))),V$1,"""")"),"")</f>
        <v/>
      </c>
      <c r="W141" s="33" t="str">
        <f>IFERROR(__xludf.DUMMYFUNCTION("IF(IF(W$1="""","""",REGEXMATCH(LOWER($E141),XLOOKUP(W$1,Metadata!$A$2:$A1000,Metadata!$B$2:$B1000))),W$1,"""")"),"Move")</f>
        <v>Move</v>
      </c>
      <c r="X141" s="33" t="str">
        <f>IFERROR(__xludf.DUMMYFUNCTION("IF(IF(X$1="""","""",REGEXMATCH(LOWER($E141),XLOOKUP(X$1,Metadata!$A$2:$A1000,Metadata!$B$2:$B1000))),X$1,"""")"),"")</f>
        <v/>
      </c>
      <c r="Y141" s="33" t="str">
        <f>IFERROR(__xludf.DUMMYFUNCTION("IF(IF(Y$1="""","""",REGEXMATCH(LOWER($E141),XLOOKUP(Y$1,Metadata!$A$2:$A1000,Metadata!$B$2:$B1000))),Y$1,"""")"),"")</f>
        <v/>
      </c>
      <c r="Z141" s="33" t="str">
        <f>IFERROR(__xludf.DUMMYFUNCTION("IF(IF(Z$1="""","""",REGEXMATCH(LOWER($E141),XLOOKUP(Z$1,Metadata!$A$2:$A1000,Metadata!$B$2:$B1000))),Z$1,"""")"),"")</f>
        <v/>
      </c>
      <c r="AA141" s="33" t="str">
        <f>IFERROR(__xludf.DUMMYFUNCTION("IF(AA$1="""","""",REGEXMATCH(LOWER($E141),XLOOKUP(AA$1,Metadata!$A$2:$A1000,Metadata!$B$2:$B1000)))"),"")</f>
        <v/>
      </c>
    </row>
    <row r="142">
      <c r="A142" s="33" t="str">
        <f>IFERROR(__xludf.DUMMYFUNCTION("""COMPUTED_VALUE"""),"Mistborn Serpent")</f>
        <v>Mistborn Serpent</v>
      </c>
      <c r="B142" s="33" t="str">
        <f t="array" ref="B142:I142">XLOOKUP($A142,Cards!$A$2:$A1000,Cards!$B$2:$I1000,"")</f>
        <v>Elemental</v>
      </c>
      <c r="C142" s="33">
        <v>1.0</v>
      </c>
      <c r="D142" s="33" t="s">
        <v>536</v>
      </c>
      <c r="E142" s="33"/>
      <c r="F142" s="33"/>
      <c r="G142" s="33">
        <v>3.0</v>
      </c>
      <c r="H142" s="33" t="s">
        <v>368</v>
      </c>
      <c r="I142" s="33" t="s">
        <v>26</v>
      </c>
      <c r="J142" s="33">
        <f>IFERROR(__xludf.DUMMYFUNCTION("LEN(REGEXREPLACE(XLOOKUP($A142,Cards!$A$2:$A1000,Cards!$H$2:$H1000,""""),"",\s"",""""))"),3.0)</f>
        <v>3</v>
      </c>
      <c r="K142" s="33" t="str">
        <f t="shared" si="1"/>
        <v>               </v>
      </c>
      <c r="L142" s="33" t="str">
        <f>IFERROR(__xludf.DUMMYFUNCTION("IF(IF(L$1="""","""",REGEXMATCH(LOWER($E142),XLOOKUP(L$1,Metadata!$A$2:$A1000,Metadata!$B$2:$B1000))),L$1,"""")"),"")</f>
        <v/>
      </c>
      <c r="M142" s="33" t="str">
        <f>IFERROR(__xludf.DUMMYFUNCTION("IF(IF(M$1="""","""",REGEXMATCH(LOWER($E142),XLOOKUP(M$1,Metadata!$A$2:$A1000,Metadata!$B$2:$B1000))),M$1,"""")"),"")</f>
        <v/>
      </c>
      <c r="N142" s="33" t="str">
        <f>IFERROR(__xludf.DUMMYFUNCTION("IF(IF(N$1="""","""",REGEXMATCH(LOWER($E142),XLOOKUP(N$1,Metadata!$A$2:$A1000,Metadata!$B$2:$B1000))),N$1,"""")"),"")</f>
        <v/>
      </c>
      <c r="O142" s="33" t="str">
        <f>IFERROR(__xludf.DUMMYFUNCTION("IF(IF(O$1="""","""",REGEXMATCH(LOWER($E142),XLOOKUP(O$1,Metadata!$A$2:$A1000,Metadata!$B$2:$B1000))),O$1,"""")"),"")</f>
        <v/>
      </c>
      <c r="P142" s="33" t="str">
        <f>IFERROR(__xludf.DUMMYFUNCTION("IF(IF(P$1="""","""",REGEXMATCH(LOWER($E142),XLOOKUP(P$1,Metadata!$A$2:$A1000,Metadata!$B$2:$B1000))),P$1,"""")"),"")</f>
        <v/>
      </c>
      <c r="Q142" s="33" t="str">
        <f>IFERROR(__xludf.DUMMYFUNCTION("IF(IF(Q$1="""","""",REGEXMATCH(LOWER($E142),XLOOKUP(Q$1,Metadata!$A$2:$A1000,Metadata!$B$2:$B1000))),Q$1,"""")"),"")</f>
        <v/>
      </c>
      <c r="R142" s="33" t="str">
        <f>IFERROR(__xludf.DUMMYFUNCTION("IF(IF(R$1="""","""",REGEXMATCH(LOWER($E142),XLOOKUP(R$1,Metadata!$A$2:$A1000,Metadata!$B$2:$B1000))),R$1,"""")"),"")</f>
        <v/>
      </c>
      <c r="S142" s="33" t="str">
        <f>IFERROR(__xludf.DUMMYFUNCTION("IF(IF(S$1="""","""",REGEXMATCH(LOWER($E142),XLOOKUP(S$1,Metadata!$A$2:$A1000,Metadata!$B$2:$B1000))),S$1,"""")"),"")</f>
        <v/>
      </c>
      <c r="T142" s="33" t="str">
        <f>IFERROR(__xludf.DUMMYFUNCTION("IF(IF(T$1="""","""",REGEXMATCH(LOWER($E142),XLOOKUP(T$1,Metadata!$A$2:$A1000,Metadata!$B$2:$B1000))),T$1,"""")"),"")</f>
        <v/>
      </c>
      <c r="U142" s="33" t="str">
        <f>IFERROR(__xludf.DUMMYFUNCTION("IF(IF(U$1="""","""",REGEXMATCH(LOWER($E142),XLOOKUP(U$1,Metadata!$A$2:$A1000,Metadata!$B$2:$B1000))),U$1,"""")"),"")</f>
        <v/>
      </c>
      <c r="V142" s="33" t="str">
        <f>IFERROR(__xludf.DUMMYFUNCTION("IF(IF(V$1="""","""",REGEXMATCH(LOWER($E142),XLOOKUP(V$1,Metadata!$A$2:$A1000,Metadata!$B$2:$B1000))),V$1,"""")"),"")</f>
        <v/>
      </c>
      <c r="W142" s="33" t="str">
        <f>IFERROR(__xludf.DUMMYFUNCTION("IF(IF(W$1="""","""",REGEXMATCH(LOWER($E142),XLOOKUP(W$1,Metadata!$A$2:$A1000,Metadata!$B$2:$B1000))),W$1,"""")"),"")</f>
        <v/>
      </c>
      <c r="X142" s="33" t="str">
        <f>IFERROR(__xludf.DUMMYFUNCTION("IF(IF(X$1="""","""",REGEXMATCH(LOWER($E142),XLOOKUP(X$1,Metadata!$A$2:$A1000,Metadata!$B$2:$B1000))),X$1,"""")"),"")</f>
        <v/>
      </c>
      <c r="Y142" s="33" t="str">
        <f>IFERROR(__xludf.DUMMYFUNCTION("IF(IF(Y$1="""","""",REGEXMATCH(LOWER($E142),XLOOKUP(Y$1,Metadata!$A$2:$A1000,Metadata!$B$2:$B1000))),Y$1,"""")"),"")</f>
        <v/>
      </c>
      <c r="Z142" s="33" t="str">
        <f>IFERROR(__xludf.DUMMYFUNCTION("IF(IF(Z$1="""","""",REGEXMATCH(LOWER($E142),XLOOKUP(Z$1,Metadata!$A$2:$A1000,Metadata!$B$2:$B1000))),Z$1,"""")"),"")</f>
        <v/>
      </c>
      <c r="AA142" s="33" t="str">
        <f>IFERROR(__xludf.DUMMYFUNCTION("IF(AA$1="""","""",REGEXMATCH(LOWER($E142),XLOOKUP(AA$1,Metadata!$A$2:$A1000,Metadata!$B$2:$B1000)))"),"")</f>
        <v/>
      </c>
    </row>
    <row r="143">
      <c r="A143" s="33" t="str">
        <f>IFERROR(__xludf.DUMMYFUNCTION("""COMPUTED_VALUE"""),"Bringer of Bad Omens")</f>
        <v>Bringer of Bad Omens</v>
      </c>
      <c r="B143" s="33" t="str">
        <f t="array" ref="B143:I143">XLOOKUP($A143,Cards!$A$2:$A1000,Cards!$B$2:$I1000,"")</f>
        <v>Elemental Void</v>
      </c>
      <c r="C143" s="33">
        <v>2.0</v>
      </c>
      <c r="D143" s="33" t="s">
        <v>487</v>
      </c>
      <c r="E143" s="33" t="s">
        <v>913</v>
      </c>
      <c r="F143" s="33" t="s">
        <v>611</v>
      </c>
      <c r="G143" s="33">
        <v>0.0</v>
      </c>
      <c r="H143" s="33" t="s">
        <v>914</v>
      </c>
      <c r="I143" s="33" t="s">
        <v>62</v>
      </c>
      <c r="J143" s="33">
        <f>IFERROR(__xludf.DUMMYFUNCTION("LEN(REGEXREPLACE(XLOOKUP($A143,Cards!$A$2:$A1000,Cards!$H$2:$H1000,""""),"",\s"",""""))"),2.0)</f>
        <v>2</v>
      </c>
      <c r="K143" s="33" t="str">
        <f t="shared" si="1"/>
        <v>               </v>
      </c>
      <c r="L143" s="33" t="str">
        <f>IFERROR(__xludf.DUMMYFUNCTION("IF(IF(L$1="""","""",REGEXMATCH(LOWER($E143),XLOOKUP(L$1,Metadata!$A$2:$A1000,Metadata!$B$2:$B1000))),L$1,"""")"),"")</f>
        <v/>
      </c>
      <c r="M143" s="33" t="str">
        <f>IFERROR(__xludf.DUMMYFUNCTION("IF(IF(M$1="""","""",REGEXMATCH(LOWER($E143),XLOOKUP(M$1,Metadata!$A$2:$A1000,Metadata!$B$2:$B1000))),M$1,"""")"),"")</f>
        <v/>
      </c>
      <c r="N143" s="33" t="str">
        <f>IFERROR(__xludf.DUMMYFUNCTION("IF(IF(N$1="""","""",REGEXMATCH(LOWER($E143),XLOOKUP(N$1,Metadata!$A$2:$A1000,Metadata!$B$2:$B1000))),N$1,"""")"),"")</f>
        <v/>
      </c>
      <c r="O143" s="33" t="str">
        <f>IFERROR(__xludf.DUMMYFUNCTION("IF(IF(O$1="""","""",REGEXMATCH(LOWER($E143),XLOOKUP(O$1,Metadata!$A$2:$A1000,Metadata!$B$2:$B1000))),O$1,"""")"),"")</f>
        <v/>
      </c>
      <c r="P143" s="33" t="str">
        <f>IFERROR(__xludf.DUMMYFUNCTION("IF(IF(P$1="""","""",REGEXMATCH(LOWER($E143),XLOOKUP(P$1,Metadata!$A$2:$A1000,Metadata!$B$2:$B1000))),P$1,"""")"),"")</f>
        <v/>
      </c>
      <c r="Q143" s="33" t="str">
        <f>IFERROR(__xludf.DUMMYFUNCTION("IF(IF(Q$1="""","""",REGEXMATCH(LOWER($E143),XLOOKUP(Q$1,Metadata!$A$2:$A1000,Metadata!$B$2:$B1000))),Q$1,"""")"),"")</f>
        <v/>
      </c>
      <c r="R143" s="33" t="str">
        <f>IFERROR(__xludf.DUMMYFUNCTION("IF(IF(R$1="""","""",REGEXMATCH(LOWER($E143),XLOOKUP(R$1,Metadata!$A$2:$A1000,Metadata!$B$2:$B1000))),R$1,"""")"),"")</f>
        <v/>
      </c>
      <c r="S143" s="33" t="str">
        <f>IFERROR(__xludf.DUMMYFUNCTION("IF(IF(S$1="""","""",REGEXMATCH(LOWER($E143),XLOOKUP(S$1,Metadata!$A$2:$A1000,Metadata!$B$2:$B1000))),S$1,"""")"),"")</f>
        <v/>
      </c>
      <c r="T143" s="33" t="str">
        <f>IFERROR(__xludf.DUMMYFUNCTION("IF(IF(T$1="""","""",REGEXMATCH(LOWER($E143),XLOOKUP(T$1,Metadata!$A$2:$A1000,Metadata!$B$2:$B1000))),T$1,"""")"),"")</f>
        <v/>
      </c>
      <c r="U143" s="33" t="str">
        <f>IFERROR(__xludf.DUMMYFUNCTION("IF(IF(U$1="""","""",REGEXMATCH(LOWER($E143),XLOOKUP(U$1,Metadata!$A$2:$A1000,Metadata!$B$2:$B1000))),U$1,"""")"),"")</f>
        <v/>
      </c>
      <c r="V143" s="33" t="str">
        <f>IFERROR(__xludf.DUMMYFUNCTION("IF(IF(V$1="""","""",REGEXMATCH(LOWER($E143),XLOOKUP(V$1,Metadata!$A$2:$A1000,Metadata!$B$2:$B1000))),V$1,"""")"),"")</f>
        <v/>
      </c>
      <c r="W143" s="33" t="str">
        <f>IFERROR(__xludf.DUMMYFUNCTION("IF(IF(W$1="""","""",REGEXMATCH(LOWER($E143),XLOOKUP(W$1,Metadata!$A$2:$A1000,Metadata!$B$2:$B1000))),W$1,"""")"),"")</f>
        <v/>
      </c>
      <c r="X143" s="33" t="str">
        <f>IFERROR(__xludf.DUMMYFUNCTION("IF(IF(X$1="""","""",REGEXMATCH(LOWER($E143),XLOOKUP(X$1,Metadata!$A$2:$A1000,Metadata!$B$2:$B1000))),X$1,"""")"),"")</f>
        <v/>
      </c>
      <c r="Y143" s="33" t="str">
        <f>IFERROR(__xludf.DUMMYFUNCTION("IF(IF(Y$1="""","""",REGEXMATCH(LOWER($E143),XLOOKUP(Y$1,Metadata!$A$2:$A1000,Metadata!$B$2:$B1000))),Y$1,"""")"),"")</f>
        <v/>
      </c>
      <c r="Z143" s="33" t="str">
        <f>IFERROR(__xludf.DUMMYFUNCTION("IF(IF(Z$1="""","""",REGEXMATCH(LOWER($E143),XLOOKUP(Z$1,Metadata!$A$2:$A1000,Metadata!$B$2:$B1000))),Z$1,"""")"),"")</f>
        <v/>
      </c>
      <c r="AA143" s="33" t="str">
        <f>IFERROR(__xludf.DUMMYFUNCTION("IF(AA$1="""","""",REGEXMATCH(LOWER($E143),XLOOKUP(AA$1,Metadata!$A$2:$A1000,Metadata!$B$2:$B1000)))"),"")</f>
        <v/>
      </c>
    </row>
    <row r="144">
      <c r="A144" s="33" t="str">
        <f>IFERROR(__xludf.DUMMYFUNCTION("""COMPUTED_VALUE"""),"Gaunt Visitation")</f>
        <v>Gaunt Visitation</v>
      </c>
      <c r="B144" s="33" t="str">
        <f t="array" ref="B144:I144">XLOOKUP($A144,Cards!$A$2:$A1000,Cards!$B$2:$I1000,"")</f>
        <v>Elemental Void</v>
      </c>
      <c r="C144" s="33">
        <v>2.0</v>
      </c>
      <c r="D144" s="33" t="s">
        <v>916</v>
      </c>
      <c r="E144" s="33" t="s">
        <v>917</v>
      </c>
      <c r="F144" s="33" t="s">
        <v>918</v>
      </c>
      <c r="G144" s="33">
        <v>3.0</v>
      </c>
      <c r="H144" s="33" t="s">
        <v>919</v>
      </c>
      <c r="I144" s="33" t="s">
        <v>62</v>
      </c>
      <c r="J144" s="33">
        <f>IFERROR(__xludf.DUMMYFUNCTION("LEN(REGEXREPLACE(XLOOKUP($A144,Cards!$A$2:$A1000,Cards!$H$2:$H1000,""""),"",\s"",""""))"),5.0)</f>
        <v>5</v>
      </c>
      <c r="K144" s="33" t="str">
        <f t="shared" si="1"/>
        <v>     Unearth       Ambush   </v>
      </c>
      <c r="L144" s="33" t="str">
        <f>IFERROR(__xludf.DUMMYFUNCTION("IF(IF(L$1="""","""",REGEXMATCH(LOWER($E144),XLOOKUP(L$1,Metadata!$A$2:$A1000,Metadata!$B$2:$B1000))),L$1,"""")"),"")</f>
        <v/>
      </c>
      <c r="M144" s="33" t="str">
        <f>IFERROR(__xludf.DUMMYFUNCTION("IF(IF(M$1="""","""",REGEXMATCH(LOWER($E144),XLOOKUP(M$1,Metadata!$A$2:$A1000,Metadata!$B$2:$B1000))),M$1,"""")"),"")</f>
        <v/>
      </c>
      <c r="N144" s="33" t="str">
        <f>IFERROR(__xludf.DUMMYFUNCTION("IF(IF(N$1="""","""",REGEXMATCH(LOWER($E144),XLOOKUP(N$1,Metadata!$A$2:$A1000,Metadata!$B$2:$B1000))),N$1,"""")"),"")</f>
        <v/>
      </c>
      <c r="O144" s="33" t="str">
        <f>IFERROR(__xludf.DUMMYFUNCTION("IF(IF(O$1="""","""",REGEXMATCH(LOWER($E144),XLOOKUP(O$1,Metadata!$A$2:$A1000,Metadata!$B$2:$B1000))),O$1,"""")"),"")</f>
        <v/>
      </c>
      <c r="P144" s="33" t="str">
        <f>IFERROR(__xludf.DUMMYFUNCTION("IF(IF(P$1="""","""",REGEXMATCH(LOWER($E144),XLOOKUP(P$1,Metadata!$A$2:$A1000,Metadata!$B$2:$B1000))),P$1,"""")"),"")</f>
        <v/>
      </c>
      <c r="Q144" s="33" t="str">
        <f>IFERROR(__xludf.DUMMYFUNCTION("IF(IF(Q$1="""","""",REGEXMATCH(LOWER($E144),XLOOKUP(Q$1,Metadata!$A$2:$A1000,Metadata!$B$2:$B1000))),Q$1,"""")"),"Unearth")</f>
        <v>Unearth</v>
      </c>
      <c r="R144" s="33" t="str">
        <f>IFERROR(__xludf.DUMMYFUNCTION("IF(IF(R$1="""","""",REGEXMATCH(LOWER($E144),XLOOKUP(R$1,Metadata!$A$2:$A1000,Metadata!$B$2:$B1000))),R$1,"""")"),"")</f>
        <v/>
      </c>
      <c r="S144" s="33" t="str">
        <f>IFERROR(__xludf.DUMMYFUNCTION("IF(IF(S$1="""","""",REGEXMATCH(LOWER($E144),XLOOKUP(S$1,Metadata!$A$2:$A1000,Metadata!$B$2:$B1000))),S$1,"""")"),"")</f>
        <v/>
      </c>
      <c r="T144" s="33" t="str">
        <f>IFERROR(__xludf.DUMMYFUNCTION("IF(IF(T$1="""","""",REGEXMATCH(LOWER($E144),XLOOKUP(T$1,Metadata!$A$2:$A1000,Metadata!$B$2:$B1000))),T$1,"""")"),"")</f>
        <v/>
      </c>
      <c r="U144" s="33" t="str">
        <f>IFERROR(__xludf.DUMMYFUNCTION("IF(IF(U$1="""","""",REGEXMATCH(LOWER($E144),XLOOKUP(U$1,Metadata!$A$2:$A1000,Metadata!$B$2:$B1000))),U$1,"""")"),"")</f>
        <v/>
      </c>
      <c r="V144" s="33" t="str">
        <f>IFERROR(__xludf.DUMMYFUNCTION("IF(IF(V$1="""","""",REGEXMATCH(LOWER($E144),XLOOKUP(V$1,Metadata!$A$2:$A1000,Metadata!$B$2:$B1000))),V$1,"""")"),"")</f>
        <v/>
      </c>
      <c r="W144" s="33" t="str">
        <f>IFERROR(__xludf.DUMMYFUNCTION("IF(IF(W$1="""","""",REGEXMATCH(LOWER($E144),XLOOKUP(W$1,Metadata!$A$2:$A1000,Metadata!$B$2:$B1000))),W$1,"""")"),"")</f>
        <v/>
      </c>
      <c r="X144" s="33" t="str">
        <f>IFERROR(__xludf.DUMMYFUNCTION("IF(IF(X$1="""","""",REGEXMATCH(LOWER($E144),XLOOKUP(X$1,Metadata!$A$2:$A1000,Metadata!$B$2:$B1000))),X$1,"""")"),"Ambush")</f>
        <v>Ambush</v>
      </c>
      <c r="Y144" s="33" t="str">
        <f>IFERROR(__xludf.DUMMYFUNCTION("IF(IF(Y$1="""","""",REGEXMATCH(LOWER($E144),XLOOKUP(Y$1,Metadata!$A$2:$A1000,Metadata!$B$2:$B1000))),Y$1,"""")"),"")</f>
        <v/>
      </c>
      <c r="Z144" s="33" t="str">
        <f>IFERROR(__xludf.DUMMYFUNCTION("IF(IF(Z$1="""","""",REGEXMATCH(LOWER($E144),XLOOKUP(Z$1,Metadata!$A$2:$A1000,Metadata!$B$2:$B1000))),Z$1,"""")"),"")</f>
        <v/>
      </c>
      <c r="AA144" s="33" t="str">
        <f>IFERROR(__xludf.DUMMYFUNCTION("IF(AA$1="""","""",REGEXMATCH(LOWER($E144),XLOOKUP(AA$1,Metadata!$A$2:$A1000,Metadata!$B$2:$B1000)))"),"")</f>
        <v/>
      </c>
    </row>
    <row r="145">
      <c r="A145" s="33" t="str">
        <f>IFERROR(__xludf.DUMMYFUNCTION("""COMPUTED_VALUE"""),"Lightning Manticore")</f>
        <v>Lightning Manticore</v>
      </c>
      <c r="B145" s="33" t="str">
        <f t="array" ref="B145:I145">XLOOKUP($A145,Cards!$A$2:$A1000,Cards!$B$2:$I1000,"")</f>
        <v>Elemental Void</v>
      </c>
      <c r="C145" s="33">
        <v>0.0</v>
      </c>
      <c r="D145" s="33" t="s">
        <v>599</v>
      </c>
      <c r="E145" s="33" t="s">
        <v>921</v>
      </c>
      <c r="F145" s="33" t="s">
        <v>922</v>
      </c>
      <c r="G145" s="33">
        <v>7.0</v>
      </c>
      <c r="H145" s="33" t="s">
        <v>923</v>
      </c>
      <c r="I145" s="33" t="s">
        <v>62</v>
      </c>
      <c r="J145" s="33">
        <f>IFERROR(__xludf.DUMMYFUNCTION("LEN(REGEXREPLACE(XLOOKUP($A145,Cards!$A$2:$A1000,Cards!$H$2:$H1000,""""),"",\s"",""""))"),6.0)</f>
        <v>6</v>
      </c>
      <c r="K145" s="33" t="str">
        <f t="shared" si="1"/>
        <v>       Control   Empty-Crystal  Ambush   </v>
      </c>
      <c r="L145" s="33" t="str">
        <f>IFERROR(__xludf.DUMMYFUNCTION("IF(IF(L$1="""","""",REGEXMATCH(LOWER($E145),XLOOKUP(L$1,Metadata!$A$2:$A1000,Metadata!$B$2:$B1000))),L$1,"""")"),"")</f>
        <v/>
      </c>
      <c r="M145" s="33" t="str">
        <f>IFERROR(__xludf.DUMMYFUNCTION("IF(IF(M$1="""","""",REGEXMATCH(LOWER($E145),XLOOKUP(M$1,Metadata!$A$2:$A1000,Metadata!$B$2:$B1000))),M$1,"""")"),"")</f>
        <v/>
      </c>
      <c r="N145" s="33" t="str">
        <f>IFERROR(__xludf.DUMMYFUNCTION("IF(IF(N$1="""","""",REGEXMATCH(LOWER($E145),XLOOKUP(N$1,Metadata!$A$2:$A1000,Metadata!$B$2:$B1000))),N$1,"""")"),"")</f>
        <v/>
      </c>
      <c r="O145" s="33" t="str">
        <f>IFERROR(__xludf.DUMMYFUNCTION("IF(IF(O$1="""","""",REGEXMATCH(LOWER($E145),XLOOKUP(O$1,Metadata!$A$2:$A1000,Metadata!$B$2:$B1000))),O$1,"""")"),"")</f>
        <v/>
      </c>
      <c r="P145" s="33" t="str">
        <f>IFERROR(__xludf.DUMMYFUNCTION("IF(IF(P$1="""","""",REGEXMATCH(LOWER($E145),XLOOKUP(P$1,Metadata!$A$2:$A1000,Metadata!$B$2:$B1000))),P$1,"""")"),"")</f>
        <v/>
      </c>
      <c r="Q145" s="33" t="str">
        <f>IFERROR(__xludf.DUMMYFUNCTION("IF(IF(Q$1="""","""",REGEXMATCH(LOWER($E145),XLOOKUP(Q$1,Metadata!$A$2:$A1000,Metadata!$B$2:$B1000))),Q$1,"""")"),"")</f>
        <v/>
      </c>
      <c r="R145" s="33" t="str">
        <f>IFERROR(__xludf.DUMMYFUNCTION("IF(IF(R$1="""","""",REGEXMATCH(LOWER($E145),XLOOKUP(R$1,Metadata!$A$2:$A1000,Metadata!$B$2:$B1000))),R$1,"""")"),"")</f>
        <v/>
      </c>
      <c r="S145" s="33" t="str">
        <f>IFERROR(__xludf.DUMMYFUNCTION("IF(IF(S$1="""","""",REGEXMATCH(LOWER($E145),XLOOKUP(S$1,Metadata!$A$2:$A1000,Metadata!$B$2:$B1000))),S$1,"""")"),"Control")</f>
        <v>Control</v>
      </c>
      <c r="T145" s="33" t="str">
        <f>IFERROR(__xludf.DUMMYFUNCTION("IF(IF(T$1="""","""",REGEXMATCH(LOWER($E145),XLOOKUP(T$1,Metadata!$A$2:$A1000,Metadata!$B$2:$B1000))),T$1,"""")"),"")</f>
        <v/>
      </c>
      <c r="U145" s="33" t="str">
        <f>IFERROR(__xludf.DUMMYFUNCTION("IF(IF(U$1="""","""",REGEXMATCH(LOWER($E145),XLOOKUP(U$1,Metadata!$A$2:$A1000,Metadata!$B$2:$B1000))),U$1,"""")"),"")</f>
        <v/>
      </c>
      <c r="V145" s="33" t="str">
        <f>IFERROR(__xludf.DUMMYFUNCTION("IF(IF(V$1="""","""",REGEXMATCH(LOWER($E145),XLOOKUP(V$1,Metadata!$A$2:$A1000,Metadata!$B$2:$B1000))),V$1,"""")"),"Empty-Crystal")</f>
        <v>Empty-Crystal</v>
      </c>
      <c r="W145" s="33" t="str">
        <f>IFERROR(__xludf.DUMMYFUNCTION("IF(IF(W$1="""","""",REGEXMATCH(LOWER($E145),XLOOKUP(W$1,Metadata!$A$2:$A1000,Metadata!$B$2:$B1000))),W$1,"""")"),"")</f>
        <v/>
      </c>
      <c r="X145" s="33" t="str">
        <f>IFERROR(__xludf.DUMMYFUNCTION("IF(IF(X$1="""","""",REGEXMATCH(LOWER($E145),XLOOKUP(X$1,Metadata!$A$2:$A1000,Metadata!$B$2:$B1000))),X$1,"""")"),"Ambush")</f>
        <v>Ambush</v>
      </c>
      <c r="Y145" s="33" t="str">
        <f>IFERROR(__xludf.DUMMYFUNCTION("IF(IF(Y$1="""","""",REGEXMATCH(LOWER($E145),XLOOKUP(Y$1,Metadata!$A$2:$A1000,Metadata!$B$2:$B1000))),Y$1,"""")"),"")</f>
        <v/>
      </c>
      <c r="Z145" s="33" t="str">
        <f>IFERROR(__xludf.DUMMYFUNCTION("IF(IF(Z$1="""","""",REGEXMATCH(LOWER($E145),XLOOKUP(Z$1,Metadata!$A$2:$A1000,Metadata!$B$2:$B1000))),Z$1,"""")"),"")</f>
        <v/>
      </c>
      <c r="AA145" s="33" t="str">
        <f>IFERROR(__xludf.DUMMYFUNCTION("IF(AA$1="""","""",REGEXMATCH(LOWER($E145),XLOOKUP(AA$1,Metadata!$A$2:$A1000,Metadata!$B$2:$B1000)))"),"")</f>
        <v/>
      </c>
    </row>
    <row r="146">
      <c r="A146" s="33" t="str">
        <f>IFERROR(__xludf.DUMMYFUNCTION("""COMPUTED_VALUE"""),"Featherfrost Harpy")</f>
        <v>Featherfrost Harpy</v>
      </c>
      <c r="B146" s="33" t="str">
        <f t="array" ref="B146:I146">XLOOKUP($A146,Cards!$A$2:$A1000,Cards!$B$2:$I1000,"")</f>
        <v>Elemental</v>
      </c>
      <c r="C146" s="33">
        <v>1.0</v>
      </c>
      <c r="D146" s="33" t="s">
        <v>925</v>
      </c>
      <c r="E146" s="33"/>
      <c r="F146" s="33"/>
      <c r="G146" s="33">
        <v>4.0</v>
      </c>
      <c r="H146" s="33" t="s">
        <v>586</v>
      </c>
      <c r="I146" s="33" t="s">
        <v>26</v>
      </c>
      <c r="J146" s="33">
        <f>IFERROR(__xludf.DUMMYFUNCTION("LEN(REGEXREPLACE(XLOOKUP($A146,Cards!$A$2:$A1000,Cards!$H$2:$H1000,""""),"",\s"",""""))"),4.0)</f>
        <v>4</v>
      </c>
      <c r="K146" s="33" t="str">
        <f t="shared" si="1"/>
        <v>               </v>
      </c>
      <c r="L146" s="33" t="str">
        <f>IFERROR(__xludf.DUMMYFUNCTION("IF(IF(L$1="""","""",REGEXMATCH(LOWER($E146),XLOOKUP(L$1,Metadata!$A$2:$A1000,Metadata!$B$2:$B1000))),L$1,"""")"),"")</f>
        <v/>
      </c>
      <c r="M146" s="33" t="str">
        <f>IFERROR(__xludf.DUMMYFUNCTION("IF(IF(M$1="""","""",REGEXMATCH(LOWER($E146),XLOOKUP(M$1,Metadata!$A$2:$A1000,Metadata!$B$2:$B1000))),M$1,"""")"),"")</f>
        <v/>
      </c>
      <c r="N146" s="33" t="str">
        <f>IFERROR(__xludf.DUMMYFUNCTION("IF(IF(N$1="""","""",REGEXMATCH(LOWER($E146),XLOOKUP(N$1,Metadata!$A$2:$A1000,Metadata!$B$2:$B1000))),N$1,"""")"),"")</f>
        <v/>
      </c>
      <c r="O146" s="33" t="str">
        <f>IFERROR(__xludf.DUMMYFUNCTION("IF(IF(O$1="""","""",REGEXMATCH(LOWER($E146),XLOOKUP(O$1,Metadata!$A$2:$A1000,Metadata!$B$2:$B1000))),O$1,"""")"),"")</f>
        <v/>
      </c>
      <c r="P146" s="33" t="str">
        <f>IFERROR(__xludf.DUMMYFUNCTION("IF(IF(P$1="""","""",REGEXMATCH(LOWER($E146),XLOOKUP(P$1,Metadata!$A$2:$A1000,Metadata!$B$2:$B1000))),P$1,"""")"),"")</f>
        <v/>
      </c>
      <c r="Q146" s="33" t="str">
        <f>IFERROR(__xludf.DUMMYFUNCTION("IF(IF(Q$1="""","""",REGEXMATCH(LOWER($E146),XLOOKUP(Q$1,Metadata!$A$2:$A1000,Metadata!$B$2:$B1000))),Q$1,"""")"),"")</f>
        <v/>
      </c>
      <c r="R146" s="33" t="str">
        <f>IFERROR(__xludf.DUMMYFUNCTION("IF(IF(R$1="""","""",REGEXMATCH(LOWER($E146),XLOOKUP(R$1,Metadata!$A$2:$A1000,Metadata!$B$2:$B1000))),R$1,"""")"),"")</f>
        <v/>
      </c>
      <c r="S146" s="33" t="str">
        <f>IFERROR(__xludf.DUMMYFUNCTION("IF(IF(S$1="""","""",REGEXMATCH(LOWER($E146),XLOOKUP(S$1,Metadata!$A$2:$A1000,Metadata!$B$2:$B1000))),S$1,"""")"),"")</f>
        <v/>
      </c>
      <c r="T146" s="33" t="str">
        <f>IFERROR(__xludf.DUMMYFUNCTION("IF(IF(T$1="""","""",REGEXMATCH(LOWER($E146),XLOOKUP(T$1,Metadata!$A$2:$A1000,Metadata!$B$2:$B1000))),T$1,"""")"),"")</f>
        <v/>
      </c>
      <c r="U146" s="33" t="str">
        <f>IFERROR(__xludf.DUMMYFUNCTION("IF(IF(U$1="""","""",REGEXMATCH(LOWER($E146),XLOOKUP(U$1,Metadata!$A$2:$A1000,Metadata!$B$2:$B1000))),U$1,"""")"),"")</f>
        <v/>
      </c>
      <c r="V146" s="33" t="str">
        <f>IFERROR(__xludf.DUMMYFUNCTION("IF(IF(V$1="""","""",REGEXMATCH(LOWER($E146),XLOOKUP(V$1,Metadata!$A$2:$A1000,Metadata!$B$2:$B1000))),V$1,"""")"),"")</f>
        <v/>
      </c>
      <c r="W146" s="33" t="str">
        <f>IFERROR(__xludf.DUMMYFUNCTION("IF(IF(W$1="""","""",REGEXMATCH(LOWER($E146),XLOOKUP(W$1,Metadata!$A$2:$A1000,Metadata!$B$2:$B1000))),W$1,"""")"),"")</f>
        <v/>
      </c>
      <c r="X146" s="33" t="str">
        <f>IFERROR(__xludf.DUMMYFUNCTION("IF(IF(X$1="""","""",REGEXMATCH(LOWER($E146),XLOOKUP(X$1,Metadata!$A$2:$A1000,Metadata!$B$2:$B1000))),X$1,"""")"),"")</f>
        <v/>
      </c>
      <c r="Y146" s="33" t="str">
        <f>IFERROR(__xludf.DUMMYFUNCTION("IF(IF(Y$1="""","""",REGEXMATCH(LOWER($E146),XLOOKUP(Y$1,Metadata!$A$2:$A1000,Metadata!$B$2:$B1000))),Y$1,"""")"),"")</f>
        <v/>
      </c>
      <c r="Z146" s="33" t="str">
        <f>IFERROR(__xludf.DUMMYFUNCTION("IF(IF(Z$1="""","""",REGEXMATCH(LOWER($E146),XLOOKUP(Z$1,Metadata!$A$2:$A1000,Metadata!$B$2:$B1000))),Z$1,"""")"),"")</f>
        <v/>
      </c>
      <c r="AA146" s="33" t="str">
        <f>IFERROR(__xludf.DUMMYFUNCTION("IF(AA$1="""","""",REGEXMATCH(LOWER($E146),XLOOKUP(AA$1,Metadata!$A$2:$A1000,Metadata!$B$2:$B1000)))"),"")</f>
        <v/>
      </c>
    </row>
    <row r="147">
      <c r="A147" s="33" t="str">
        <f>IFERROR(__xludf.DUMMYFUNCTION("""COMPUTED_VALUE"""),"Raging Minotaur")</f>
        <v>Raging Minotaur</v>
      </c>
      <c r="B147" s="33" t="str">
        <f t="array" ref="B147:I147">XLOOKUP($A147,Cards!$A$2:$A1000,Cards!$B$2:$I1000,"")</f>
        <v>Elemental Void</v>
      </c>
      <c r="C147" s="33">
        <v>2.0</v>
      </c>
      <c r="D147" s="33" t="s">
        <v>927</v>
      </c>
      <c r="E147" s="33" t="s">
        <v>928</v>
      </c>
      <c r="F147" s="33" t="s">
        <v>929</v>
      </c>
      <c r="G147" s="33">
        <v>4.0</v>
      </c>
      <c r="H147" s="33" t="s">
        <v>919</v>
      </c>
      <c r="I147" s="33" t="s">
        <v>62</v>
      </c>
      <c r="J147" s="33">
        <f>IFERROR(__xludf.DUMMYFUNCTION("LEN(REGEXREPLACE(XLOOKUP($A147,Cards!$A$2:$A1000,Cards!$H$2:$H1000,""""),"",\s"",""""))"),5.0)</f>
        <v>5</v>
      </c>
      <c r="K147" s="33" t="str">
        <f t="shared" si="1"/>
        <v>               </v>
      </c>
      <c r="L147" s="33" t="str">
        <f>IFERROR(__xludf.DUMMYFUNCTION("IF(IF(L$1="""","""",REGEXMATCH(LOWER($E147),XLOOKUP(L$1,Metadata!$A$2:$A1000,Metadata!$B$2:$B1000))),L$1,"""")"),"")</f>
        <v/>
      </c>
      <c r="M147" s="33" t="str">
        <f>IFERROR(__xludf.DUMMYFUNCTION("IF(IF(M$1="""","""",REGEXMATCH(LOWER($E147),XLOOKUP(M$1,Metadata!$A$2:$A1000,Metadata!$B$2:$B1000))),M$1,"""")"),"")</f>
        <v/>
      </c>
      <c r="N147" s="33" t="str">
        <f>IFERROR(__xludf.DUMMYFUNCTION("IF(IF(N$1="""","""",REGEXMATCH(LOWER($E147),XLOOKUP(N$1,Metadata!$A$2:$A1000,Metadata!$B$2:$B1000))),N$1,"""")"),"")</f>
        <v/>
      </c>
      <c r="O147" s="33" t="str">
        <f>IFERROR(__xludf.DUMMYFUNCTION("IF(IF(O$1="""","""",REGEXMATCH(LOWER($E147),XLOOKUP(O$1,Metadata!$A$2:$A1000,Metadata!$B$2:$B1000))),O$1,"""")"),"")</f>
        <v/>
      </c>
      <c r="P147" s="33" t="str">
        <f>IFERROR(__xludf.DUMMYFUNCTION("IF(IF(P$1="""","""",REGEXMATCH(LOWER($E147),XLOOKUP(P$1,Metadata!$A$2:$A1000,Metadata!$B$2:$B1000))),P$1,"""")"),"")</f>
        <v/>
      </c>
      <c r="Q147" s="33" t="str">
        <f>IFERROR(__xludf.DUMMYFUNCTION("IF(IF(Q$1="""","""",REGEXMATCH(LOWER($E147),XLOOKUP(Q$1,Metadata!$A$2:$A1000,Metadata!$B$2:$B1000))),Q$1,"""")"),"")</f>
        <v/>
      </c>
      <c r="R147" s="33" t="str">
        <f>IFERROR(__xludf.DUMMYFUNCTION("IF(IF(R$1="""","""",REGEXMATCH(LOWER($E147),XLOOKUP(R$1,Metadata!$A$2:$A1000,Metadata!$B$2:$B1000))),R$1,"""")"),"")</f>
        <v/>
      </c>
      <c r="S147" s="33" t="str">
        <f>IFERROR(__xludf.DUMMYFUNCTION("IF(IF(S$1="""","""",REGEXMATCH(LOWER($E147),XLOOKUP(S$1,Metadata!$A$2:$A1000,Metadata!$B$2:$B1000))),S$1,"""")"),"")</f>
        <v/>
      </c>
      <c r="T147" s="33" t="str">
        <f>IFERROR(__xludf.DUMMYFUNCTION("IF(IF(T$1="""","""",REGEXMATCH(LOWER($E147),XLOOKUP(T$1,Metadata!$A$2:$A1000,Metadata!$B$2:$B1000))),T$1,"""")"),"")</f>
        <v/>
      </c>
      <c r="U147" s="33" t="str">
        <f>IFERROR(__xludf.DUMMYFUNCTION("IF(IF(U$1="""","""",REGEXMATCH(LOWER($E147),XLOOKUP(U$1,Metadata!$A$2:$A1000,Metadata!$B$2:$B1000))),U$1,"""")"),"")</f>
        <v/>
      </c>
      <c r="V147" s="33" t="str">
        <f>IFERROR(__xludf.DUMMYFUNCTION("IF(IF(V$1="""","""",REGEXMATCH(LOWER($E147),XLOOKUP(V$1,Metadata!$A$2:$A1000,Metadata!$B$2:$B1000))),V$1,"""")"),"")</f>
        <v/>
      </c>
      <c r="W147" s="33" t="str">
        <f>IFERROR(__xludf.DUMMYFUNCTION("IF(IF(W$1="""","""",REGEXMATCH(LOWER($E147),XLOOKUP(W$1,Metadata!$A$2:$A1000,Metadata!$B$2:$B1000))),W$1,"""")"),"")</f>
        <v/>
      </c>
      <c r="X147" s="33" t="str">
        <f>IFERROR(__xludf.DUMMYFUNCTION("IF(IF(X$1="""","""",REGEXMATCH(LOWER($E147),XLOOKUP(X$1,Metadata!$A$2:$A1000,Metadata!$B$2:$B1000))),X$1,"""")"),"")</f>
        <v/>
      </c>
      <c r="Y147" s="33" t="str">
        <f>IFERROR(__xludf.DUMMYFUNCTION("IF(IF(Y$1="""","""",REGEXMATCH(LOWER($E147),XLOOKUP(Y$1,Metadata!$A$2:$A1000,Metadata!$B$2:$B1000))),Y$1,"""")"),"")</f>
        <v/>
      </c>
      <c r="Z147" s="33" t="str">
        <f>IFERROR(__xludf.DUMMYFUNCTION("IF(IF(Z$1="""","""",REGEXMATCH(LOWER($E147),XLOOKUP(Z$1,Metadata!$A$2:$A1000,Metadata!$B$2:$B1000))),Z$1,"""")"),"")</f>
        <v/>
      </c>
      <c r="AA147" s="33" t="str">
        <f>IFERROR(__xludf.DUMMYFUNCTION("IF(AA$1="""","""",REGEXMATCH(LOWER($E147),XLOOKUP(AA$1,Metadata!$A$2:$A1000,Metadata!$B$2:$B1000)))"),"")</f>
        <v/>
      </c>
    </row>
    <row r="148">
      <c r="A148" s="33" t="str">
        <f>IFERROR(__xludf.DUMMYFUNCTION("""COMPUTED_VALUE"""),"Raijin")</f>
        <v>Raijin</v>
      </c>
      <c r="B148" s="33" t="str">
        <f t="array" ref="B148:I148">XLOOKUP($A148,Cards!$A$2:$A1000,Cards!$B$2:$I1000,"")</f>
        <v>Elemental</v>
      </c>
      <c r="C148" s="33">
        <v>1.0</v>
      </c>
      <c r="D148" s="33" t="s">
        <v>536</v>
      </c>
      <c r="E148" s="33" t="s">
        <v>931</v>
      </c>
      <c r="F148" s="33" t="s">
        <v>932</v>
      </c>
      <c r="G148" s="33">
        <v>7.0</v>
      </c>
      <c r="H148" s="33" t="s">
        <v>933</v>
      </c>
      <c r="I148" s="33" t="s">
        <v>32</v>
      </c>
      <c r="J148" s="33">
        <f>IFERROR(__xludf.DUMMYFUNCTION("LEN(REGEXREPLACE(XLOOKUP($A148,Cards!$A$2:$A1000,Cards!$H$2:$H1000,""""),"",\s"",""""))"),6.0)</f>
        <v>6</v>
      </c>
      <c r="K148" s="33" t="str">
        <f t="shared" si="1"/>
        <v>        Copy       </v>
      </c>
      <c r="L148" s="33" t="str">
        <f>IFERROR(__xludf.DUMMYFUNCTION("IF(IF(L$1="""","""",REGEXMATCH(LOWER($E148),XLOOKUP(L$1,Metadata!$A$2:$A1000,Metadata!$B$2:$B1000))),L$1,"""")"),"")</f>
        <v/>
      </c>
      <c r="M148" s="33" t="str">
        <f>IFERROR(__xludf.DUMMYFUNCTION("IF(IF(M$1="""","""",REGEXMATCH(LOWER($E148),XLOOKUP(M$1,Metadata!$A$2:$A1000,Metadata!$B$2:$B1000))),M$1,"""")"),"")</f>
        <v/>
      </c>
      <c r="N148" s="33" t="str">
        <f>IFERROR(__xludf.DUMMYFUNCTION("IF(IF(N$1="""","""",REGEXMATCH(LOWER($E148),XLOOKUP(N$1,Metadata!$A$2:$A1000,Metadata!$B$2:$B1000))),N$1,"""")"),"")</f>
        <v/>
      </c>
      <c r="O148" s="33" t="str">
        <f>IFERROR(__xludf.DUMMYFUNCTION("IF(IF(O$1="""","""",REGEXMATCH(LOWER($E148),XLOOKUP(O$1,Metadata!$A$2:$A1000,Metadata!$B$2:$B1000))),O$1,"""")"),"")</f>
        <v/>
      </c>
      <c r="P148" s="33" t="str">
        <f>IFERROR(__xludf.DUMMYFUNCTION("IF(IF(P$1="""","""",REGEXMATCH(LOWER($E148),XLOOKUP(P$1,Metadata!$A$2:$A1000,Metadata!$B$2:$B1000))),P$1,"""")"),"")</f>
        <v/>
      </c>
      <c r="Q148" s="33" t="str">
        <f>IFERROR(__xludf.DUMMYFUNCTION("IF(IF(Q$1="""","""",REGEXMATCH(LOWER($E148),XLOOKUP(Q$1,Metadata!$A$2:$A1000,Metadata!$B$2:$B1000))),Q$1,"""")"),"")</f>
        <v/>
      </c>
      <c r="R148" s="33" t="str">
        <f>IFERROR(__xludf.DUMMYFUNCTION("IF(IF(R$1="""","""",REGEXMATCH(LOWER($E148),XLOOKUP(R$1,Metadata!$A$2:$A1000,Metadata!$B$2:$B1000))),R$1,"""")"),"")</f>
        <v/>
      </c>
      <c r="S148" s="33" t="str">
        <f>IFERROR(__xludf.DUMMYFUNCTION("IF(IF(S$1="""","""",REGEXMATCH(LOWER($E148),XLOOKUP(S$1,Metadata!$A$2:$A1000,Metadata!$B$2:$B1000))),S$1,"""")"),"")</f>
        <v/>
      </c>
      <c r="T148" s="33" t="str">
        <f>IFERROR(__xludf.DUMMYFUNCTION("IF(IF(T$1="""","""",REGEXMATCH(LOWER($E148),XLOOKUP(T$1,Metadata!$A$2:$A1000,Metadata!$B$2:$B1000))),T$1,"""")"),"Copy")</f>
        <v>Copy</v>
      </c>
      <c r="U148" s="33" t="str">
        <f>IFERROR(__xludf.DUMMYFUNCTION("IF(IF(U$1="""","""",REGEXMATCH(LOWER($E148),XLOOKUP(U$1,Metadata!$A$2:$A1000,Metadata!$B$2:$B1000))),U$1,"""")"),"")</f>
        <v/>
      </c>
      <c r="V148" s="33" t="str">
        <f>IFERROR(__xludf.DUMMYFUNCTION("IF(IF(V$1="""","""",REGEXMATCH(LOWER($E148),XLOOKUP(V$1,Metadata!$A$2:$A1000,Metadata!$B$2:$B1000))),V$1,"""")"),"")</f>
        <v/>
      </c>
      <c r="W148" s="33" t="str">
        <f>IFERROR(__xludf.DUMMYFUNCTION("IF(IF(W$1="""","""",REGEXMATCH(LOWER($E148),XLOOKUP(W$1,Metadata!$A$2:$A1000,Metadata!$B$2:$B1000))),W$1,"""")"),"")</f>
        <v/>
      </c>
      <c r="X148" s="33" t="str">
        <f>IFERROR(__xludf.DUMMYFUNCTION("IF(IF(X$1="""","""",REGEXMATCH(LOWER($E148),XLOOKUP(X$1,Metadata!$A$2:$A1000,Metadata!$B$2:$B1000))),X$1,"""")"),"")</f>
        <v/>
      </c>
      <c r="Y148" s="33" t="str">
        <f>IFERROR(__xludf.DUMMYFUNCTION("IF(IF(Y$1="""","""",REGEXMATCH(LOWER($E148),XLOOKUP(Y$1,Metadata!$A$2:$A1000,Metadata!$B$2:$B1000))),Y$1,"""")"),"")</f>
        <v/>
      </c>
      <c r="Z148" s="33" t="str">
        <f>IFERROR(__xludf.DUMMYFUNCTION("IF(IF(Z$1="""","""",REGEXMATCH(LOWER($E148),XLOOKUP(Z$1,Metadata!$A$2:$A1000,Metadata!$B$2:$B1000))),Z$1,"""")"),"")</f>
        <v/>
      </c>
      <c r="AA148" s="33" t="str">
        <f>IFERROR(__xludf.DUMMYFUNCTION("IF(AA$1="""","""",REGEXMATCH(LOWER($E148),XLOOKUP(AA$1,Metadata!$A$2:$A1000,Metadata!$B$2:$B1000)))"),"")</f>
        <v/>
      </c>
    </row>
    <row r="149">
      <c r="A149" s="33" t="str">
        <f>IFERROR(__xludf.DUMMYFUNCTION("""COMPUTED_VALUE"""),"Venomshade Lamia")</f>
        <v>Venomshade Lamia</v>
      </c>
      <c r="B149" s="33" t="str">
        <f t="array" ref="B149:I149">XLOOKUP($A149,Cards!$A$2:$A1000,Cards!$B$2:$I1000,"")</f>
        <v>Elemental Void</v>
      </c>
      <c r="C149" s="33">
        <v>2.0</v>
      </c>
      <c r="D149" s="33" t="s">
        <v>946</v>
      </c>
      <c r="E149" s="33" t="s">
        <v>947</v>
      </c>
      <c r="F149" s="33" t="s">
        <v>948</v>
      </c>
      <c r="G149" s="33">
        <v>5.0</v>
      </c>
      <c r="H149" s="33" t="s">
        <v>919</v>
      </c>
      <c r="I149" s="33" t="s">
        <v>62</v>
      </c>
      <c r="J149" s="33">
        <f>IFERROR(__xludf.DUMMYFUNCTION("LEN(REGEXREPLACE(XLOOKUP($A149,Cards!$A$2:$A1000,Cards!$H$2:$H1000,""""),"",\s"",""""))"),5.0)</f>
        <v>5</v>
      </c>
      <c r="K149" s="33" t="str">
        <f t="shared" si="1"/>
        <v>         Aggro      </v>
      </c>
      <c r="L149" s="33" t="str">
        <f>IFERROR(__xludf.DUMMYFUNCTION("IF(IF(L$1="""","""",REGEXMATCH(LOWER($E149),XLOOKUP(L$1,Metadata!$A$2:$A1000,Metadata!$B$2:$B1000))),L$1,"""")"),"")</f>
        <v/>
      </c>
      <c r="M149" s="33" t="str">
        <f>IFERROR(__xludf.DUMMYFUNCTION("IF(IF(M$1="""","""",REGEXMATCH(LOWER($E149),XLOOKUP(M$1,Metadata!$A$2:$A1000,Metadata!$B$2:$B1000))),M$1,"""")"),"")</f>
        <v/>
      </c>
      <c r="N149" s="33" t="str">
        <f>IFERROR(__xludf.DUMMYFUNCTION("IF(IF(N$1="""","""",REGEXMATCH(LOWER($E149),XLOOKUP(N$1,Metadata!$A$2:$A1000,Metadata!$B$2:$B1000))),N$1,"""")"),"")</f>
        <v/>
      </c>
      <c r="O149" s="33" t="str">
        <f>IFERROR(__xludf.DUMMYFUNCTION("IF(IF(O$1="""","""",REGEXMATCH(LOWER($E149),XLOOKUP(O$1,Metadata!$A$2:$A1000,Metadata!$B$2:$B1000))),O$1,"""")"),"")</f>
        <v/>
      </c>
      <c r="P149" s="33" t="str">
        <f>IFERROR(__xludf.DUMMYFUNCTION("IF(IF(P$1="""","""",REGEXMATCH(LOWER($E149),XLOOKUP(P$1,Metadata!$A$2:$A1000,Metadata!$B$2:$B1000))),P$1,"""")"),"")</f>
        <v/>
      </c>
      <c r="Q149" s="33" t="str">
        <f>IFERROR(__xludf.DUMMYFUNCTION("IF(IF(Q$1="""","""",REGEXMATCH(LOWER($E149),XLOOKUP(Q$1,Metadata!$A$2:$A1000,Metadata!$B$2:$B1000))),Q$1,"""")"),"")</f>
        <v/>
      </c>
      <c r="R149" s="33" t="str">
        <f>IFERROR(__xludf.DUMMYFUNCTION("IF(IF(R$1="""","""",REGEXMATCH(LOWER($E149),XLOOKUP(R$1,Metadata!$A$2:$A1000,Metadata!$B$2:$B1000))),R$1,"""")"),"")</f>
        <v/>
      </c>
      <c r="S149" s="33" t="str">
        <f>IFERROR(__xludf.DUMMYFUNCTION("IF(IF(S$1="""","""",REGEXMATCH(LOWER($E149),XLOOKUP(S$1,Metadata!$A$2:$A1000,Metadata!$B$2:$B1000))),S$1,"""")"),"")</f>
        <v/>
      </c>
      <c r="T149" s="33" t="str">
        <f>IFERROR(__xludf.DUMMYFUNCTION("IF(IF(T$1="""","""",REGEXMATCH(LOWER($E149),XLOOKUP(T$1,Metadata!$A$2:$A1000,Metadata!$B$2:$B1000))),T$1,"""")"),"")</f>
        <v/>
      </c>
      <c r="U149" s="33" t="str">
        <f>IFERROR(__xludf.DUMMYFUNCTION("IF(IF(U$1="""","""",REGEXMATCH(LOWER($E149),XLOOKUP(U$1,Metadata!$A$2:$A1000,Metadata!$B$2:$B1000))),U$1,"""")"),"Aggro")</f>
        <v>Aggro</v>
      </c>
      <c r="V149" s="33" t="str">
        <f>IFERROR(__xludf.DUMMYFUNCTION("IF(IF(V$1="""","""",REGEXMATCH(LOWER($E149),XLOOKUP(V$1,Metadata!$A$2:$A1000,Metadata!$B$2:$B1000))),V$1,"""")"),"")</f>
        <v/>
      </c>
      <c r="W149" s="33" t="str">
        <f>IFERROR(__xludf.DUMMYFUNCTION("IF(IF(W$1="""","""",REGEXMATCH(LOWER($E149),XLOOKUP(W$1,Metadata!$A$2:$A1000,Metadata!$B$2:$B1000))),W$1,"""")"),"")</f>
        <v/>
      </c>
      <c r="X149" s="33" t="str">
        <f>IFERROR(__xludf.DUMMYFUNCTION("IF(IF(X$1="""","""",REGEXMATCH(LOWER($E149),XLOOKUP(X$1,Metadata!$A$2:$A1000,Metadata!$B$2:$B1000))),X$1,"""")"),"")</f>
        <v/>
      </c>
      <c r="Y149" s="33" t="str">
        <f>IFERROR(__xludf.DUMMYFUNCTION("IF(IF(Y$1="""","""",REGEXMATCH(LOWER($E149),XLOOKUP(Y$1,Metadata!$A$2:$A1000,Metadata!$B$2:$B1000))),Y$1,"""")"),"")</f>
        <v/>
      </c>
      <c r="Z149" s="33" t="str">
        <f>IFERROR(__xludf.DUMMYFUNCTION("IF(IF(Z$1="""","""",REGEXMATCH(LOWER($E149),XLOOKUP(Z$1,Metadata!$A$2:$A1000,Metadata!$B$2:$B1000))),Z$1,"""")"),"")</f>
        <v/>
      </c>
      <c r="AA149" s="33" t="str">
        <f>IFERROR(__xludf.DUMMYFUNCTION("IF(AA$1="""","""",REGEXMATCH(LOWER($E149),XLOOKUP(AA$1,Metadata!$A$2:$A1000,Metadata!$B$2:$B1000)))"),"")</f>
        <v/>
      </c>
    </row>
    <row r="150">
      <c r="A150" s="33" t="str">
        <f>IFERROR(__xludf.DUMMYFUNCTION("""COMPUTED_VALUE"""),"Volcano Embodiment")</f>
        <v>Volcano Embodiment</v>
      </c>
      <c r="B150" s="33" t="str">
        <f t="array" ref="B150:I150">XLOOKUP($A150,Cards!$A$2:$A1000,Cards!$B$2:$I1000,"")</f>
        <v>Elemental</v>
      </c>
      <c r="C150" s="33">
        <v>1.0</v>
      </c>
      <c r="D150" s="33" t="s">
        <v>355</v>
      </c>
      <c r="E150" s="33"/>
      <c r="F150" s="33" t="s">
        <v>950</v>
      </c>
      <c r="G150" s="33">
        <v>5.0</v>
      </c>
      <c r="H150" s="33" t="s">
        <v>470</v>
      </c>
      <c r="I150" s="33" t="s">
        <v>26</v>
      </c>
      <c r="J150" s="33">
        <f>IFERROR(__xludf.DUMMYFUNCTION("LEN(REGEXREPLACE(XLOOKUP($A150,Cards!$A$2:$A1000,Cards!$H$2:$H1000,""""),"",\s"",""""))"),4.0)</f>
        <v>4</v>
      </c>
      <c r="K150" s="33" t="str">
        <f t="shared" si="1"/>
        <v>               </v>
      </c>
      <c r="L150" s="33" t="str">
        <f>IFERROR(__xludf.DUMMYFUNCTION("IF(IF(L$1="""","""",REGEXMATCH(LOWER($E150),XLOOKUP(L$1,Metadata!$A$2:$A1000,Metadata!$B$2:$B1000))),L$1,"""")"),"")</f>
        <v/>
      </c>
      <c r="M150" s="33" t="str">
        <f>IFERROR(__xludf.DUMMYFUNCTION("IF(IF(M$1="""","""",REGEXMATCH(LOWER($E150),XLOOKUP(M$1,Metadata!$A$2:$A1000,Metadata!$B$2:$B1000))),M$1,"""")"),"")</f>
        <v/>
      </c>
      <c r="N150" s="33" t="str">
        <f>IFERROR(__xludf.DUMMYFUNCTION("IF(IF(N$1="""","""",REGEXMATCH(LOWER($E150),XLOOKUP(N$1,Metadata!$A$2:$A1000,Metadata!$B$2:$B1000))),N$1,"""")"),"")</f>
        <v/>
      </c>
      <c r="O150" s="33" t="str">
        <f>IFERROR(__xludf.DUMMYFUNCTION("IF(IF(O$1="""","""",REGEXMATCH(LOWER($E150),XLOOKUP(O$1,Metadata!$A$2:$A1000,Metadata!$B$2:$B1000))),O$1,"""")"),"")</f>
        <v/>
      </c>
      <c r="P150" s="33" t="str">
        <f>IFERROR(__xludf.DUMMYFUNCTION("IF(IF(P$1="""","""",REGEXMATCH(LOWER($E150),XLOOKUP(P$1,Metadata!$A$2:$A1000,Metadata!$B$2:$B1000))),P$1,"""")"),"")</f>
        <v/>
      </c>
      <c r="Q150" s="33" t="str">
        <f>IFERROR(__xludf.DUMMYFUNCTION("IF(IF(Q$1="""","""",REGEXMATCH(LOWER($E150),XLOOKUP(Q$1,Metadata!$A$2:$A1000,Metadata!$B$2:$B1000))),Q$1,"""")"),"")</f>
        <v/>
      </c>
      <c r="R150" s="33" t="str">
        <f>IFERROR(__xludf.DUMMYFUNCTION("IF(IF(R$1="""","""",REGEXMATCH(LOWER($E150),XLOOKUP(R$1,Metadata!$A$2:$A1000,Metadata!$B$2:$B1000))),R$1,"""")"),"")</f>
        <v/>
      </c>
      <c r="S150" s="33" t="str">
        <f>IFERROR(__xludf.DUMMYFUNCTION("IF(IF(S$1="""","""",REGEXMATCH(LOWER($E150),XLOOKUP(S$1,Metadata!$A$2:$A1000,Metadata!$B$2:$B1000))),S$1,"""")"),"")</f>
        <v/>
      </c>
      <c r="T150" s="33" t="str">
        <f>IFERROR(__xludf.DUMMYFUNCTION("IF(IF(T$1="""","""",REGEXMATCH(LOWER($E150),XLOOKUP(T$1,Metadata!$A$2:$A1000,Metadata!$B$2:$B1000))),T$1,"""")"),"")</f>
        <v/>
      </c>
      <c r="U150" s="33" t="str">
        <f>IFERROR(__xludf.DUMMYFUNCTION("IF(IF(U$1="""","""",REGEXMATCH(LOWER($E150),XLOOKUP(U$1,Metadata!$A$2:$A1000,Metadata!$B$2:$B1000))),U$1,"""")"),"")</f>
        <v/>
      </c>
      <c r="V150" s="33" t="str">
        <f>IFERROR(__xludf.DUMMYFUNCTION("IF(IF(V$1="""","""",REGEXMATCH(LOWER($E150),XLOOKUP(V$1,Metadata!$A$2:$A1000,Metadata!$B$2:$B1000))),V$1,"""")"),"")</f>
        <v/>
      </c>
      <c r="W150" s="33" t="str">
        <f>IFERROR(__xludf.DUMMYFUNCTION("IF(IF(W$1="""","""",REGEXMATCH(LOWER($E150),XLOOKUP(W$1,Metadata!$A$2:$A1000,Metadata!$B$2:$B1000))),W$1,"""")"),"")</f>
        <v/>
      </c>
      <c r="X150" s="33" t="str">
        <f>IFERROR(__xludf.DUMMYFUNCTION("IF(IF(X$1="""","""",REGEXMATCH(LOWER($E150),XLOOKUP(X$1,Metadata!$A$2:$A1000,Metadata!$B$2:$B1000))),X$1,"""")"),"")</f>
        <v/>
      </c>
      <c r="Y150" s="33" t="str">
        <f>IFERROR(__xludf.DUMMYFUNCTION("IF(IF(Y$1="""","""",REGEXMATCH(LOWER($E150),XLOOKUP(Y$1,Metadata!$A$2:$A1000,Metadata!$B$2:$B1000))),Y$1,"""")"),"")</f>
        <v/>
      </c>
      <c r="Z150" s="33" t="str">
        <f>IFERROR(__xludf.DUMMYFUNCTION("IF(IF(Z$1="""","""",REGEXMATCH(LOWER($E150),XLOOKUP(Z$1,Metadata!$A$2:$A1000,Metadata!$B$2:$B1000))),Z$1,"""")"),"")</f>
        <v/>
      </c>
      <c r="AA150" s="33" t="str">
        <f>IFERROR(__xludf.DUMMYFUNCTION("IF(AA$1="""","""",REGEXMATCH(LOWER($E150),XLOOKUP(AA$1,Metadata!$A$2:$A1000,Metadata!$B$2:$B1000)))"),"")</f>
        <v/>
      </c>
    </row>
    <row r="151">
      <c r="A151" s="33" t="str">
        <f>IFERROR(__xludf.DUMMYFUNCTION("""COMPUTED_VALUE"""),"Shardhorde Leviathan")</f>
        <v>Shardhorde Leviathan</v>
      </c>
      <c r="B151" s="33" t="str">
        <f t="array" ref="B151:I151">XLOOKUP($A151,Cards!$A$2:$A1000,Cards!$B$2:$I1000,"")</f>
        <v>Elemental</v>
      </c>
      <c r="C151" s="33">
        <v>1.0</v>
      </c>
      <c r="D151" s="33" t="s">
        <v>380</v>
      </c>
      <c r="E151" s="33"/>
      <c r="F151" s="33" t="s">
        <v>963</v>
      </c>
      <c r="G151" s="33">
        <v>9.0</v>
      </c>
      <c r="H151" s="33" t="s">
        <v>964</v>
      </c>
      <c r="I151" s="33" t="s">
        <v>26</v>
      </c>
      <c r="J151" s="33">
        <f>IFERROR(__xludf.DUMMYFUNCTION("LEN(REGEXREPLACE(XLOOKUP($A151,Cards!$A$2:$A1000,Cards!$H$2:$H1000,""""),"",\s"",""""))"),7.0)</f>
        <v>7</v>
      </c>
      <c r="K151" s="33" t="str">
        <f t="shared" si="1"/>
        <v>               </v>
      </c>
      <c r="L151" s="33" t="str">
        <f>IFERROR(__xludf.DUMMYFUNCTION("IF(IF(L$1="""","""",REGEXMATCH(LOWER($E151),XLOOKUP(L$1,Metadata!$A$2:$A1000,Metadata!$B$2:$B1000))),L$1,"""")"),"")</f>
        <v/>
      </c>
      <c r="M151" s="33" t="str">
        <f>IFERROR(__xludf.DUMMYFUNCTION("IF(IF(M$1="""","""",REGEXMATCH(LOWER($E151),XLOOKUP(M$1,Metadata!$A$2:$A1000,Metadata!$B$2:$B1000))),M$1,"""")"),"")</f>
        <v/>
      </c>
      <c r="N151" s="33" t="str">
        <f>IFERROR(__xludf.DUMMYFUNCTION("IF(IF(N$1="""","""",REGEXMATCH(LOWER($E151),XLOOKUP(N$1,Metadata!$A$2:$A1000,Metadata!$B$2:$B1000))),N$1,"""")"),"")</f>
        <v/>
      </c>
      <c r="O151" s="33" t="str">
        <f>IFERROR(__xludf.DUMMYFUNCTION("IF(IF(O$1="""","""",REGEXMATCH(LOWER($E151),XLOOKUP(O$1,Metadata!$A$2:$A1000,Metadata!$B$2:$B1000))),O$1,"""")"),"")</f>
        <v/>
      </c>
      <c r="P151" s="33" t="str">
        <f>IFERROR(__xludf.DUMMYFUNCTION("IF(IF(P$1="""","""",REGEXMATCH(LOWER($E151),XLOOKUP(P$1,Metadata!$A$2:$A1000,Metadata!$B$2:$B1000))),P$1,"""")"),"")</f>
        <v/>
      </c>
      <c r="Q151" s="33" t="str">
        <f>IFERROR(__xludf.DUMMYFUNCTION("IF(IF(Q$1="""","""",REGEXMATCH(LOWER($E151),XLOOKUP(Q$1,Metadata!$A$2:$A1000,Metadata!$B$2:$B1000))),Q$1,"""")"),"")</f>
        <v/>
      </c>
      <c r="R151" s="33" t="str">
        <f>IFERROR(__xludf.DUMMYFUNCTION("IF(IF(R$1="""","""",REGEXMATCH(LOWER($E151),XLOOKUP(R$1,Metadata!$A$2:$A1000,Metadata!$B$2:$B1000))),R$1,"""")"),"")</f>
        <v/>
      </c>
      <c r="S151" s="33" t="str">
        <f>IFERROR(__xludf.DUMMYFUNCTION("IF(IF(S$1="""","""",REGEXMATCH(LOWER($E151),XLOOKUP(S$1,Metadata!$A$2:$A1000,Metadata!$B$2:$B1000))),S$1,"""")"),"")</f>
        <v/>
      </c>
      <c r="T151" s="33" t="str">
        <f>IFERROR(__xludf.DUMMYFUNCTION("IF(IF(T$1="""","""",REGEXMATCH(LOWER($E151),XLOOKUP(T$1,Metadata!$A$2:$A1000,Metadata!$B$2:$B1000))),T$1,"""")"),"")</f>
        <v/>
      </c>
      <c r="U151" s="33" t="str">
        <f>IFERROR(__xludf.DUMMYFUNCTION("IF(IF(U$1="""","""",REGEXMATCH(LOWER($E151),XLOOKUP(U$1,Metadata!$A$2:$A1000,Metadata!$B$2:$B1000))),U$1,"""")"),"")</f>
        <v/>
      </c>
      <c r="V151" s="33" t="str">
        <f>IFERROR(__xludf.DUMMYFUNCTION("IF(IF(V$1="""","""",REGEXMATCH(LOWER($E151),XLOOKUP(V$1,Metadata!$A$2:$A1000,Metadata!$B$2:$B1000))),V$1,"""")"),"")</f>
        <v/>
      </c>
      <c r="W151" s="33" t="str">
        <f>IFERROR(__xludf.DUMMYFUNCTION("IF(IF(W$1="""","""",REGEXMATCH(LOWER($E151),XLOOKUP(W$1,Metadata!$A$2:$A1000,Metadata!$B$2:$B1000))),W$1,"""")"),"")</f>
        <v/>
      </c>
      <c r="X151" s="33" t="str">
        <f>IFERROR(__xludf.DUMMYFUNCTION("IF(IF(X$1="""","""",REGEXMATCH(LOWER($E151),XLOOKUP(X$1,Metadata!$A$2:$A1000,Metadata!$B$2:$B1000))),X$1,"""")"),"")</f>
        <v/>
      </c>
      <c r="Y151" s="33" t="str">
        <f>IFERROR(__xludf.DUMMYFUNCTION("IF(IF(Y$1="""","""",REGEXMATCH(LOWER($E151),XLOOKUP(Y$1,Metadata!$A$2:$A1000,Metadata!$B$2:$B1000))),Y$1,"""")"),"")</f>
        <v/>
      </c>
      <c r="Z151" s="33" t="str">
        <f>IFERROR(__xludf.DUMMYFUNCTION("IF(IF(Z$1="""","""",REGEXMATCH(LOWER($E151),XLOOKUP(Z$1,Metadata!$A$2:$A1000,Metadata!$B$2:$B1000))),Z$1,"""")"),"")</f>
        <v/>
      </c>
      <c r="AA151" s="33" t="str">
        <f>IFERROR(__xludf.DUMMYFUNCTION("IF(AA$1="""","""",REGEXMATCH(LOWER($E151),XLOOKUP(AA$1,Metadata!$A$2:$A1000,Metadata!$B$2:$B1000)))"),"")</f>
        <v/>
      </c>
    </row>
    <row r="152">
      <c r="A152" s="33" t="str">
        <f>IFERROR(__xludf.DUMMYFUNCTION("""COMPUTED_VALUE"""),"Tectonic Shifter")</f>
        <v>Tectonic Shifter</v>
      </c>
      <c r="B152" s="33" t="str">
        <f t="array" ref="B152:I152">XLOOKUP($A152,Cards!$A$2:$A1000,Cards!$B$2:$I1000,"")</f>
        <v>Elemental</v>
      </c>
      <c r="C152" s="33">
        <v>1.0</v>
      </c>
      <c r="D152" s="33" t="s">
        <v>977</v>
      </c>
      <c r="E152" s="33" t="s">
        <v>978</v>
      </c>
      <c r="F152" s="33" t="s">
        <v>104</v>
      </c>
      <c r="G152" s="33">
        <v>3.0</v>
      </c>
      <c r="H152" s="33" t="s">
        <v>474</v>
      </c>
      <c r="I152" s="33" t="s">
        <v>32</v>
      </c>
      <c r="J152" s="33">
        <f>IFERROR(__xludf.DUMMYFUNCTION("LEN(REGEXREPLACE(XLOOKUP($A152,Cards!$A$2:$A1000,Cards!$H$2:$H1000,""""),"",\s"",""""))"),5.0)</f>
        <v>5</v>
      </c>
      <c r="K152" s="33" t="str">
        <f t="shared" si="1"/>
        <v>               </v>
      </c>
      <c r="L152" s="33" t="str">
        <f>IFERROR(__xludf.DUMMYFUNCTION("IF(IF(L$1="""","""",REGEXMATCH(LOWER($E152),XLOOKUP(L$1,Metadata!$A$2:$A1000,Metadata!$B$2:$B1000))),L$1,"""")"),"")</f>
        <v/>
      </c>
      <c r="M152" s="33" t="str">
        <f>IFERROR(__xludf.DUMMYFUNCTION("IF(IF(M$1="""","""",REGEXMATCH(LOWER($E152),XLOOKUP(M$1,Metadata!$A$2:$A1000,Metadata!$B$2:$B1000))),M$1,"""")"),"")</f>
        <v/>
      </c>
      <c r="N152" s="33" t="str">
        <f>IFERROR(__xludf.DUMMYFUNCTION("IF(IF(N$1="""","""",REGEXMATCH(LOWER($E152),XLOOKUP(N$1,Metadata!$A$2:$A1000,Metadata!$B$2:$B1000))),N$1,"""")"),"")</f>
        <v/>
      </c>
      <c r="O152" s="33" t="str">
        <f>IFERROR(__xludf.DUMMYFUNCTION("IF(IF(O$1="""","""",REGEXMATCH(LOWER($E152),XLOOKUP(O$1,Metadata!$A$2:$A1000,Metadata!$B$2:$B1000))),O$1,"""")"),"")</f>
        <v/>
      </c>
      <c r="P152" s="33" t="str">
        <f>IFERROR(__xludf.DUMMYFUNCTION("IF(IF(P$1="""","""",REGEXMATCH(LOWER($E152),XLOOKUP(P$1,Metadata!$A$2:$A1000,Metadata!$B$2:$B1000))),P$1,"""")"),"")</f>
        <v/>
      </c>
      <c r="Q152" s="33" t="str">
        <f>IFERROR(__xludf.DUMMYFUNCTION("IF(IF(Q$1="""","""",REGEXMATCH(LOWER($E152),XLOOKUP(Q$1,Metadata!$A$2:$A1000,Metadata!$B$2:$B1000))),Q$1,"""")"),"")</f>
        <v/>
      </c>
      <c r="R152" s="33" t="str">
        <f>IFERROR(__xludf.DUMMYFUNCTION("IF(IF(R$1="""","""",REGEXMATCH(LOWER($E152),XLOOKUP(R$1,Metadata!$A$2:$A1000,Metadata!$B$2:$B1000))),R$1,"""")"),"")</f>
        <v/>
      </c>
      <c r="S152" s="33" t="str">
        <f>IFERROR(__xludf.DUMMYFUNCTION("IF(IF(S$1="""","""",REGEXMATCH(LOWER($E152),XLOOKUP(S$1,Metadata!$A$2:$A1000,Metadata!$B$2:$B1000))),S$1,"""")"),"")</f>
        <v/>
      </c>
      <c r="T152" s="33" t="str">
        <f>IFERROR(__xludf.DUMMYFUNCTION("IF(IF(T$1="""","""",REGEXMATCH(LOWER($E152),XLOOKUP(T$1,Metadata!$A$2:$A1000,Metadata!$B$2:$B1000))),T$1,"""")"),"")</f>
        <v/>
      </c>
      <c r="U152" s="33" t="str">
        <f>IFERROR(__xludf.DUMMYFUNCTION("IF(IF(U$1="""","""",REGEXMATCH(LOWER($E152),XLOOKUP(U$1,Metadata!$A$2:$A1000,Metadata!$B$2:$B1000))),U$1,"""")"),"")</f>
        <v/>
      </c>
      <c r="V152" s="33" t="str">
        <f>IFERROR(__xludf.DUMMYFUNCTION("IF(IF(V$1="""","""",REGEXMATCH(LOWER($E152),XLOOKUP(V$1,Metadata!$A$2:$A1000,Metadata!$B$2:$B1000))),V$1,"""")"),"")</f>
        <v/>
      </c>
      <c r="W152" s="33" t="str">
        <f>IFERROR(__xludf.DUMMYFUNCTION("IF(IF(W$1="""","""",REGEXMATCH(LOWER($E152),XLOOKUP(W$1,Metadata!$A$2:$A1000,Metadata!$B$2:$B1000))),W$1,"""")"),"")</f>
        <v/>
      </c>
      <c r="X152" s="33" t="str">
        <f>IFERROR(__xludf.DUMMYFUNCTION("IF(IF(X$1="""","""",REGEXMATCH(LOWER($E152),XLOOKUP(X$1,Metadata!$A$2:$A1000,Metadata!$B$2:$B1000))),X$1,"""")"),"")</f>
        <v/>
      </c>
      <c r="Y152" s="33" t="str">
        <f>IFERROR(__xludf.DUMMYFUNCTION("IF(IF(Y$1="""","""",REGEXMATCH(LOWER($E152),XLOOKUP(Y$1,Metadata!$A$2:$A1000,Metadata!$B$2:$B1000))),Y$1,"""")"),"")</f>
        <v/>
      </c>
      <c r="Z152" s="33" t="str">
        <f>IFERROR(__xludf.DUMMYFUNCTION("IF(IF(Z$1="""","""",REGEXMATCH(LOWER($E152),XLOOKUP(Z$1,Metadata!$A$2:$A1000,Metadata!$B$2:$B1000))),Z$1,"""")"),"")</f>
        <v/>
      </c>
      <c r="AA152" s="33" t="str">
        <f>IFERROR(__xludf.DUMMYFUNCTION("IF(AA$1="""","""",REGEXMATCH(LOWER($E152),XLOOKUP(AA$1,Metadata!$A$2:$A1000,Metadata!$B$2:$B1000)))"),"")</f>
        <v/>
      </c>
    </row>
    <row r="153">
      <c r="A153" s="33" t="str">
        <f>IFERROR(__xludf.DUMMYFUNCTION("""COMPUTED_VALUE"""),"Bastion Architect")</f>
        <v>Bastion Architect</v>
      </c>
      <c r="B153" s="33" t="str">
        <f t="array" ref="B153:I153">XLOOKUP($A153,Cards!$A$2:$A1000,Cards!$B$2:$I1000,"")</f>
        <v>Mortal</v>
      </c>
      <c r="C153" s="33">
        <v>2.0</v>
      </c>
      <c r="D153" s="33" t="s">
        <v>37</v>
      </c>
      <c r="E153" s="33" t="s">
        <v>987</v>
      </c>
      <c r="F153" s="33" t="s">
        <v>988</v>
      </c>
      <c r="G153" s="33">
        <v>2.0</v>
      </c>
      <c r="H153" s="33" t="s">
        <v>989</v>
      </c>
      <c r="I153" s="33" t="s">
        <v>62</v>
      </c>
      <c r="J153" s="33">
        <f>IFERROR(__xludf.DUMMYFUNCTION("LEN(REGEXREPLACE(XLOOKUP($A153,Cards!$A$2:$A1000,Cards!$H$2:$H1000,""""),"",\s"",""""))"),3.0)</f>
        <v>3</v>
      </c>
      <c r="K153" s="33" t="str">
        <f t="shared" si="1"/>
        <v>               </v>
      </c>
      <c r="L153" s="33" t="str">
        <f>IFERROR(__xludf.DUMMYFUNCTION("IF(IF(L$1="""","""",REGEXMATCH(LOWER($E153),XLOOKUP(L$1,Metadata!$A$2:$A1000,Metadata!$B$2:$B1000))),L$1,"""")"),"")</f>
        <v/>
      </c>
      <c r="M153" s="33" t="str">
        <f>IFERROR(__xludf.DUMMYFUNCTION("IF(IF(M$1="""","""",REGEXMATCH(LOWER($E153),XLOOKUP(M$1,Metadata!$A$2:$A1000,Metadata!$B$2:$B1000))),M$1,"""")"),"")</f>
        <v/>
      </c>
      <c r="N153" s="33" t="str">
        <f>IFERROR(__xludf.DUMMYFUNCTION("IF(IF(N$1="""","""",REGEXMATCH(LOWER($E153),XLOOKUP(N$1,Metadata!$A$2:$A1000,Metadata!$B$2:$B1000))),N$1,"""")"),"")</f>
        <v/>
      </c>
      <c r="O153" s="33" t="str">
        <f>IFERROR(__xludf.DUMMYFUNCTION("IF(IF(O$1="""","""",REGEXMATCH(LOWER($E153),XLOOKUP(O$1,Metadata!$A$2:$A1000,Metadata!$B$2:$B1000))),O$1,"""")"),"")</f>
        <v/>
      </c>
      <c r="P153" s="33" t="str">
        <f>IFERROR(__xludf.DUMMYFUNCTION("IF(IF(P$1="""","""",REGEXMATCH(LOWER($E153),XLOOKUP(P$1,Metadata!$A$2:$A1000,Metadata!$B$2:$B1000))),P$1,"""")"),"")</f>
        <v/>
      </c>
      <c r="Q153" s="33" t="str">
        <f>IFERROR(__xludf.DUMMYFUNCTION("IF(IF(Q$1="""","""",REGEXMATCH(LOWER($E153),XLOOKUP(Q$1,Metadata!$A$2:$A1000,Metadata!$B$2:$B1000))),Q$1,"""")"),"")</f>
        <v/>
      </c>
      <c r="R153" s="33" t="str">
        <f>IFERROR(__xludf.DUMMYFUNCTION("IF(IF(R$1="""","""",REGEXMATCH(LOWER($E153),XLOOKUP(R$1,Metadata!$A$2:$A1000,Metadata!$B$2:$B1000))),R$1,"""")"),"")</f>
        <v/>
      </c>
      <c r="S153" s="33" t="str">
        <f>IFERROR(__xludf.DUMMYFUNCTION("IF(IF(S$1="""","""",REGEXMATCH(LOWER($E153),XLOOKUP(S$1,Metadata!$A$2:$A1000,Metadata!$B$2:$B1000))),S$1,"""")"),"")</f>
        <v/>
      </c>
      <c r="T153" s="33" t="str">
        <f>IFERROR(__xludf.DUMMYFUNCTION("IF(IF(T$1="""","""",REGEXMATCH(LOWER($E153),XLOOKUP(T$1,Metadata!$A$2:$A1000,Metadata!$B$2:$B1000))),T$1,"""")"),"")</f>
        <v/>
      </c>
      <c r="U153" s="33" t="str">
        <f>IFERROR(__xludf.DUMMYFUNCTION("IF(IF(U$1="""","""",REGEXMATCH(LOWER($E153),XLOOKUP(U$1,Metadata!$A$2:$A1000,Metadata!$B$2:$B1000))),U$1,"""")"),"")</f>
        <v/>
      </c>
      <c r="V153" s="33" t="str">
        <f>IFERROR(__xludf.DUMMYFUNCTION("IF(IF(V$1="""","""",REGEXMATCH(LOWER($E153),XLOOKUP(V$1,Metadata!$A$2:$A1000,Metadata!$B$2:$B1000))),V$1,"""")"),"")</f>
        <v/>
      </c>
      <c r="W153" s="33" t="str">
        <f>IFERROR(__xludf.DUMMYFUNCTION("IF(IF(W$1="""","""",REGEXMATCH(LOWER($E153),XLOOKUP(W$1,Metadata!$A$2:$A1000,Metadata!$B$2:$B1000))),W$1,"""")"),"")</f>
        <v/>
      </c>
      <c r="X153" s="33" t="str">
        <f>IFERROR(__xludf.DUMMYFUNCTION("IF(IF(X$1="""","""",REGEXMATCH(LOWER($E153),XLOOKUP(X$1,Metadata!$A$2:$A1000,Metadata!$B$2:$B1000))),X$1,"""")"),"")</f>
        <v/>
      </c>
      <c r="Y153" s="33" t="str">
        <f>IFERROR(__xludf.DUMMYFUNCTION("IF(IF(Y$1="""","""",REGEXMATCH(LOWER($E153),XLOOKUP(Y$1,Metadata!$A$2:$A1000,Metadata!$B$2:$B1000))),Y$1,"""")"),"")</f>
        <v/>
      </c>
      <c r="Z153" s="33" t="str">
        <f>IFERROR(__xludf.DUMMYFUNCTION("IF(IF(Z$1="""","""",REGEXMATCH(LOWER($E153),XLOOKUP(Z$1,Metadata!$A$2:$A1000,Metadata!$B$2:$B1000))),Z$1,"""")"),"")</f>
        <v/>
      </c>
      <c r="AA153" s="33" t="str">
        <f>IFERROR(__xludf.DUMMYFUNCTION("IF(AA$1="""","""",REGEXMATCH(LOWER($E153),XLOOKUP(AA$1,Metadata!$A$2:$A1000,Metadata!$B$2:$B1000)))"),"")</f>
        <v/>
      </c>
    </row>
    <row r="154">
      <c r="A154" s="33" t="str">
        <f>IFERROR(__xludf.DUMMYFUNCTION("""COMPUTED_VALUE"""),"Drägen")</f>
        <v>Drägen</v>
      </c>
      <c r="B154" s="33" t="str">
        <f t="array" ref="B154:I154">XLOOKUP($A154,Cards!$A$2:$A1000,Cards!$B$2:$I1000,"")</f>
        <v>Elemental</v>
      </c>
      <c r="C154" s="33">
        <v>1.0</v>
      </c>
      <c r="D154" s="33" t="s">
        <v>380</v>
      </c>
      <c r="E154" s="33" t="s">
        <v>991</v>
      </c>
      <c r="F154" s="33"/>
      <c r="G154" s="33"/>
      <c r="H154" s="33"/>
      <c r="I154" s="33" t="s">
        <v>32</v>
      </c>
      <c r="J154" s="33">
        <f>IFERROR(__xludf.DUMMYFUNCTION("LEN(REGEXREPLACE(XLOOKUP($A154,Cards!$A$2:$A1000,Cards!$H$2:$H1000,""""),"",\s"",""""))"),0.0)</f>
        <v>0</v>
      </c>
      <c r="K154" s="33" t="str">
        <f t="shared" si="1"/>
        <v>               </v>
      </c>
      <c r="L154" s="33" t="str">
        <f>IFERROR(__xludf.DUMMYFUNCTION("IF(IF(L$1="""","""",REGEXMATCH(LOWER($E154),XLOOKUP(L$1,Metadata!$A$2:$A1000,Metadata!$B$2:$B1000))),L$1,"""")"),"")</f>
        <v/>
      </c>
      <c r="M154" s="33" t="str">
        <f>IFERROR(__xludf.DUMMYFUNCTION("IF(IF(M$1="""","""",REGEXMATCH(LOWER($E154),XLOOKUP(M$1,Metadata!$A$2:$A1000,Metadata!$B$2:$B1000))),M$1,"""")"),"")</f>
        <v/>
      </c>
      <c r="N154" s="33" t="str">
        <f>IFERROR(__xludf.DUMMYFUNCTION("IF(IF(N$1="""","""",REGEXMATCH(LOWER($E154),XLOOKUP(N$1,Metadata!$A$2:$A1000,Metadata!$B$2:$B1000))),N$1,"""")"),"")</f>
        <v/>
      </c>
      <c r="O154" s="33" t="str">
        <f>IFERROR(__xludf.DUMMYFUNCTION("IF(IF(O$1="""","""",REGEXMATCH(LOWER($E154),XLOOKUP(O$1,Metadata!$A$2:$A1000,Metadata!$B$2:$B1000))),O$1,"""")"),"")</f>
        <v/>
      </c>
      <c r="P154" s="33" t="str">
        <f>IFERROR(__xludf.DUMMYFUNCTION("IF(IF(P$1="""","""",REGEXMATCH(LOWER($E154),XLOOKUP(P$1,Metadata!$A$2:$A1000,Metadata!$B$2:$B1000))),P$1,"""")"),"")</f>
        <v/>
      </c>
      <c r="Q154" s="33" t="str">
        <f>IFERROR(__xludf.DUMMYFUNCTION("IF(IF(Q$1="""","""",REGEXMATCH(LOWER($E154),XLOOKUP(Q$1,Metadata!$A$2:$A1000,Metadata!$B$2:$B1000))),Q$1,"""")"),"")</f>
        <v/>
      </c>
      <c r="R154" s="33" t="str">
        <f>IFERROR(__xludf.DUMMYFUNCTION("IF(IF(R$1="""","""",REGEXMATCH(LOWER($E154),XLOOKUP(R$1,Metadata!$A$2:$A1000,Metadata!$B$2:$B1000))),R$1,"""")"),"")</f>
        <v/>
      </c>
      <c r="S154" s="33" t="str">
        <f>IFERROR(__xludf.DUMMYFUNCTION("IF(IF(S$1="""","""",REGEXMATCH(LOWER($E154),XLOOKUP(S$1,Metadata!$A$2:$A1000,Metadata!$B$2:$B1000))),S$1,"""")"),"")</f>
        <v/>
      </c>
      <c r="T154" s="33" t="str">
        <f>IFERROR(__xludf.DUMMYFUNCTION("IF(IF(T$1="""","""",REGEXMATCH(LOWER($E154),XLOOKUP(T$1,Metadata!$A$2:$A1000,Metadata!$B$2:$B1000))),T$1,"""")"),"")</f>
        <v/>
      </c>
      <c r="U154" s="33" t="str">
        <f>IFERROR(__xludf.DUMMYFUNCTION("IF(IF(U$1="""","""",REGEXMATCH(LOWER($E154),XLOOKUP(U$1,Metadata!$A$2:$A1000,Metadata!$B$2:$B1000))),U$1,"""")"),"")</f>
        <v/>
      </c>
      <c r="V154" s="33" t="str">
        <f>IFERROR(__xludf.DUMMYFUNCTION("IF(IF(V$1="""","""",REGEXMATCH(LOWER($E154),XLOOKUP(V$1,Metadata!$A$2:$A1000,Metadata!$B$2:$B1000))),V$1,"""")"),"")</f>
        <v/>
      </c>
      <c r="W154" s="33" t="str">
        <f>IFERROR(__xludf.DUMMYFUNCTION("IF(IF(W$1="""","""",REGEXMATCH(LOWER($E154),XLOOKUP(W$1,Metadata!$A$2:$A1000,Metadata!$B$2:$B1000))),W$1,"""")"),"")</f>
        <v/>
      </c>
      <c r="X154" s="33" t="str">
        <f>IFERROR(__xludf.DUMMYFUNCTION("IF(IF(X$1="""","""",REGEXMATCH(LOWER($E154),XLOOKUP(X$1,Metadata!$A$2:$A1000,Metadata!$B$2:$B1000))),X$1,"""")"),"")</f>
        <v/>
      </c>
      <c r="Y154" s="33" t="str">
        <f>IFERROR(__xludf.DUMMYFUNCTION("IF(IF(Y$1="""","""",REGEXMATCH(LOWER($E154),XLOOKUP(Y$1,Metadata!$A$2:$A1000,Metadata!$B$2:$B1000))),Y$1,"""")"),"")</f>
        <v/>
      </c>
      <c r="Z154" s="33" t="str">
        <f>IFERROR(__xludf.DUMMYFUNCTION("IF(IF(Z$1="""","""",REGEXMATCH(LOWER($E154),XLOOKUP(Z$1,Metadata!$A$2:$A1000,Metadata!$B$2:$B1000))),Z$1,"""")"),"")</f>
        <v/>
      </c>
      <c r="AA154" s="33" t="str">
        <f>IFERROR(__xludf.DUMMYFUNCTION("IF(AA$1="""","""",REGEXMATCH(LOWER($E154),XLOOKUP(AA$1,Metadata!$A$2:$A1000,Metadata!$B$2:$B1000)))"),"")</f>
        <v/>
      </c>
    </row>
    <row r="155">
      <c r="A155" s="33" t="str">
        <f>IFERROR(__xludf.DUMMYFUNCTION("""COMPUTED_VALUE"""),"Mega Ultra Chicken")</f>
        <v>Mega Ultra Chicken</v>
      </c>
      <c r="B155" s="33" t="str">
        <f t="array" ref="B155:I155">XLOOKUP($A155,Cards!$A$2:$A1000,Cards!$B$2:$I1000,"")</f>
        <v>Elemental</v>
      </c>
      <c r="C155" s="33">
        <v>1.0</v>
      </c>
      <c r="D155" s="33" t="s">
        <v>380</v>
      </c>
      <c r="E155" s="33"/>
      <c r="F155" s="33"/>
      <c r="G155" s="33"/>
      <c r="H155" s="33"/>
      <c r="I155" s="33" t="s">
        <v>32</v>
      </c>
      <c r="J155" s="33">
        <f>IFERROR(__xludf.DUMMYFUNCTION("LEN(REGEXREPLACE(XLOOKUP($A155,Cards!$A$2:$A1000,Cards!$H$2:$H1000,""""),"",\s"",""""))"),0.0)</f>
        <v>0</v>
      </c>
      <c r="K155" s="33" t="str">
        <f t="shared" si="1"/>
        <v>               </v>
      </c>
      <c r="L155" s="33" t="str">
        <f>IFERROR(__xludf.DUMMYFUNCTION("IF(IF(L$1="""","""",REGEXMATCH(LOWER($E155),XLOOKUP(L$1,Metadata!$A$2:$A1000,Metadata!$B$2:$B1000))),L$1,"""")"),"")</f>
        <v/>
      </c>
      <c r="M155" s="33" t="str">
        <f>IFERROR(__xludf.DUMMYFUNCTION("IF(IF(M$1="""","""",REGEXMATCH(LOWER($E155),XLOOKUP(M$1,Metadata!$A$2:$A1000,Metadata!$B$2:$B1000))),M$1,"""")"),"")</f>
        <v/>
      </c>
      <c r="N155" s="33" t="str">
        <f>IFERROR(__xludf.DUMMYFUNCTION("IF(IF(N$1="""","""",REGEXMATCH(LOWER($E155),XLOOKUP(N$1,Metadata!$A$2:$A1000,Metadata!$B$2:$B1000))),N$1,"""")"),"")</f>
        <v/>
      </c>
      <c r="O155" s="33" t="str">
        <f>IFERROR(__xludf.DUMMYFUNCTION("IF(IF(O$1="""","""",REGEXMATCH(LOWER($E155),XLOOKUP(O$1,Metadata!$A$2:$A1000,Metadata!$B$2:$B1000))),O$1,"""")"),"")</f>
        <v/>
      </c>
      <c r="P155" s="33" t="str">
        <f>IFERROR(__xludf.DUMMYFUNCTION("IF(IF(P$1="""","""",REGEXMATCH(LOWER($E155),XLOOKUP(P$1,Metadata!$A$2:$A1000,Metadata!$B$2:$B1000))),P$1,"""")"),"")</f>
        <v/>
      </c>
      <c r="Q155" s="33" t="str">
        <f>IFERROR(__xludf.DUMMYFUNCTION("IF(IF(Q$1="""","""",REGEXMATCH(LOWER($E155),XLOOKUP(Q$1,Metadata!$A$2:$A1000,Metadata!$B$2:$B1000))),Q$1,"""")"),"")</f>
        <v/>
      </c>
      <c r="R155" s="33" t="str">
        <f>IFERROR(__xludf.DUMMYFUNCTION("IF(IF(R$1="""","""",REGEXMATCH(LOWER($E155),XLOOKUP(R$1,Metadata!$A$2:$A1000,Metadata!$B$2:$B1000))),R$1,"""")"),"")</f>
        <v/>
      </c>
      <c r="S155" s="33" t="str">
        <f>IFERROR(__xludf.DUMMYFUNCTION("IF(IF(S$1="""","""",REGEXMATCH(LOWER($E155),XLOOKUP(S$1,Metadata!$A$2:$A1000,Metadata!$B$2:$B1000))),S$1,"""")"),"")</f>
        <v/>
      </c>
      <c r="T155" s="33" t="str">
        <f>IFERROR(__xludf.DUMMYFUNCTION("IF(IF(T$1="""","""",REGEXMATCH(LOWER($E155),XLOOKUP(T$1,Metadata!$A$2:$A1000,Metadata!$B$2:$B1000))),T$1,"""")"),"")</f>
        <v/>
      </c>
      <c r="U155" s="33" t="str">
        <f>IFERROR(__xludf.DUMMYFUNCTION("IF(IF(U$1="""","""",REGEXMATCH(LOWER($E155),XLOOKUP(U$1,Metadata!$A$2:$A1000,Metadata!$B$2:$B1000))),U$1,"""")"),"")</f>
        <v/>
      </c>
      <c r="V155" s="33" t="str">
        <f>IFERROR(__xludf.DUMMYFUNCTION("IF(IF(V$1="""","""",REGEXMATCH(LOWER($E155),XLOOKUP(V$1,Metadata!$A$2:$A1000,Metadata!$B$2:$B1000))),V$1,"""")"),"")</f>
        <v/>
      </c>
      <c r="W155" s="33" t="str">
        <f>IFERROR(__xludf.DUMMYFUNCTION("IF(IF(W$1="""","""",REGEXMATCH(LOWER($E155),XLOOKUP(W$1,Metadata!$A$2:$A1000,Metadata!$B$2:$B1000))),W$1,"""")"),"")</f>
        <v/>
      </c>
      <c r="X155" s="33" t="str">
        <f>IFERROR(__xludf.DUMMYFUNCTION("IF(IF(X$1="""","""",REGEXMATCH(LOWER($E155),XLOOKUP(X$1,Metadata!$A$2:$A1000,Metadata!$B$2:$B1000))),X$1,"""")"),"")</f>
        <v/>
      </c>
      <c r="Y155" s="33" t="str">
        <f>IFERROR(__xludf.DUMMYFUNCTION("IF(IF(Y$1="""","""",REGEXMATCH(LOWER($E155),XLOOKUP(Y$1,Metadata!$A$2:$A1000,Metadata!$B$2:$B1000))),Y$1,"""")"),"")</f>
        <v/>
      </c>
      <c r="Z155" s="33" t="str">
        <f>IFERROR(__xludf.DUMMYFUNCTION("IF(IF(Z$1="""","""",REGEXMATCH(LOWER($E155),XLOOKUP(Z$1,Metadata!$A$2:$A1000,Metadata!$B$2:$B1000))),Z$1,"""")"),"")</f>
        <v/>
      </c>
      <c r="AA155" s="33" t="str">
        <f>IFERROR(__xludf.DUMMYFUNCTION("IF(AA$1="""","""",REGEXMATCH(LOWER($E155),XLOOKUP(AA$1,Metadata!$A$2:$A1000,Metadata!$B$2:$B1000)))"),"")</f>
        <v/>
      </c>
    </row>
    <row r="156">
      <c r="A156" s="33" t="str">
        <f>IFERROR(__xludf.DUMMYFUNCTION("""COMPUTED_VALUE"""),"Blue Crusader")</f>
        <v>Blue Crusader</v>
      </c>
      <c r="B156" s="33" t="str">
        <f t="array" ref="B156:I156">XLOOKUP($A156,Cards!$A$2:$A1000,Cards!$B$2:$I1000,"")</f>
        <v>Mortal</v>
      </c>
      <c r="C156" s="33">
        <v>2.0</v>
      </c>
      <c r="D156" s="33" t="s">
        <v>644</v>
      </c>
      <c r="E156" s="33" t="s">
        <v>994</v>
      </c>
      <c r="F156" s="33" t="s">
        <v>645</v>
      </c>
      <c r="G156" s="33">
        <v>2.0</v>
      </c>
      <c r="H156" s="33" t="s">
        <v>995</v>
      </c>
      <c r="I156" s="33" t="s">
        <v>26</v>
      </c>
      <c r="J156" s="33">
        <f>IFERROR(__xludf.DUMMYFUNCTION("LEN(REGEXREPLACE(XLOOKUP($A156,Cards!$A$2:$A1000,Cards!$H$2:$H1000,""""),"",\s"",""""))"),2.0)</f>
        <v>2</v>
      </c>
      <c r="K156" s="33" t="str">
        <f t="shared" si="1"/>
        <v>  Mortal             </v>
      </c>
      <c r="L156" s="33" t="str">
        <f>IFERROR(__xludf.DUMMYFUNCTION("IF(IF(L$1="""","""",REGEXMATCH(LOWER($E156),XLOOKUP(L$1,Metadata!$A$2:$A1000,Metadata!$B$2:$B1000))),L$1,"""")"),"")</f>
        <v/>
      </c>
      <c r="M156" s="33" t="str">
        <f>IFERROR(__xludf.DUMMYFUNCTION("IF(IF(M$1="""","""",REGEXMATCH(LOWER($E156),XLOOKUP(M$1,Metadata!$A$2:$A1000,Metadata!$B$2:$B1000))),M$1,"""")"),"")</f>
        <v/>
      </c>
      <c r="N156" s="33" t="str">
        <f>IFERROR(__xludf.DUMMYFUNCTION("IF(IF(N$1="""","""",REGEXMATCH(LOWER($E156),XLOOKUP(N$1,Metadata!$A$2:$A1000,Metadata!$B$2:$B1000))),N$1,"""")"),"Mortal")</f>
        <v>Mortal</v>
      </c>
      <c r="O156" s="33" t="str">
        <f>IFERROR(__xludf.DUMMYFUNCTION("IF(IF(O$1="""","""",REGEXMATCH(LOWER($E156),XLOOKUP(O$1,Metadata!$A$2:$A1000,Metadata!$B$2:$B1000))),O$1,"""")"),"")</f>
        <v/>
      </c>
      <c r="P156" s="33" t="str">
        <f>IFERROR(__xludf.DUMMYFUNCTION("IF(IF(P$1="""","""",REGEXMATCH(LOWER($E156),XLOOKUP(P$1,Metadata!$A$2:$A1000,Metadata!$B$2:$B1000))),P$1,"""")"),"")</f>
        <v/>
      </c>
      <c r="Q156" s="33" t="str">
        <f>IFERROR(__xludf.DUMMYFUNCTION("IF(IF(Q$1="""","""",REGEXMATCH(LOWER($E156),XLOOKUP(Q$1,Metadata!$A$2:$A1000,Metadata!$B$2:$B1000))),Q$1,"""")"),"")</f>
        <v/>
      </c>
      <c r="R156" s="33" t="str">
        <f>IFERROR(__xludf.DUMMYFUNCTION("IF(IF(R$1="""","""",REGEXMATCH(LOWER($E156),XLOOKUP(R$1,Metadata!$A$2:$A1000,Metadata!$B$2:$B1000))),R$1,"""")"),"")</f>
        <v/>
      </c>
      <c r="S156" s="33" t="str">
        <f>IFERROR(__xludf.DUMMYFUNCTION("IF(IF(S$1="""","""",REGEXMATCH(LOWER($E156),XLOOKUP(S$1,Metadata!$A$2:$A1000,Metadata!$B$2:$B1000))),S$1,"""")"),"")</f>
        <v/>
      </c>
      <c r="T156" s="33" t="str">
        <f>IFERROR(__xludf.DUMMYFUNCTION("IF(IF(T$1="""","""",REGEXMATCH(LOWER($E156),XLOOKUP(T$1,Metadata!$A$2:$A1000,Metadata!$B$2:$B1000))),T$1,"""")"),"")</f>
        <v/>
      </c>
      <c r="U156" s="33" t="str">
        <f>IFERROR(__xludf.DUMMYFUNCTION("IF(IF(U$1="""","""",REGEXMATCH(LOWER($E156),XLOOKUP(U$1,Metadata!$A$2:$A1000,Metadata!$B$2:$B1000))),U$1,"""")"),"")</f>
        <v/>
      </c>
      <c r="V156" s="33" t="str">
        <f>IFERROR(__xludf.DUMMYFUNCTION("IF(IF(V$1="""","""",REGEXMATCH(LOWER($E156),XLOOKUP(V$1,Metadata!$A$2:$A1000,Metadata!$B$2:$B1000))),V$1,"""")"),"")</f>
        <v/>
      </c>
      <c r="W156" s="33" t="str">
        <f>IFERROR(__xludf.DUMMYFUNCTION("IF(IF(W$1="""","""",REGEXMATCH(LOWER($E156),XLOOKUP(W$1,Metadata!$A$2:$A1000,Metadata!$B$2:$B1000))),W$1,"""")"),"")</f>
        <v/>
      </c>
      <c r="X156" s="33" t="str">
        <f>IFERROR(__xludf.DUMMYFUNCTION("IF(IF(X$1="""","""",REGEXMATCH(LOWER($E156),XLOOKUP(X$1,Metadata!$A$2:$A1000,Metadata!$B$2:$B1000))),X$1,"""")"),"")</f>
        <v/>
      </c>
      <c r="Y156" s="33" t="str">
        <f>IFERROR(__xludf.DUMMYFUNCTION("IF(IF(Y$1="""","""",REGEXMATCH(LOWER($E156),XLOOKUP(Y$1,Metadata!$A$2:$A1000,Metadata!$B$2:$B1000))),Y$1,"""")"),"")</f>
        <v/>
      </c>
      <c r="Z156" s="33" t="str">
        <f>IFERROR(__xludf.DUMMYFUNCTION("IF(IF(Z$1="""","""",REGEXMATCH(LOWER($E156),XLOOKUP(Z$1,Metadata!$A$2:$A1000,Metadata!$B$2:$B1000))),Z$1,"""")"),"")</f>
        <v/>
      </c>
      <c r="AA156" s="33" t="str">
        <f>IFERROR(__xludf.DUMMYFUNCTION("IF(AA$1="""","""",REGEXMATCH(LOWER($E156),XLOOKUP(AA$1,Metadata!$A$2:$A1000,Metadata!$B$2:$B1000)))"),"")</f>
        <v/>
      </c>
    </row>
    <row r="157">
      <c r="A157" s="33" t="str">
        <f>IFERROR(__xludf.DUMMYFUNCTION("""COMPUTED_VALUE"""),"Venom-Dew")</f>
        <v>Venom-Dew</v>
      </c>
      <c r="B157" s="33" t="str">
        <f t="array" ref="B157:I157">XLOOKUP($A157,Cards!$A$2:$A1000,Cards!$B$2:$I1000,"")</f>
        <v>Elemental</v>
      </c>
      <c r="C157" s="33">
        <v>1.0</v>
      </c>
      <c r="D157" s="33" t="s">
        <v>997</v>
      </c>
      <c r="E157" s="33" t="s">
        <v>998</v>
      </c>
      <c r="F157" s="33"/>
      <c r="G157" s="33">
        <v>3.0</v>
      </c>
      <c r="H157" s="33" t="s">
        <v>368</v>
      </c>
      <c r="I157" s="33" t="s">
        <v>32</v>
      </c>
      <c r="J157" s="33">
        <f>IFERROR(__xludf.DUMMYFUNCTION("LEN(REGEXREPLACE(XLOOKUP($A157,Cards!$A$2:$A1000,Cards!$H$2:$H1000,""""),"",\s"",""""))"),3.0)</f>
        <v>3</v>
      </c>
      <c r="K157" s="33" t="str">
        <f t="shared" si="1"/>
        <v>         Aggro      </v>
      </c>
      <c r="L157" s="33" t="str">
        <f>IFERROR(__xludf.DUMMYFUNCTION("IF(IF(L$1="""","""",REGEXMATCH(LOWER($E157),XLOOKUP(L$1,Metadata!$A$2:$A1000,Metadata!$B$2:$B1000))),L$1,"""")"),"")</f>
        <v/>
      </c>
      <c r="M157" s="33" t="str">
        <f>IFERROR(__xludf.DUMMYFUNCTION("IF(IF(M$1="""","""",REGEXMATCH(LOWER($E157),XLOOKUP(M$1,Metadata!$A$2:$A1000,Metadata!$B$2:$B1000))),M$1,"""")"),"")</f>
        <v/>
      </c>
      <c r="N157" s="33" t="str">
        <f>IFERROR(__xludf.DUMMYFUNCTION("IF(IF(N$1="""","""",REGEXMATCH(LOWER($E157),XLOOKUP(N$1,Metadata!$A$2:$A1000,Metadata!$B$2:$B1000))),N$1,"""")"),"")</f>
        <v/>
      </c>
      <c r="O157" s="33" t="str">
        <f>IFERROR(__xludf.DUMMYFUNCTION("IF(IF(O$1="""","""",REGEXMATCH(LOWER($E157),XLOOKUP(O$1,Metadata!$A$2:$A1000,Metadata!$B$2:$B1000))),O$1,"""")"),"")</f>
        <v/>
      </c>
      <c r="P157" s="33" t="str">
        <f>IFERROR(__xludf.DUMMYFUNCTION("IF(IF(P$1="""","""",REGEXMATCH(LOWER($E157),XLOOKUP(P$1,Metadata!$A$2:$A1000,Metadata!$B$2:$B1000))),P$1,"""")"),"")</f>
        <v/>
      </c>
      <c r="Q157" s="33" t="str">
        <f>IFERROR(__xludf.DUMMYFUNCTION("IF(IF(Q$1="""","""",REGEXMATCH(LOWER($E157),XLOOKUP(Q$1,Metadata!$A$2:$A1000,Metadata!$B$2:$B1000))),Q$1,"""")"),"")</f>
        <v/>
      </c>
      <c r="R157" s="33" t="str">
        <f>IFERROR(__xludf.DUMMYFUNCTION("IF(IF(R$1="""","""",REGEXMATCH(LOWER($E157),XLOOKUP(R$1,Metadata!$A$2:$A1000,Metadata!$B$2:$B1000))),R$1,"""")"),"")</f>
        <v/>
      </c>
      <c r="S157" s="33" t="str">
        <f>IFERROR(__xludf.DUMMYFUNCTION("IF(IF(S$1="""","""",REGEXMATCH(LOWER($E157),XLOOKUP(S$1,Metadata!$A$2:$A1000,Metadata!$B$2:$B1000))),S$1,"""")"),"")</f>
        <v/>
      </c>
      <c r="T157" s="33" t="str">
        <f>IFERROR(__xludf.DUMMYFUNCTION("IF(IF(T$1="""","""",REGEXMATCH(LOWER($E157),XLOOKUP(T$1,Metadata!$A$2:$A1000,Metadata!$B$2:$B1000))),T$1,"""")"),"")</f>
        <v/>
      </c>
      <c r="U157" s="33" t="str">
        <f>IFERROR(__xludf.DUMMYFUNCTION("IF(IF(U$1="""","""",REGEXMATCH(LOWER($E157),XLOOKUP(U$1,Metadata!$A$2:$A1000,Metadata!$B$2:$B1000))),U$1,"""")"),"Aggro")</f>
        <v>Aggro</v>
      </c>
      <c r="V157" s="33" t="str">
        <f>IFERROR(__xludf.DUMMYFUNCTION("IF(IF(V$1="""","""",REGEXMATCH(LOWER($E157),XLOOKUP(V$1,Metadata!$A$2:$A1000,Metadata!$B$2:$B1000))),V$1,"""")"),"")</f>
        <v/>
      </c>
      <c r="W157" s="33" t="str">
        <f>IFERROR(__xludf.DUMMYFUNCTION("IF(IF(W$1="""","""",REGEXMATCH(LOWER($E157),XLOOKUP(W$1,Metadata!$A$2:$A1000,Metadata!$B$2:$B1000))),W$1,"""")"),"")</f>
        <v/>
      </c>
      <c r="X157" s="33" t="str">
        <f>IFERROR(__xludf.DUMMYFUNCTION("IF(IF(X$1="""","""",REGEXMATCH(LOWER($E157),XLOOKUP(X$1,Metadata!$A$2:$A1000,Metadata!$B$2:$B1000))),X$1,"""")"),"")</f>
        <v/>
      </c>
      <c r="Y157" s="33" t="str">
        <f>IFERROR(__xludf.DUMMYFUNCTION("IF(IF(Y$1="""","""",REGEXMATCH(LOWER($E157),XLOOKUP(Y$1,Metadata!$A$2:$A1000,Metadata!$B$2:$B1000))),Y$1,"""")"),"")</f>
        <v/>
      </c>
      <c r="Z157" s="33" t="str">
        <f>IFERROR(__xludf.DUMMYFUNCTION("IF(IF(Z$1="""","""",REGEXMATCH(LOWER($E157),XLOOKUP(Z$1,Metadata!$A$2:$A1000,Metadata!$B$2:$B1000))),Z$1,"""")"),"")</f>
        <v/>
      </c>
      <c r="AA157" s="33" t="str">
        <f>IFERROR(__xludf.DUMMYFUNCTION("IF(AA$1="""","""",REGEXMATCH(LOWER($E157),XLOOKUP(AA$1,Metadata!$A$2:$A1000,Metadata!$B$2:$B1000)))"),"")</f>
        <v/>
      </c>
    </row>
    <row r="158">
      <c r="A158" s="33" t="str">
        <f>IFERROR(__xludf.DUMMYFUNCTION("""COMPUTED_VALUE"""),"Golemsaurus")</f>
        <v>Golemsaurus</v>
      </c>
      <c r="B158" s="33" t="str">
        <f t="array" ref="B158:I158">XLOOKUP($A158,Cards!$A$2:$A1000,Cards!$B$2:$I1000,"")</f>
        <v>Elemental</v>
      </c>
      <c r="C158" s="33">
        <v>1.0</v>
      </c>
      <c r="D158" s="33" t="s">
        <v>1000</v>
      </c>
      <c r="E158" s="33"/>
      <c r="F158" s="33"/>
      <c r="G158" s="33">
        <v>2.0</v>
      </c>
      <c r="H158" s="33" t="s">
        <v>386</v>
      </c>
      <c r="I158" s="33" t="s">
        <v>26</v>
      </c>
      <c r="J158" s="33">
        <f>IFERROR(__xludf.DUMMYFUNCTION("LEN(REGEXREPLACE(XLOOKUP($A158,Cards!$A$2:$A1000,Cards!$H$2:$H1000,""""),"",\s"",""""))"),1.0)</f>
        <v>1</v>
      </c>
      <c r="K158" s="33" t="str">
        <f t="shared" si="1"/>
        <v>               </v>
      </c>
      <c r="L158" s="33" t="str">
        <f>IFERROR(__xludf.DUMMYFUNCTION("IF(IF(L$1="""","""",REGEXMATCH(LOWER($E158),XLOOKUP(L$1,Metadata!$A$2:$A1000,Metadata!$B$2:$B1000))),L$1,"""")"),"")</f>
        <v/>
      </c>
      <c r="M158" s="33" t="str">
        <f>IFERROR(__xludf.DUMMYFUNCTION("IF(IF(M$1="""","""",REGEXMATCH(LOWER($E158),XLOOKUP(M$1,Metadata!$A$2:$A1000,Metadata!$B$2:$B1000))),M$1,"""")"),"")</f>
        <v/>
      </c>
      <c r="N158" s="33" t="str">
        <f>IFERROR(__xludf.DUMMYFUNCTION("IF(IF(N$1="""","""",REGEXMATCH(LOWER($E158),XLOOKUP(N$1,Metadata!$A$2:$A1000,Metadata!$B$2:$B1000))),N$1,"""")"),"")</f>
        <v/>
      </c>
      <c r="O158" s="33" t="str">
        <f>IFERROR(__xludf.DUMMYFUNCTION("IF(IF(O$1="""","""",REGEXMATCH(LOWER($E158),XLOOKUP(O$1,Metadata!$A$2:$A1000,Metadata!$B$2:$B1000))),O$1,"""")"),"")</f>
        <v/>
      </c>
      <c r="P158" s="33" t="str">
        <f>IFERROR(__xludf.DUMMYFUNCTION("IF(IF(P$1="""","""",REGEXMATCH(LOWER($E158),XLOOKUP(P$1,Metadata!$A$2:$A1000,Metadata!$B$2:$B1000))),P$1,"""")"),"")</f>
        <v/>
      </c>
      <c r="Q158" s="33" t="str">
        <f>IFERROR(__xludf.DUMMYFUNCTION("IF(IF(Q$1="""","""",REGEXMATCH(LOWER($E158),XLOOKUP(Q$1,Metadata!$A$2:$A1000,Metadata!$B$2:$B1000))),Q$1,"""")"),"")</f>
        <v/>
      </c>
      <c r="R158" s="33" t="str">
        <f>IFERROR(__xludf.DUMMYFUNCTION("IF(IF(R$1="""","""",REGEXMATCH(LOWER($E158),XLOOKUP(R$1,Metadata!$A$2:$A1000,Metadata!$B$2:$B1000))),R$1,"""")"),"")</f>
        <v/>
      </c>
      <c r="S158" s="33" t="str">
        <f>IFERROR(__xludf.DUMMYFUNCTION("IF(IF(S$1="""","""",REGEXMATCH(LOWER($E158),XLOOKUP(S$1,Metadata!$A$2:$A1000,Metadata!$B$2:$B1000))),S$1,"""")"),"")</f>
        <v/>
      </c>
      <c r="T158" s="33" t="str">
        <f>IFERROR(__xludf.DUMMYFUNCTION("IF(IF(T$1="""","""",REGEXMATCH(LOWER($E158),XLOOKUP(T$1,Metadata!$A$2:$A1000,Metadata!$B$2:$B1000))),T$1,"""")"),"")</f>
        <v/>
      </c>
      <c r="U158" s="33" t="str">
        <f>IFERROR(__xludf.DUMMYFUNCTION("IF(IF(U$1="""","""",REGEXMATCH(LOWER($E158),XLOOKUP(U$1,Metadata!$A$2:$A1000,Metadata!$B$2:$B1000))),U$1,"""")"),"")</f>
        <v/>
      </c>
      <c r="V158" s="33" t="str">
        <f>IFERROR(__xludf.DUMMYFUNCTION("IF(IF(V$1="""","""",REGEXMATCH(LOWER($E158),XLOOKUP(V$1,Metadata!$A$2:$A1000,Metadata!$B$2:$B1000))),V$1,"""")"),"")</f>
        <v/>
      </c>
      <c r="W158" s="33" t="str">
        <f>IFERROR(__xludf.DUMMYFUNCTION("IF(IF(W$1="""","""",REGEXMATCH(LOWER($E158),XLOOKUP(W$1,Metadata!$A$2:$A1000,Metadata!$B$2:$B1000))),W$1,"""")"),"")</f>
        <v/>
      </c>
      <c r="X158" s="33" t="str">
        <f>IFERROR(__xludf.DUMMYFUNCTION("IF(IF(X$1="""","""",REGEXMATCH(LOWER($E158),XLOOKUP(X$1,Metadata!$A$2:$A1000,Metadata!$B$2:$B1000))),X$1,"""")"),"")</f>
        <v/>
      </c>
      <c r="Y158" s="33" t="str">
        <f>IFERROR(__xludf.DUMMYFUNCTION("IF(IF(Y$1="""","""",REGEXMATCH(LOWER($E158),XLOOKUP(Y$1,Metadata!$A$2:$A1000,Metadata!$B$2:$B1000))),Y$1,"""")"),"")</f>
        <v/>
      </c>
      <c r="Z158" s="33" t="str">
        <f>IFERROR(__xludf.DUMMYFUNCTION("IF(IF(Z$1="""","""",REGEXMATCH(LOWER($E158),XLOOKUP(Z$1,Metadata!$A$2:$A1000,Metadata!$B$2:$B1000))),Z$1,"""")"),"")</f>
        <v/>
      </c>
      <c r="AA158" s="33" t="str">
        <f>IFERROR(__xludf.DUMMYFUNCTION("IF(AA$1="""","""",REGEXMATCH(LOWER($E158),XLOOKUP(AA$1,Metadata!$A$2:$A1000,Metadata!$B$2:$B1000)))"),"")</f>
        <v/>
      </c>
    </row>
    <row r="159">
      <c r="A159" s="33" t="str">
        <f>IFERROR(__xludf.DUMMYFUNCTION("""COMPUTED_VALUE"""),"Slumbering Cavedrake")</f>
        <v>Slumbering Cavedrake</v>
      </c>
      <c r="B159" s="33" t="str">
        <f t="array" ref="B159:I159">XLOOKUP($A159,Cards!$A$2:$A1000,Cards!$B$2:$I1000,"")</f>
        <v>Elemental</v>
      </c>
      <c r="C159" s="33">
        <v>1.0</v>
      </c>
      <c r="D159" s="33" t="s">
        <v>380</v>
      </c>
      <c r="E159" s="202" t="s">
        <v>1002</v>
      </c>
      <c r="F159" s="33"/>
      <c r="G159" s="33">
        <v>1.0</v>
      </c>
      <c r="H159" s="33" t="s">
        <v>1003</v>
      </c>
      <c r="I159" s="33" t="s">
        <v>26</v>
      </c>
      <c r="J159" s="33">
        <f>IFERROR(__xludf.DUMMYFUNCTION("LEN(REGEXREPLACE(XLOOKUP($A159,Cards!$A$2:$A1000,Cards!$H$2:$H1000,""""),"",\s"",""""))"),2.0)</f>
        <v>2</v>
      </c>
      <c r="K159" s="33" t="str">
        <f t="shared" si="1"/>
        <v>     Unearth       Ambush   </v>
      </c>
      <c r="L159" s="33" t="str">
        <f>IFERROR(__xludf.DUMMYFUNCTION("IF(IF(L$1="""","""",REGEXMATCH(LOWER($E159),XLOOKUP(L$1,Metadata!$A$2:$A1000,Metadata!$B$2:$B1000))),L$1,"""")"),"")</f>
        <v/>
      </c>
      <c r="M159" s="33" t="str">
        <f>IFERROR(__xludf.DUMMYFUNCTION("IF(IF(M$1="""","""",REGEXMATCH(LOWER($E159),XLOOKUP(M$1,Metadata!$A$2:$A1000,Metadata!$B$2:$B1000))),M$1,"""")"),"")</f>
        <v/>
      </c>
      <c r="N159" s="33" t="str">
        <f>IFERROR(__xludf.DUMMYFUNCTION("IF(IF(N$1="""","""",REGEXMATCH(LOWER($E159),XLOOKUP(N$1,Metadata!$A$2:$A1000,Metadata!$B$2:$B1000))),N$1,"""")"),"")</f>
        <v/>
      </c>
      <c r="O159" s="33" t="str">
        <f>IFERROR(__xludf.DUMMYFUNCTION("IF(IF(O$1="""","""",REGEXMATCH(LOWER($E159),XLOOKUP(O$1,Metadata!$A$2:$A1000,Metadata!$B$2:$B1000))),O$1,"""")"),"")</f>
        <v/>
      </c>
      <c r="P159" s="33" t="str">
        <f>IFERROR(__xludf.DUMMYFUNCTION("IF(IF(P$1="""","""",REGEXMATCH(LOWER($E159),XLOOKUP(P$1,Metadata!$A$2:$A1000,Metadata!$B$2:$B1000))),P$1,"""")"),"")</f>
        <v/>
      </c>
      <c r="Q159" s="33" t="str">
        <f>IFERROR(__xludf.DUMMYFUNCTION("IF(IF(Q$1="""","""",REGEXMATCH(LOWER($E159),XLOOKUP(Q$1,Metadata!$A$2:$A1000,Metadata!$B$2:$B1000))),Q$1,"""")"),"Unearth")</f>
        <v>Unearth</v>
      </c>
      <c r="R159" s="33" t="str">
        <f>IFERROR(__xludf.DUMMYFUNCTION("IF(IF(R$1="""","""",REGEXMATCH(LOWER($E159),XLOOKUP(R$1,Metadata!$A$2:$A1000,Metadata!$B$2:$B1000))),R$1,"""")"),"")</f>
        <v/>
      </c>
      <c r="S159" s="33" t="str">
        <f>IFERROR(__xludf.DUMMYFUNCTION("IF(IF(S$1="""","""",REGEXMATCH(LOWER($E159),XLOOKUP(S$1,Metadata!$A$2:$A1000,Metadata!$B$2:$B1000))),S$1,"""")"),"")</f>
        <v/>
      </c>
      <c r="T159" s="33" t="str">
        <f>IFERROR(__xludf.DUMMYFUNCTION("IF(IF(T$1="""","""",REGEXMATCH(LOWER($E159),XLOOKUP(T$1,Metadata!$A$2:$A1000,Metadata!$B$2:$B1000))),T$1,"""")"),"")</f>
        <v/>
      </c>
      <c r="U159" s="33" t="str">
        <f>IFERROR(__xludf.DUMMYFUNCTION("IF(IF(U$1="""","""",REGEXMATCH(LOWER($E159),XLOOKUP(U$1,Metadata!$A$2:$A1000,Metadata!$B$2:$B1000))),U$1,"""")"),"")</f>
        <v/>
      </c>
      <c r="V159" s="33" t="str">
        <f>IFERROR(__xludf.DUMMYFUNCTION("IF(IF(V$1="""","""",REGEXMATCH(LOWER($E159),XLOOKUP(V$1,Metadata!$A$2:$A1000,Metadata!$B$2:$B1000))),V$1,"""")"),"")</f>
        <v/>
      </c>
      <c r="W159" s="33" t="str">
        <f>IFERROR(__xludf.DUMMYFUNCTION("IF(IF(W$1="""","""",REGEXMATCH(LOWER($E159),XLOOKUP(W$1,Metadata!$A$2:$A1000,Metadata!$B$2:$B1000))),W$1,"""")"),"")</f>
        <v/>
      </c>
      <c r="X159" s="33" t="str">
        <f>IFERROR(__xludf.DUMMYFUNCTION("IF(IF(X$1="""","""",REGEXMATCH(LOWER($E159),XLOOKUP(X$1,Metadata!$A$2:$A1000,Metadata!$B$2:$B1000))),X$1,"""")"),"Ambush")</f>
        <v>Ambush</v>
      </c>
      <c r="Y159" s="33" t="str">
        <f>IFERROR(__xludf.DUMMYFUNCTION("IF(IF(Y$1="""","""",REGEXMATCH(LOWER($E159),XLOOKUP(Y$1,Metadata!$A$2:$A1000,Metadata!$B$2:$B1000))),Y$1,"""")"),"")</f>
        <v/>
      </c>
      <c r="Z159" s="33" t="str">
        <f>IFERROR(__xludf.DUMMYFUNCTION("IF(IF(Z$1="""","""",REGEXMATCH(LOWER($E159),XLOOKUP(Z$1,Metadata!$A$2:$A1000,Metadata!$B$2:$B1000))),Z$1,"""")"),"")</f>
        <v/>
      </c>
      <c r="AA159" s="33" t="str">
        <f>IFERROR(__xludf.DUMMYFUNCTION("IF(AA$1="""","""",REGEXMATCH(LOWER($E159),XLOOKUP(AA$1,Metadata!$A$2:$A1000,Metadata!$B$2:$B1000)))"),"")</f>
        <v/>
      </c>
    </row>
    <row r="160">
      <c r="A160" s="33" t="str">
        <f>IFERROR(__xludf.DUMMYFUNCTION("""COMPUTED_VALUE"""),"Eagle of the Legion")</f>
        <v>Eagle of the Legion</v>
      </c>
      <c r="B160" s="33" t="str">
        <f t="array" ref="B160:I160">XLOOKUP($A160,Cards!$A$2:$A1000,Cards!$B$2:$I1000,"")</f>
        <v>Mortal</v>
      </c>
      <c r="C160" s="33">
        <v>2.0</v>
      </c>
      <c r="D160" s="33" t="s">
        <v>1005</v>
      </c>
      <c r="E160" s="33" t="s">
        <v>1006</v>
      </c>
      <c r="F160" s="33" t="s">
        <v>1007</v>
      </c>
      <c r="G160" s="33">
        <v>4.0</v>
      </c>
      <c r="H160" s="33" t="s">
        <v>390</v>
      </c>
      <c r="I160" s="33" t="s">
        <v>32</v>
      </c>
      <c r="J160" s="33">
        <f>IFERROR(__xludf.DUMMYFUNCTION("LEN(REGEXREPLACE(XLOOKUP($A160,Cards!$A$2:$A1000,Cards!$H$2:$H1000,""""),"",\s"",""""))"),5.0)</f>
        <v>5</v>
      </c>
      <c r="K160" s="33" t="str">
        <f t="shared" si="1"/>
        <v>               </v>
      </c>
      <c r="L160" s="33" t="str">
        <f>IFERROR(__xludf.DUMMYFUNCTION("IF(IF(L$1="""","""",REGEXMATCH(LOWER($E160),XLOOKUP(L$1,Metadata!$A$2:$A1000,Metadata!$B$2:$B1000))),L$1,"""")"),"")</f>
        <v/>
      </c>
      <c r="M160" s="33" t="str">
        <f>IFERROR(__xludf.DUMMYFUNCTION("IF(IF(M$1="""","""",REGEXMATCH(LOWER($E160),XLOOKUP(M$1,Metadata!$A$2:$A1000,Metadata!$B$2:$B1000))),M$1,"""")"),"")</f>
        <v/>
      </c>
      <c r="N160" s="33" t="str">
        <f>IFERROR(__xludf.DUMMYFUNCTION("IF(IF(N$1="""","""",REGEXMATCH(LOWER($E160),XLOOKUP(N$1,Metadata!$A$2:$A1000,Metadata!$B$2:$B1000))),N$1,"""")"),"")</f>
        <v/>
      </c>
      <c r="O160" s="33" t="str">
        <f>IFERROR(__xludf.DUMMYFUNCTION("IF(IF(O$1="""","""",REGEXMATCH(LOWER($E160),XLOOKUP(O$1,Metadata!$A$2:$A1000,Metadata!$B$2:$B1000))),O$1,"""")"),"")</f>
        <v/>
      </c>
      <c r="P160" s="33" t="str">
        <f>IFERROR(__xludf.DUMMYFUNCTION("IF(IF(P$1="""","""",REGEXMATCH(LOWER($E160),XLOOKUP(P$1,Metadata!$A$2:$A1000,Metadata!$B$2:$B1000))),P$1,"""")"),"")</f>
        <v/>
      </c>
      <c r="Q160" s="33" t="str">
        <f>IFERROR(__xludf.DUMMYFUNCTION("IF(IF(Q$1="""","""",REGEXMATCH(LOWER($E160),XLOOKUP(Q$1,Metadata!$A$2:$A1000,Metadata!$B$2:$B1000))),Q$1,"""")"),"")</f>
        <v/>
      </c>
      <c r="R160" s="33" t="str">
        <f>IFERROR(__xludf.DUMMYFUNCTION("IF(IF(R$1="""","""",REGEXMATCH(LOWER($E160),XLOOKUP(R$1,Metadata!$A$2:$A1000,Metadata!$B$2:$B1000))),R$1,"""")"),"")</f>
        <v/>
      </c>
      <c r="S160" s="33" t="str">
        <f>IFERROR(__xludf.DUMMYFUNCTION("IF(IF(S$1="""","""",REGEXMATCH(LOWER($E160),XLOOKUP(S$1,Metadata!$A$2:$A1000,Metadata!$B$2:$B1000))),S$1,"""")"),"")</f>
        <v/>
      </c>
      <c r="T160" s="33" t="str">
        <f>IFERROR(__xludf.DUMMYFUNCTION("IF(IF(T$1="""","""",REGEXMATCH(LOWER($E160),XLOOKUP(T$1,Metadata!$A$2:$A1000,Metadata!$B$2:$B1000))),T$1,"""")"),"")</f>
        <v/>
      </c>
      <c r="U160" s="33" t="str">
        <f>IFERROR(__xludf.DUMMYFUNCTION("IF(IF(U$1="""","""",REGEXMATCH(LOWER($E160),XLOOKUP(U$1,Metadata!$A$2:$A1000,Metadata!$B$2:$B1000))),U$1,"""")"),"")</f>
        <v/>
      </c>
      <c r="V160" s="33" t="str">
        <f>IFERROR(__xludf.DUMMYFUNCTION("IF(IF(V$1="""","""",REGEXMATCH(LOWER($E160),XLOOKUP(V$1,Metadata!$A$2:$A1000,Metadata!$B$2:$B1000))),V$1,"""")"),"")</f>
        <v/>
      </c>
      <c r="W160" s="33" t="str">
        <f>IFERROR(__xludf.DUMMYFUNCTION("IF(IF(W$1="""","""",REGEXMATCH(LOWER($E160),XLOOKUP(W$1,Metadata!$A$2:$A1000,Metadata!$B$2:$B1000))),W$1,"""")"),"")</f>
        <v/>
      </c>
      <c r="X160" s="33" t="str">
        <f>IFERROR(__xludf.DUMMYFUNCTION("IF(IF(X$1="""","""",REGEXMATCH(LOWER($E160),XLOOKUP(X$1,Metadata!$A$2:$A1000,Metadata!$B$2:$B1000))),X$1,"""")"),"")</f>
        <v/>
      </c>
      <c r="Y160" s="33" t="str">
        <f>IFERROR(__xludf.DUMMYFUNCTION("IF(IF(Y$1="""","""",REGEXMATCH(LOWER($E160),XLOOKUP(Y$1,Metadata!$A$2:$A1000,Metadata!$B$2:$B1000))),Y$1,"""")"),"")</f>
        <v/>
      </c>
      <c r="Z160" s="33" t="str">
        <f>IFERROR(__xludf.DUMMYFUNCTION("IF(IF(Z$1="""","""",REGEXMATCH(LOWER($E160),XLOOKUP(Z$1,Metadata!$A$2:$A1000,Metadata!$B$2:$B1000))),Z$1,"""")"),"")</f>
        <v/>
      </c>
      <c r="AA160" s="33" t="str">
        <f>IFERROR(__xludf.DUMMYFUNCTION("IF(AA$1="""","""",REGEXMATCH(LOWER($E160),XLOOKUP(AA$1,Metadata!$A$2:$A1000,Metadata!$B$2:$B1000)))"),"")</f>
        <v/>
      </c>
    </row>
    <row r="161">
      <c r="A161" s="33" t="str">
        <f>IFERROR(__xludf.DUMMYFUNCTION("""COMPUTED_VALUE"""),"Dragon Rider")</f>
        <v>Dragon Rider</v>
      </c>
      <c r="B161" s="33" t="str">
        <f t="array" ref="B161:I161">XLOOKUP($A161,Cards!$A$2:$A1000,Cards!$B$2:$I1000,"")</f>
        <v>Elemental Mortal</v>
      </c>
      <c r="C161" s="33">
        <v>1.0</v>
      </c>
      <c r="D161" s="33" t="s">
        <v>1009</v>
      </c>
      <c r="E161" s="33" t="s">
        <v>1010</v>
      </c>
      <c r="F161" s="33" t="s">
        <v>1011</v>
      </c>
      <c r="G161" s="33">
        <v>2.0</v>
      </c>
      <c r="H161" s="33" t="s">
        <v>846</v>
      </c>
      <c r="I161" s="33" t="s">
        <v>62</v>
      </c>
      <c r="J161" s="33">
        <f>IFERROR(__xludf.DUMMYFUNCTION("LEN(REGEXREPLACE(XLOOKUP($A161,Cards!$A$2:$A1000,Cards!$H$2:$H1000,""""),"",\s"",""""))"),4.0)</f>
        <v>4</v>
      </c>
      <c r="K161" s="33" t="str">
        <f t="shared" si="1"/>
        <v>        Copy       </v>
      </c>
      <c r="L161" s="33" t="str">
        <f>IFERROR(__xludf.DUMMYFUNCTION("IF(IF(L$1="""","""",REGEXMATCH(LOWER($E161),XLOOKUP(L$1,Metadata!$A$2:$A1000,Metadata!$B$2:$B1000))),L$1,"""")"),"")</f>
        <v/>
      </c>
      <c r="M161" s="33" t="str">
        <f>IFERROR(__xludf.DUMMYFUNCTION("IF(IF(M$1="""","""",REGEXMATCH(LOWER($E161),XLOOKUP(M$1,Metadata!$A$2:$A1000,Metadata!$B$2:$B1000))),M$1,"""")"),"")</f>
        <v/>
      </c>
      <c r="N161" s="33" t="str">
        <f>IFERROR(__xludf.DUMMYFUNCTION("IF(IF(N$1="""","""",REGEXMATCH(LOWER($E161),XLOOKUP(N$1,Metadata!$A$2:$A1000,Metadata!$B$2:$B1000))),N$1,"""")"),"")</f>
        <v/>
      </c>
      <c r="O161" s="33" t="str">
        <f>IFERROR(__xludf.DUMMYFUNCTION("IF(IF(O$1="""","""",REGEXMATCH(LOWER($E161),XLOOKUP(O$1,Metadata!$A$2:$A1000,Metadata!$B$2:$B1000))),O$1,"""")"),"")</f>
        <v/>
      </c>
      <c r="P161" s="33" t="str">
        <f>IFERROR(__xludf.DUMMYFUNCTION("IF(IF(P$1="""","""",REGEXMATCH(LOWER($E161),XLOOKUP(P$1,Metadata!$A$2:$A1000,Metadata!$B$2:$B1000))),P$1,"""")"),"")</f>
        <v/>
      </c>
      <c r="Q161" s="33" t="str">
        <f>IFERROR(__xludf.DUMMYFUNCTION("IF(IF(Q$1="""","""",REGEXMATCH(LOWER($E161),XLOOKUP(Q$1,Metadata!$A$2:$A1000,Metadata!$B$2:$B1000))),Q$1,"""")"),"")</f>
        <v/>
      </c>
      <c r="R161" s="33" t="str">
        <f>IFERROR(__xludf.DUMMYFUNCTION("IF(IF(R$1="""","""",REGEXMATCH(LOWER($E161),XLOOKUP(R$1,Metadata!$A$2:$A1000,Metadata!$B$2:$B1000))),R$1,"""")"),"")</f>
        <v/>
      </c>
      <c r="S161" s="33" t="str">
        <f>IFERROR(__xludf.DUMMYFUNCTION("IF(IF(S$1="""","""",REGEXMATCH(LOWER($E161),XLOOKUP(S$1,Metadata!$A$2:$A1000,Metadata!$B$2:$B1000))),S$1,"""")"),"")</f>
        <v/>
      </c>
      <c r="T161" s="33" t="str">
        <f>IFERROR(__xludf.DUMMYFUNCTION("IF(IF(T$1="""","""",REGEXMATCH(LOWER($E161),XLOOKUP(T$1,Metadata!$A$2:$A1000,Metadata!$B$2:$B1000))),T$1,"""")"),"Copy")</f>
        <v>Copy</v>
      </c>
      <c r="U161" s="33" t="str">
        <f>IFERROR(__xludf.DUMMYFUNCTION("IF(IF(U$1="""","""",REGEXMATCH(LOWER($E161),XLOOKUP(U$1,Metadata!$A$2:$A1000,Metadata!$B$2:$B1000))),U$1,"""")"),"")</f>
        <v/>
      </c>
      <c r="V161" s="33" t="str">
        <f>IFERROR(__xludf.DUMMYFUNCTION("IF(IF(V$1="""","""",REGEXMATCH(LOWER($E161),XLOOKUP(V$1,Metadata!$A$2:$A1000,Metadata!$B$2:$B1000))),V$1,"""")"),"")</f>
        <v/>
      </c>
      <c r="W161" s="33" t="str">
        <f>IFERROR(__xludf.DUMMYFUNCTION("IF(IF(W$1="""","""",REGEXMATCH(LOWER($E161),XLOOKUP(W$1,Metadata!$A$2:$A1000,Metadata!$B$2:$B1000))),W$1,"""")"),"")</f>
        <v/>
      </c>
      <c r="X161" s="33" t="str">
        <f>IFERROR(__xludf.DUMMYFUNCTION("IF(IF(X$1="""","""",REGEXMATCH(LOWER($E161),XLOOKUP(X$1,Metadata!$A$2:$A1000,Metadata!$B$2:$B1000))),X$1,"""")"),"")</f>
        <v/>
      </c>
      <c r="Y161" s="33" t="str">
        <f>IFERROR(__xludf.DUMMYFUNCTION("IF(IF(Y$1="""","""",REGEXMATCH(LOWER($E161),XLOOKUP(Y$1,Metadata!$A$2:$A1000,Metadata!$B$2:$B1000))),Y$1,"""")"),"")</f>
        <v/>
      </c>
      <c r="Z161" s="33" t="str">
        <f>IFERROR(__xludf.DUMMYFUNCTION("IF(IF(Z$1="""","""",REGEXMATCH(LOWER($E161),XLOOKUP(Z$1,Metadata!$A$2:$A1000,Metadata!$B$2:$B1000))),Z$1,"""")"),"")</f>
        <v/>
      </c>
      <c r="AA161" s="33" t="str">
        <f>IFERROR(__xludf.DUMMYFUNCTION("IF(AA$1="""","""",REGEXMATCH(LOWER($E161),XLOOKUP(AA$1,Metadata!$A$2:$A1000,Metadata!$B$2:$B1000)))"),"")</f>
        <v/>
      </c>
    </row>
    <row r="162">
      <c r="A162" s="33" t="str">
        <f>IFERROR(__xludf.DUMMYFUNCTION("""COMPUTED_VALUE"""),"Starfall Shaman")</f>
        <v>Starfall Shaman</v>
      </c>
      <c r="B162" s="33" t="str">
        <f t="array" ref="B162:I162">XLOOKUP($A162,Cards!$A$2:$A1000,Cards!$B$2:$I1000,"")</f>
        <v>Elemental Mortal</v>
      </c>
      <c r="C162" s="33">
        <v>1.0</v>
      </c>
      <c r="D162" s="33" t="s">
        <v>294</v>
      </c>
      <c r="E162" s="33" t="s">
        <v>1024</v>
      </c>
      <c r="F162" s="33" t="s">
        <v>1025</v>
      </c>
      <c r="G162" s="33">
        <v>5.0</v>
      </c>
      <c r="H162" s="33" t="s">
        <v>1026</v>
      </c>
      <c r="I162" s="33" t="s">
        <v>32</v>
      </c>
      <c r="J162" s="33">
        <f>IFERROR(__xludf.DUMMYFUNCTION("LEN(REGEXREPLACE(XLOOKUP($A162,Cards!$A$2:$A1000,Cards!$H$2:$H1000,""""),"",\s"",""""))"),5.0)</f>
        <v>5</v>
      </c>
      <c r="K162" s="33" t="str">
        <f t="shared" si="1"/>
        <v>               </v>
      </c>
      <c r="L162" s="33" t="str">
        <f>IFERROR(__xludf.DUMMYFUNCTION("IF(IF(L$1="""","""",REGEXMATCH(LOWER($E162),XLOOKUP(L$1,Metadata!$A$2:$A1000,Metadata!$B$2:$B1000))),L$1,"""")"),"")</f>
        <v/>
      </c>
      <c r="M162" s="33" t="str">
        <f>IFERROR(__xludf.DUMMYFUNCTION("IF(IF(M$1="""","""",REGEXMATCH(LOWER($E162),XLOOKUP(M$1,Metadata!$A$2:$A1000,Metadata!$B$2:$B1000))),M$1,"""")"),"")</f>
        <v/>
      </c>
      <c r="N162" s="33" t="str">
        <f>IFERROR(__xludf.DUMMYFUNCTION("IF(IF(N$1="""","""",REGEXMATCH(LOWER($E162),XLOOKUP(N$1,Metadata!$A$2:$A1000,Metadata!$B$2:$B1000))),N$1,"""")"),"")</f>
        <v/>
      </c>
      <c r="O162" s="33" t="str">
        <f>IFERROR(__xludf.DUMMYFUNCTION("IF(IF(O$1="""","""",REGEXMATCH(LOWER($E162),XLOOKUP(O$1,Metadata!$A$2:$A1000,Metadata!$B$2:$B1000))),O$1,"""")"),"")</f>
        <v/>
      </c>
      <c r="P162" s="33" t="str">
        <f>IFERROR(__xludf.DUMMYFUNCTION("IF(IF(P$1="""","""",REGEXMATCH(LOWER($E162),XLOOKUP(P$1,Metadata!$A$2:$A1000,Metadata!$B$2:$B1000))),P$1,"""")"),"")</f>
        <v/>
      </c>
      <c r="Q162" s="33" t="str">
        <f>IFERROR(__xludf.DUMMYFUNCTION("IF(IF(Q$1="""","""",REGEXMATCH(LOWER($E162),XLOOKUP(Q$1,Metadata!$A$2:$A1000,Metadata!$B$2:$B1000))),Q$1,"""")"),"")</f>
        <v/>
      </c>
      <c r="R162" s="33" t="str">
        <f>IFERROR(__xludf.DUMMYFUNCTION("IF(IF(R$1="""","""",REGEXMATCH(LOWER($E162),XLOOKUP(R$1,Metadata!$A$2:$A1000,Metadata!$B$2:$B1000))),R$1,"""")"),"")</f>
        <v/>
      </c>
      <c r="S162" s="33" t="str">
        <f>IFERROR(__xludf.DUMMYFUNCTION("IF(IF(S$1="""","""",REGEXMATCH(LOWER($E162),XLOOKUP(S$1,Metadata!$A$2:$A1000,Metadata!$B$2:$B1000))),S$1,"""")"),"")</f>
        <v/>
      </c>
      <c r="T162" s="33" t="str">
        <f>IFERROR(__xludf.DUMMYFUNCTION("IF(IF(T$1="""","""",REGEXMATCH(LOWER($E162),XLOOKUP(T$1,Metadata!$A$2:$A1000,Metadata!$B$2:$B1000))),T$1,"""")"),"")</f>
        <v/>
      </c>
      <c r="U162" s="33" t="str">
        <f>IFERROR(__xludf.DUMMYFUNCTION("IF(IF(U$1="""","""",REGEXMATCH(LOWER($E162),XLOOKUP(U$1,Metadata!$A$2:$A1000,Metadata!$B$2:$B1000))),U$1,"""")"),"")</f>
        <v/>
      </c>
      <c r="V162" s="33" t="str">
        <f>IFERROR(__xludf.DUMMYFUNCTION("IF(IF(V$1="""","""",REGEXMATCH(LOWER($E162),XLOOKUP(V$1,Metadata!$A$2:$A1000,Metadata!$B$2:$B1000))),V$1,"""")"),"")</f>
        <v/>
      </c>
      <c r="W162" s="33" t="str">
        <f>IFERROR(__xludf.DUMMYFUNCTION("IF(IF(W$1="""","""",REGEXMATCH(LOWER($E162),XLOOKUP(W$1,Metadata!$A$2:$A1000,Metadata!$B$2:$B1000))),W$1,"""")"),"")</f>
        <v/>
      </c>
      <c r="X162" s="33" t="str">
        <f>IFERROR(__xludf.DUMMYFUNCTION("IF(IF(X$1="""","""",REGEXMATCH(LOWER($E162),XLOOKUP(X$1,Metadata!$A$2:$A1000,Metadata!$B$2:$B1000))),X$1,"""")"),"")</f>
        <v/>
      </c>
      <c r="Y162" s="33" t="str">
        <f>IFERROR(__xludf.DUMMYFUNCTION("IF(IF(Y$1="""","""",REGEXMATCH(LOWER($E162),XLOOKUP(Y$1,Metadata!$A$2:$A1000,Metadata!$B$2:$B1000))),Y$1,"""")"),"")</f>
        <v/>
      </c>
      <c r="Z162" s="33" t="str">
        <f>IFERROR(__xludf.DUMMYFUNCTION("IF(IF(Z$1="""","""",REGEXMATCH(LOWER($E162),XLOOKUP(Z$1,Metadata!$A$2:$A1000,Metadata!$B$2:$B1000))),Z$1,"""")"),"")</f>
        <v/>
      </c>
      <c r="AA162" s="33" t="str">
        <f>IFERROR(__xludf.DUMMYFUNCTION("IF(AA$1="""","""",REGEXMATCH(LOWER($E162),XLOOKUP(AA$1,Metadata!$A$2:$A1000,Metadata!$B$2:$B1000)))"),"")</f>
        <v/>
      </c>
    </row>
    <row r="163">
      <c r="A163" s="33" t="str">
        <f>IFERROR(__xludf.DUMMYFUNCTION("""COMPUTED_VALUE"""),"Gem Merchant")</f>
        <v>Gem Merchant</v>
      </c>
      <c r="B163" s="33" t="str">
        <f t="array" ref="B163:I163">XLOOKUP($A163,Cards!$A$2:$A1000,Cards!$B$2:$I1000,"")</f>
        <v>Mortal</v>
      </c>
      <c r="C163" s="33">
        <v>2.0</v>
      </c>
      <c r="D163" s="33" t="s">
        <v>37</v>
      </c>
      <c r="E163" s="33" t="s">
        <v>1037</v>
      </c>
      <c r="F163" s="33" t="s">
        <v>192</v>
      </c>
      <c r="G163" s="33">
        <v>2.0</v>
      </c>
      <c r="H163" s="33" t="s">
        <v>1038</v>
      </c>
      <c r="I163" s="33" t="s">
        <v>62</v>
      </c>
      <c r="J163" s="33">
        <f>IFERROR(__xludf.DUMMYFUNCTION("LEN(REGEXREPLACE(XLOOKUP($A163,Cards!$A$2:$A1000,Cards!$H$2:$H1000,""""),"",\s"",""""))"),4.0)</f>
        <v>4</v>
      </c>
      <c r="K163" s="33" t="str">
        <f t="shared" si="1"/>
        <v>     Unearth       Ambush   </v>
      </c>
      <c r="L163" s="33" t="str">
        <f>IFERROR(__xludf.DUMMYFUNCTION("IF(IF(L$1="""","""",REGEXMATCH(LOWER($E163),XLOOKUP(L$1,Metadata!$A$2:$A1000,Metadata!$B$2:$B1000))),L$1,"""")"),"")</f>
        <v/>
      </c>
      <c r="M163" s="33" t="str">
        <f>IFERROR(__xludf.DUMMYFUNCTION("IF(IF(M$1="""","""",REGEXMATCH(LOWER($E163),XLOOKUP(M$1,Metadata!$A$2:$A1000,Metadata!$B$2:$B1000))),M$1,"""")"),"")</f>
        <v/>
      </c>
      <c r="N163" s="33" t="str">
        <f>IFERROR(__xludf.DUMMYFUNCTION("IF(IF(N$1="""","""",REGEXMATCH(LOWER($E163),XLOOKUP(N$1,Metadata!$A$2:$A1000,Metadata!$B$2:$B1000))),N$1,"""")"),"")</f>
        <v/>
      </c>
      <c r="O163" s="33" t="str">
        <f>IFERROR(__xludf.DUMMYFUNCTION("IF(IF(O$1="""","""",REGEXMATCH(LOWER($E163),XLOOKUP(O$1,Metadata!$A$2:$A1000,Metadata!$B$2:$B1000))),O$1,"""")"),"")</f>
        <v/>
      </c>
      <c r="P163" s="33" t="str">
        <f>IFERROR(__xludf.DUMMYFUNCTION("IF(IF(P$1="""","""",REGEXMATCH(LOWER($E163),XLOOKUP(P$1,Metadata!$A$2:$A1000,Metadata!$B$2:$B1000))),P$1,"""")"),"")</f>
        <v/>
      </c>
      <c r="Q163" s="33" t="str">
        <f>IFERROR(__xludf.DUMMYFUNCTION("IF(IF(Q$1="""","""",REGEXMATCH(LOWER($E163),XLOOKUP(Q$1,Metadata!$A$2:$A1000,Metadata!$B$2:$B1000))),Q$1,"""")"),"Unearth")</f>
        <v>Unearth</v>
      </c>
      <c r="R163" s="33" t="str">
        <f>IFERROR(__xludf.DUMMYFUNCTION("IF(IF(R$1="""","""",REGEXMATCH(LOWER($E163),XLOOKUP(R$1,Metadata!$A$2:$A1000,Metadata!$B$2:$B1000))),R$1,"""")"),"")</f>
        <v/>
      </c>
      <c r="S163" s="33" t="str">
        <f>IFERROR(__xludf.DUMMYFUNCTION("IF(IF(S$1="""","""",REGEXMATCH(LOWER($E163),XLOOKUP(S$1,Metadata!$A$2:$A1000,Metadata!$B$2:$B1000))),S$1,"""")"),"")</f>
        <v/>
      </c>
      <c r="T163" s="33" t="str">
        <f>IFERROR(__xludf.DUMMYFUNCTION("IF(IF(T$1="""","""",REGEXMATCH(LOWER($E163),XLOOKUP(T$1,Metadata!$A$2:$A1000,Metadata!$B$2:$B1000))),T$1,"""")"),"")</f>
        <v/>
      </c>
      <c r="U163" s="33" t="str">
        <f>IFERROR(__xludf.DUMMYFUNCTION("IF(IF(U$1="""","""",REGEXMATCH(LOWER($E163),XLOOKUP(U$1,Metadata!$A$2:$A1000,Metadata!$B$2:$B1000))),U$1,"""")"),"")</f>
        <v/>
      </c>
      <c r="V163" s="33" t="str">
        <f>IFERROR(__xludf.DUMMYFUNCTION("IF(IF(V$1="""","""",REGEXMATCH(LOWER($E163),XLOOKUP(V$1,Metadata!$A$2:$A1000,Metadata!$B$2:$B1000))),V$1,"""")"),"")</f>
        <v/>
      </c>
      <c r="W163" s="33" t="str">
        <f>IFERROR(__xludf.DUMMYFUNCTION("IF(IF(W$1="""","""",REGEXMATCH(LOWER($E163),XLOOKUP(W$1,Metadata!$A$2:$A1000,Metadata!$B$2:$B1000))),W$1,"""")"),"")</f>
        <v/>
      </c>
      <c r="X163" s="33" t="str">
        <f>IFERROR(__xludf.DUMMYFUNCTION("IF(IF(X$1="""","""",REGEXMATCH(LOWER($E163),XLOOKUP(X$1,Metadata!$A$2:$A1000,Metadata!$B$2:$B1000))),X$1,"""")"),"Ambush")</f>
        <v>Ambush</v>
      </c>
      <c r="Y163" s="33" t="str">
        <f>IFERROR(__xludf.DUMMYFUNCTION("IF(IF(Y$1="""","""",REGEXMATCH(LOWER($E163),XLOOKUP(Y$1,Metadata!$A$2:$A1000,Metadata!$B$2:$B1000))),Y$1,"""")"),"")</f>
        <v/>
      </c>
      <c r="Z163" s="33" t="str">
        <f>IFERROR(__xludf.DUMMYFUNCTION("IF(IF(Z$1="""","""",REGEXMATCH(LOWER($E163),XLOOKUP(Z$1,Metadata!$A$2:$A1000,Metadata!$B$2:$B1000))),Z$1,"""")"),"")</f>
        <v/>
      </c>
      <c r="AA163" s="33" t="str">
        <f>IFERROR(__xludf.DUMMYFUNCTION("IF(AA$1="""","""",REGEXMATCH(LOWER($E163),XLOOKUP(AA$1,Metadata!$A$2:$A1000,Metadata!$B$2:$B1000)))"),"")</f>
        <v/>
      </c>
    </row>
    <row r="164">
      <c r="A164" s="33" t="str">
        <f>IFERROR(__xludf.DUMMYFUNCTION("""COMPUTED_VALUE"""),"Gladehost Shotmaster")</f>
        <v>Gladehost Shotmaster</v>
      </c>
      <c r="B164" s="33" t="str">
        <f t="array" ref="B164:I164">XLOOKUP($A164,Cards!$A$2:$A1000,Cards!$B$2:$I1000,"")</f>
        <v>Mortal</v>
      </c>
      <c r="C164" s="33">
        <v>2.0</v>
      </c>
      <c r="D164" s="33" t="s">
        <v>128</v>
      </c>
      <c r="E164" s="33" t="s">
        <v>1040</v>
      </c>
      <c r="F164" s="33" t="s">
        <v>1041</v>
      </c>
      <c r="G164" s="33">
        <v>4.0</v>
      </c>
      <c r="H164" s="33" t="s">
        <v>1038</v>
      </c>
      <c r="I164" s="33" t="s">
        <v>62</v>
      </c>
      <c r="J164" s="33">
        <f>IFERROR(__xludf.DUMMYFUNCTION("LEN(REGEXREPLACE(XLOOKUP($A164,Cards!$A$2:$A1000,Cards!$H$2:$H1000,""""),"",\s"",""""))"),4.0)</f>
        <v>4</v>
      </c>
      <c r="K164" s="33" t="str">
        <f t="shared" si="1"/>
        <v>      Ramp Control     Ambush   </v>
      </c>
      <c r="L164" s="33" t="str">
        <f>IFERROR(__xludf.DUMMYFUNCTION("IF(IF(L$1="""","""",REGEXMATCH(LOWER($E164),XLOOKUP(L$1,Metadata!$A$2:$A1000,Metadata!$B$2:$B1000))),L$1,"""")"),"")</f>
        <v/>
      </c>
      <c r="M164" s="33" t="str">
        <f>IFERROR(__xludf.DUMMYFUNCTION("IF(IF(M$1="""","""",REGEXMATCH(LOWER($E164),XLOOKUP(M$1,Metadata!$A$2:$A1000,Metadata!$B$2:$B1000))),M$1,"""")"),"")</f>
        <v/>
      </c>
      <c r="N164" s="33" t="str">
        <f>IFERROR(__xludf.DUMMYFUNCTION("IF(IF(N$1="""","""",REGEXMATCH(LOWER($E164),XLOOKUP(N$1,Metadata!$A$2:$A1000,Metadata!$B$2:$B1000))),N$1,"""")"),"")</f>
        <v/>
      </c>
      <c r="O164" s="33" t="str">
        <f>IFERROR(__xludf.DUMMYFUNCTION("IF(IF(O$1="""","""",REGEXMATCH(LOWER($E164),XLOOKUP(O$1,Metadata!$A$2:$A1000,Metadata!$B$2:$B1000))),O$1,"""")"),"")</f>
        <v/>
      </c>
      <c r="P164" s="33" t="str">
        <f>IFERROR(__xludf.DUMMYFUNCTION("IF(IF(P$1="""","""",REGEXMATCH(LOWER($E164),XLOOKUP(P$1,Metadata!$A$2:$A1000,Metadata!$B$2:$B1000))),P$1,"""")"),"")</f>
        <v/>
      </c>
      <c r="Q164" s="33" t="str">
        <f>IFERROR(__xludf.DUMMYFUNCTION("IF(IF(Q$1="""","""",REGEXMATCH(LOWER($E164),XLOOKUP(Q$1,Metadata!$A$2:$A1000,Metadata!$B$2:$B1000))),Q$1,"""")"),"")</f>
        <v/>
      </c>
      <c r="R164" s="33" t="str">
        <f>IFERROR(__xludf.DUMMYFUNCTION("IF(IF(R$1="""","""",REGEXMATCH(LOWER($E164),XLOOKUP(R$1,Metadata!$A$2:$A1000,Metadata!$B$2:$B1000))),R$1,"""")"),"Ramp")</f>
        <v>Ramp</v>
      </c>
      <c r="S164" s="33" t="str">
        <f>IFERROR(__xludf.DUMMYFUNCTION("IF(IF(S$1="""","""",REGEXMATCH(LOWER($E164),XLOOKUP(S$1,Metadata!$A$2:$A1000,Metadata!$B$2:$B1000))),S$1,"""")"),"Control")</f>
        <v>Control</v>
      </c>
      <c r="T164" s="33" t="str">
        <f>IFERROR(__xludf.DUMMYFUNCTION("IF(IF(T$1="""","""",REGEXMATCH(LOWER($E164),XLOOKUP(T$1,Metadata!$A$2:$A1000,Metadata!$B$2:$B1000))),T$1,"""")"),"")</f>
        <v/>
      </c>
      <c r="U164" s="33" t="str">
        <f>IFERROR(__xludf.DUMMYFUNCTION("IF(IF(U$1="""","""",REGEXMATCH(LOWER($E164),XLOOKUP(U$1,Metadata!$A$2:$A1000,Metadata!$B$2:$B1000))),U$1,"""")"),"")</f>
        <v/>
      </c>
      <c r="V164" s="33" t="str">
        <f>IFERROR(__xludf.DUMMYFUNCTION("IF(IF(V$1="""","""",REGEXMATCH(LOWER($E164),XLOOKUP(V$1,Metadata!$A$2:$A1000,Metadata!$B$2:$B1000))),V$1,"""")"),"")</f>
        <v/>
      </c>
      <c r="W164" s="33" t="str">
        <f>IFERROR(__xludf.DUMMYFUNCTION("IF(IF(W$1="""","""",REGEXMATCH(LOWER($E164),XLOOKUP(W$1,Metadata!$A$2:$A1000,Metadata!$B$2:$B1000))),W$1,"""")"),"")</f>
        <v/>
      </c>
      <c r="X164" s="33" t="str">
        <f>IFERROR(__xludf.DUMMYFUNCTION("IF(IF(X$1="""","""",REGEXMATCH(LOWER($E164),XLOOKUP(X$1,Metadata!$A$2:$A1000,Metadata!$B$2:$B1000))),X$1,"""")"),"Ambush")</f>
        <v>Ambush</v>
      </c>
      <c r="Y164" s="33" t="str">
        <f>IFERROR(__xludf.DUMMYFUNCTION("IF(IF(Y$1="""","""",REGEXMATCH(LOWER($E164),XLOOKUP(Y$1,Metadata!$A$2:$A1000,Metadata!$B$2:$B1000))),Y$1,"""")"),"")</f>
        <v/>
      </c>
      <c r="Z164" s="33" t="str">
        <f>IFERROR(__xludf.DUMMYFUNCTION("IF(IF(Z$1="""","""",REGEXMATCH(LOWER($E164),XLOOKUP(Z$1,Metadata!$A$2:$A1000,Metadata!$B$2:$B1000))),Z$1,"""")"),"")</f>
        <v/>
      </c>
      <c r="AA164" s="33" t="str">
        <f>IFERROR(__xludf.DUMMYFUNCTION("IF(AA$1="""","""",REGEXMATCH(LOWER($E164),XLOOKUP(AA$1,Metadata!$A$2:$A1000,Metadata!$B$2:$B1000)))"),"")</f>
        <v/>
      </c>
    </row>
    <row r="165">
      <c r="A165" s="33" t="str">
        <f>IFERROR(__xludf.DUMMYFUNCTION("""COMPUTED_VALUE"""),"Cinderguard Flamebearer")</f>
        <v>Cinderguard Flamebearer</v>
      </c>
      <c r="B165" s="33" t="str">
        <f t="array" ref="B165:I165">XLOOKUP($A165,Cards!$A$2:$A1000,Cards!$B$2:$I1000,"")</f>
        <v>Elemental Mortal</v>
      </c>
      <c r="C165" s="33">
        <v>1.0</v>
      </c>
      <c r="D165" s="33" t="s">
        <v>1043</v>
      </c>
      <c r="E165" s="33"/>
      <c r="F165" s="33" t="s">
        <v>1044</v>
      </c>
      <c r="G165" s="33">
        <v>2.0</v>
      </c>
      <c r="H165" s="33" t="s">
        <v>1045</v>
      </c>
      <c r="I165" s="33" t="s">
        <v>26</v>
      </c>
      <c r="J165" s="33">
        <f>IFERROR(__xludf.DUMMYFUNCTION("LEN(REGEXREPLACE(XLOOKUP($A165,Cards!$A$2:$A1000,Cards!$H$2:$H1000,""""),"",\s"",""""))"),2.0)</f>
        <v>2</v>
      </c>
      <c r="K165" s="33" t="str">
        <f t="shared" si="1"/>
        <v>               </v>
      </c>
      <c r="L165" s="33" t="str">
        <f>IFERROR(__xludf.DUMMYFUNCTION("IF(IF(L$1="""","""",REGEXMATCH(LOWER($E165),XLOOKUP(L$1,Metadata!$A$2:$A1000,Metadata!$B$2:$B1000))),L$1,"""")"),"")</f>
        <v/>
      </c>
      <c r="M165" s="33" t="str">
        <f>IFERROR(__xludf.DUMMYFUNCTION("IF(IF(M$1="""","""",REGEXMATCH(LOWER($E165),XLOOKUP(M$1,Metadata!$A$2:$A1000,Metadata!$B$2:$B1000))),M$1,"""")"),"")</f>
        <v/>
      </c>
      <c r="N165" s="33" t="str">
        <f>IFERROR(__xludf.DUMMYFUNCTION("IF(IF(N$1="""","""",REGEXMATCH(LOWER($E165),XLOOKUP(N$1,Metadata!$A$2:$A1000,Metadata!$B$2:$B1000))),N$1,"""")"),"")</f>
        <v/>
      </c>
      <c r="O165" s="33" t="str">
        <f>IFERROR(__xludf.DUMMYFUNCTION("IF(IF(O$1="""","""",REGEXMATCH(LOWER($E165),XLOOKUP(O$1,Metadata!$A$2:$A1000,Metadata!$B$2:$B1000))),O$1,"""")"),"")</f>
        <v/>
      </c>
      <c r="P165" s="33" t="str">
        <f>IFERROR(__xludf.DUMMYFUNCTION("IF(IF(P$1="""","""",REGEXMATCH(LOWER($E165),XLOOKUP(P$1,Metadata!$A$2:$A1000,Metadata!$B$2:$B1000))),P$1,"""")"),"")</f>
        <v/>
      </c>
      <c r="Q165" s="33" t="str">
        <f>IFERROR(__xludf.DUMMYFUNCTION("IF(IF(Q$1="""","""",REGEXMATCH(LOWER($E165),XLOOKUP(Q$1,Metadata!$A$2:$A1000,Metadata!$B$2:$B1000))),Q$1,"""")"),"")</f>
        <v/>
      </c>
      <c r="R165" s="33" t="str">
        <f>IFERROR(__xludf.DUMMYFUNCTION("IF(IF(R$1="""","""",REGEXMATCH(LOWER($E165),XLOOKUP(R$1,Metadata!$A$2:$A1000,Metadata!$B$2:$B1000))),R$1,"""")"),"")</f>
        <v/>
      </c>
      <c r="S165" s="33" t="str">
        <f>IFERROR(__xludf.DUMMYFUNCTION("IF(IF(S$1="""","""",REGEXMATCH(LOWER($E165),XLOOKUP(S$1,Metadata!$A$2:$A1000,Metadata!$B$2:$B1000))),S$1,"""")"),"")</f>
        <v/>
      </c>
      <c r="T165" s="33" t="str">
        <f>IFERROR(__xludf.DUMMYFUNCTION("IF(IF(T$1="""","""",REGEXMATCH(LOWER($E165),XLOOKUP(T$1,Metadata!$A$2:$A1000,Metadata!$B$2:$B1000))),T$1,"""")"),"")</f>
        <v/>
      </c>
      <c r="U165" s="33" t="str">
        <f>IFERROR(__xludf.DUMMYFUNCTION("IF(IF(U$1="""","""",REGEXMATCH(LOWER($E165),XLOOKUP(U$1,Metadata!$A$2:$A1000,Metadata!$B$2:$B1000))),U$1,"""")"),"")</f>
        <v/>
      </c>
      <c r="V165" s="33" t="str">
        <f>IFERROR(__xludf.DUMMYFUNCTION("IF(IF(V$1="""","""",REGEXMATCH(LOWER($E165),XLOOKUP(V$1,Metadata!$A$2:$A1000,Metadata!$B$2:$B1000))),V$1,"""")"),"")</f>
        <v/>
      </c>
      <c r="W165" s="33" t="str">
        <f>IFERROR(__xludf.DUMMYFUNCTION("IF(IF(W$1="""","""",REGEXMATCH(LOWER($E165),XLOOKUP(W$1,Metadata!$A$2:$A1000,Metadata!$B$2:$B1000))),W$1,"""")"),"")</f>
        <v/>
      </c>
      <c r="X165" s="33" t="str">
        <f>IFERROR(__xludf.DUMMYFUNCTION("IF(IF(X$1="""","""",REGEXMATCH(LOWER($E165),XLOOKUP(X$1,Metadata!$A$2:$A1000,Metadata!$B$2:$B1000))),X$1,"""")"),"")</f>
        <v/>
      </c>
      <c r="Y165" s="33" t="str">
        <f>IFERROR(__xludf.DUMMYFUNCTION("IF(IF(Y$1="""","""",REGEXMATCH(LOWER($E165),XLOOKUP(Y$1,Metadata!$A$2:$A1000,Metadata!$B$2:$B1000))),Y$1,"""")"),"")</f>
        <v/>
      </c>
      <c r="Z165" s="33" t="str">
        <f>IFERROR(__xludf.DUMMYFUNCTION("IF(IF(Z$1="""","""",REGEXMATCH(LOWER($E165),XLOOKUP(Z$1,Metadata!$A$2:$A1000,Metadata!$B$2:$B1000))),Z$1,"""")"),"")</f>
        <v/>
      </c>
      <c r="AA165" s="33" t="str">
        <f>IFERROR(__xludf.DUMMYFUNCTION("IF(AA$1="""","""",REGEXMATCH(LOWER($E165),XLOOKUP(AA$1,Metadata!$A$2:$A1000,Metadata!$B$2:$B1000)))"),"")</f>
        <v/>
      </c>
    </row>
    <row r="166">
      <c r="A166" s="33" t="str">
        <f>IFERROR(__xludf.DUMMYFUNCTION("""COMPUTED_VALUE"""),"Tidecrasher")</f>
        <v>Tidecrasher</v>
      </c>
      <c r="B166" s="33" t="str">
        <f t="array" ref="B166:I166">XLOOKUP($A166,Cards!$A$2:$A1000,Cards!$B$2:$I1000,"")</f>
        <v>Elemental Nature</v>
      </c>
      <c r="C166" s="33">
        <v>1.0</v>
      </c>
      <c r="D166" s="33" t="s">
        <v>536</v>
      </c>
      <c r="E166" s="33" t="s">
        <v>1058</v>
      </c>
      <c r="F166" s="33" t="s">
        <v>1059</v>
      </c>
      <c r="G166" s="33">
        <v>5.0</v>
      </c>
      <c r="H166" s="33" t="s">
        <v>892</v>
      </c>
      <c r="I166" s="33" t="s">
        <v>62</v>
      </c>
      <c r="J166" s="33">
        <f>IFERROR(__xludf.DUMMYFUNCTION("LEN(REGEXREPLACE(XLOOKUP($A166,Cards!$A$2:$A1000,Cards!$H$2:$H1000,""""),"",\s"",""""))"),5.0)</f>
        <v>5</v>
      </c>
      <c r="K166" s="33" t="str">
        <f t="shared" si="1"/>
        <v>               </v>
      </c>
      <c r="L166" s="33" t="str">
        <f>IFERROR(__xludf.DUMMYFUNCTION("IF(IF(L$1="""","""",REGEXMATCH(LOWER($E166),XLOOKUP(L$1,Metadata!$A$2:$A1000,Metadata!$B$2:$B1000))),L$1,"""")"),"")</f>
        <v/>
      </c>
      <c r="M166" s="33" t="str">
        <f>IFERROR(__xludf.DUMMYFUNCTION("IF(IF(M$1="""","""",REGEXMATCH(LOWER($E166),XLOOKUP(M$1,Metadata!$A$2:$A1000,Metadata!$B$2:$B1000))),M$1,"""")"),"")</f>
        <v/>
      </c>
      <c r="N166" s="33" t="str">
        <f>IFERROR(__xludf.DUMMYFUNCTION("IF(IF(N$1="""","""",REGEXMATCH(LOWER($E166),XLOOKUP(N$1,Metadata!$A$2:$A1000,Metadata!$B$2:$B1000))),N$1,"""")"),"")</f>
        <v/>
      </c>
      <c r="O166" s="33" t="str">
        <f>IFERROR(__xludf.DUMMYFUNCTION("IF(IF(O$1="""","""",REGEXMATCH(LOWER($E166),XLOOKUP(O$1,Metadata!$A$2:$A1000,Metadata!$B$2:$B1000))),O$1,"""")"),"")</f>
        <v/>
      </c>
      <c r="P166" s="33" t="str">
        <f>IFERROR(__xludf.DUMMYFUNCTION("IF(IF(P$1="""","""",REGEXMATCH(LOWER($E166),XLOOKUP(P$1,Metadata!$A$2:$A1000,Metadata!$B$2:$B1000))),P$1,"""")"),"")</f>
        <v/>
      </c>
      <c r="Q166" s="33" t="str">
        <f>IFERROR(__xludf.DUMMYFUNCTION("IF(IF(Q$1="""","""",REGEXMATCH(LOWER($E166),XLOOKUP(Q$1,Metadata!$A$2:$A1000,Metadata!$B$2:$B1000))),Q$1,"""")"),"")</f>
        <v/>
      </c>
      <c r="R166" s="33" t="str">
        <f>IFERROR(__xludf.DUMMYFUNCTION("IF(IF(R$1="""","""",REGEXMATCH(LOWER($E166),XLOOKUP(R$1,Metadata!$A$2:$A1000,Metadata!$B$2:$B1000))),R$1,"""")"),"")</f>
        <v/>
      </c>
      <c r="S166" s="33" t="str">
        <f>IFERROR(__xludf.DUMMYFUNCTION("IF(IF(S$1="""","""",REGEXMATCH(LOWER($E166),XLOOKUP(S$1,Metadata!$A$2:$A1000,Metadata!$B$2:$B1000))),S$1,"""")"),"")</f>
        <v/>
      </c>
      <c r="T166" s="33" t="str">
        <f>IFERROR(__xludf.DUMMYFUNCTION("IF(IF(T$1="""","""",REGEXMATCH(LOWER($E166),XLOOKUP(T$1,Metadata!$A$2:$A1000,Metadata!$B$2:$B1000))),T$1,"""")"),"")</f>
        <v/>
      </c>
      <c r="U166" s="33" t="str">
        <f>IFERROR(__xludf.DUMMYFUNCTION("IF(IF(U$1="""","""",REGEXMATCH(LOWER($E166),XLOOKUP(U$1,Metadata!$A$2:$A1000,Metadata!$B$2:$B1000))),U$1,"""")"),"")</f>
        <v/>
      </c>
      <c r="V166" s="33" t="str">
        <f>IFERROR(__xludf.DUMMYFUNCTION("IF(IF(V$1="""","""",REGEXMATCH(LOWER($E166),XLOOKUP(V$1,Metadata!$A$2:$A1000,Metadata!$B$2:$B1000))),V$1,"""")"),"")</f>
        <v/>
      </c>
      <c r="W166" s="33" t="str">
        <f>IFERROR(__xludf.DUMMYFUNCTION("IF(IF(W$1="""","""",REGEXMATCH(LOWER($E166),XLOOKUP(W$1,Metadata!$A$2:$A1000,Metadata!$B$2:$B1000))),W$1,"""")"),"")</f>
        <v/>
      </c>
      <c r="X166" s="33" t="str">
        <f>IFERROR(__xludf.DUMMYFUNCTION("IF(IF(X$1="""","""",REGEXMATCH(LOWER($E166),XLOOKUP(X$1,Metadata!$A$2:$A1000,Metadata!$B$2:$B1000))),X$1,"""")"),"")</f>
        <v/>
      </c>
      <c r="Y166" s="33" t="str">
        <f>IFERROR(__xludf.DUMMYFUNCTION("IF(IF(Y$1="""","""",REGEXMATCH(LOWER($E166),XLOOKUP(Y$1,Metadata!$A$2:$A1000,Metadata!$B$2:$B1000))),Y$1,"""")"),"")</f>
        <v/>
      </c>
      <c r="Z166" s="33" t="str">
        <f>IFERROR(__xludf.DUMMYFUNCTION("IF(IF(Z$1="""","""",REGEXMATCH(LOWER($E166),XLOOKUP(Z$1,Metadata!$A$2:$A1000,Metadata!$B$2:$B1000))),Z$1,"""")"),"")</f>
        <v/>
      </c>
      <c r="AA166" s="33" t="str">
        <f>IFERROR(__xludf.DUMMYFUNCTION("IF(AA$1="""","""",REGEXMATCH(LOWER($E166),XLOOKUP(AA$1,Metadata!$A$2:$A1000,Metadata!$B$2:$B1000)))"),"")</f>
        <v/>
      </c>
    </row>
    <row r="167">
      <c r="A167" s="33" t="str">
        <f>IFERROR(__xludf.DUMMYFUNCTION("""COMPUTED_VALUE"""),"Imperial Tyrant")</f>
        <v>Imperial Tyrant</v>
      </c>
      <c r="B167" s="33" t="str">
        <f t="array" ref="B167:I167">XLOOKUP($A167,Cards!$A$2:$A1000,Cards!$B$2:$I1000,"")</f>
        <v>Mortal</v>
      </c>
      <c r="C167" s="33">
        <v>2.0</v>
      </c>
      <c r="D167" s="33" t="s">
        <v>37</v>
      </c>
      <c r="E167" s="33" t="s">
        <v>1072</v>
      </c>
      <c r="F167" s="33" t="s">
        <v>607</v>
      </c>
      <c r="G167" s="33">
        <v>3.0</v>
      </c>
      <c r="H167" s="33" t="s">
        <v>995</v>
      </c>
      <c r="I167" s="33" t="s">
        <v>32</v>
      </c>
      <c r="J167" s="33">
        <f>IFERROR(__xludf.DUMMYFUNCTION("LEN(REGEXREPLACE(XLOOKUP($A167,Cards!$A$2:$A1000,Cards!$H$2:$H1000,""""),"",\s"",""""))"),2.0)</f>
        <v>2</v>
      </c>
      <c r="K167" s="33" t="str">
        <f t="shared" si="1"/>
        <v>      Ramp   Aggro      </v>
      </c>
      <c r="L167" s="33" t="str">
        <f>IFERROR(__xludf.DUMMYFUNCTION("IF(IF(L$1="""","""",REGEXMATCH(LOWER($E167),XLOOKUP(L$1,Metadata!$A$2:$A1000,Metadata!$B$2:$B1000))),L$1,"""")"),"")</f>
        <v/>
      </c>
      <c r="M167" s="33" t="str">
        <f>IFERROR(__xludf.DUMMYFUNCTION("IF(IF(M$1="""","""",REGEXMATCH(LOWER($E167),XLOOKUP(M$1,Metadata!$A$2:$A1000,Metadata!$B$2:$B1000))),M$1,"""")"),"")</f>
        <v/>
      </c>
      <c r="N167" s="33" t="str">
        <f>IFERROR(__xludf.DUMMYFUNCTION("IF(IF(N$1="""","""",REGEXMATCH(LOWER($E167),XLOOKUP(N$1,Metadata!$A$2:$A1000,Metadata!$B$2:$B1000))),N$1,"""")"),"")</f>
        <v/>
      </c>
      <c r="O167" s="33" t="str">
        <f>IFERROR(__xludf.DUMMYFUNCTION("IF(IF(O$1="""","""",REGEXMATCH(LOWER($E167),XLOOKUP(O$1,Metadata!$A$2:$A1000,Metadata!$B$2:$B1000))),O$1,"""")"),"")</f>
        <v/>
      </c>
      <c r="P167" s="33" t="str">
        <f>IFERROR(__xludf.DUMMYFUNCTION("IF(IF(P$1="""","""",REGEXMATCH(LOWER($E167),XLOOKUP(P$1,Metadata!$A$2:$A1000,Metadata!$B$2:$B1000))),P$1,"""")"),"")</f>
        <v/>
      </c>
      <c r="Q167" s="33" t="str">
        <f>IFERROR(__xludf.DUMMYFUNCTION("IF(IF(Q$1="""","""",REGEXMATCH(LOWER($E167),XLOOKUP(Q$1,Metadata!$A$2:$A1000,Metadata!$B$2:$B1000))),Q$1,"""")"),"")</f>
        <v/>
      </c>
      <c r="R167" s="33" t="str">
        <f>IFERROR(__xludf.DUMMYFUNCTION("IF(IF(R$1="""","""",REGEXMATCH(LOWER($E167),XLOOKUP(R$1,Metadata!$A$2:$A1000,Metadata!$B$2:$B1000))),R$1,"""")"),"Ramp")</f>
        <v>Ramp</v>
      </c>
      <c r="S167" s="33" t="str">
        <f>IFERROR(__xludf.DUMMYFUNCTION("IF(IF(S$1="""","""",REGEXMATCH(LOWER($E167),XLOOKUP(S$1,Metadata!$A$2:$A1000,Metadata!$B$2:$B1000))),S$1,"""")"),"")</f>
        <v/>
      </c>
      <c r="T167" s="33" t="str">
        <f>IFERROR(__xludf.DUMMYFUNCTION("IF(IF(T$1="""","""",REGEXMATCH(LOWER($E167),XLOOKUP(T$1,Metadata!$A$2:$A1000,Metadata!$B$2:$B1000))),T$1,"""")"),"")</f>
        <v/>
      </c>
      <c r="U167" s="33" t="str">
        <f>IFERROR(__xludf.DUMMYFUNCTION("IF(IF(U$1="""","""",REGEXMATCH(LOWER($E167),XLOOKUP(U$1,Metadata!$A$2:$A1000,Metadata!$B$2:$B1000))),U$1,"""")"),"Aggro")</f>
        <v>Aggro</v>
      </c>
      <c r="V167" s="33" t="str">
        <f>IFERROR(__xludf.DUMMYFUNCTION("IF(IF(V$1="""","""",REGEXMATCH(LOWER($E167),XLOOKUP(V$1,Metadata!$A$2:$A1000,Metadata!$B$2:$B1000))),V$1,"""")"),"")</f>
        <v/>
      </c>
      <c r="W167" s="33" t="str">
        <f>IFERROR(__xludf.DUMMYFUNCTION("IF(IF(W$1="""","""",REGEXMATCH(LOWER($E167),XLOOKUP(W$1,Metadata!$A$2:$A1000,Metadata!$B$2:$B1000))),W$1,"""")"),"")</f>
        <v/>
      </c>
      <c r="X167" s="33" t="str">
        <f>IFERROR(__xludf.DUMMYFUNCTION("IF(IF(X$1="""","""",REGEXMATCH(LOWER($E167),XLOOKUP(X$1,Metadata!$A$2:$A1000,Metadata!$B$2:$B1000))),X$1,"""")"),"")</f>
        <v/>
      </c>
      <c r="Y167" s="33" t="str">
        <f>IFERROR(__xludf.DUMMYFUNCTION("IF(IF(Y$1="""","""",REGEXMATCH(LOWER($E167),XLOOKUP(Y$1,Metadata!$A$2:$A1000,Metadata!$B$2:$B1000))),Y$1,"""")"),"")</f>
        <v/>
      </c>
      <c r="Z167" s="33" t="str">
        <f>IFERROR(__xludf.DUMMYFUNCTION("IF(IF(Z$1="""","""",REGEXMATCH(LOWER($E167),XLOOKUP(Z$1,Metadata!$A$2:$A1000,Metadata!$B$2:$B1000))),Z$1,"""")"),"")</f>
        <v/>
      </c>
      <c r="AA167" s="33" t="str">
        <f>IFERROR(__xludf.DUMMYFUNCTION("IF(AA$1="""","""",REGEXMATCH(LOWER($E167),XLOOKUP(AA$1,Metadata!$A$2:$A1000,Metadata!$B$2:$B1000)))"),"")</f>
        <v/>
      </c>
    </row>
    <row r="168">
      <c r="A168" s="33" t="str">
        <f>IFERROR(__xludf.DUMMYFUNCTION("""COMPUTED_VALUE"""),"Eons-old Dragon")</f>
        <v>Eons-old Dragon</v>
      </c>
      <c r="B168" s="33" t="str">
        <f t="array" ref="B168:I168">XLOOKUP($A168,Cards!$A$2:$A1000,Cards!$B$2:$I1000,"")</f>
        <v>Elemental Nature</v>
      </c>
      <c r="C168" s="33">
        <v>1.0</v>
      </c>
      <c r="D168" s="33" t="s">
        <v>292</v>
      </c>
      <c r="E168" s="33" t="s">
        <v>1074</v>
      </c>
      <c r="F168" s="33" t="s">
        <v>1075</v>
      </c>
      <c r="G168" s="33">
        <v>6.0</v>
      </c>
      <c r="H168" s="33" t="s">
        <v>1076</v>
      </c>
      <c r="I168" s="33" t="s">
        <v>32</v>
      </c>
      <c r="J168" s="33">
        <f>IFERROR(__xludf.DUMMYFUNCTION("LEN(REGEXREPLACE(XLOOKUP($A168,Cards!$A$2:$A1000,Cards!$H$2:$H1000,""""),"",\s"",""""))"),6.0)</f>
        <v>6</v>
      </c>
      <c r="K168" s="33" t="str">
        <f t="shared" si="1"/>
        <v> Elemental  Nature            </v>
      </c>
      <c r="L168" s="33" t="str">
        <f>IFERROR(__xludf.DUMMYFUNCTION("IF(IF(L$1="""","""",REGEXMATCH(LOWER($E168),XLOOKUP(L$1,Metadata!$A$2:$A1000,Metadata!$B$2:$B1000))),L$1,"""")"),"")</f>
        <v/>
      </c>
      <c r="M168" s="33" t="str">
        <f>IFERROR(__xludf.DUMMYFUNCTION("IF(IF(M$1="""","""",REGEXMATCH(LOWER($E168),XLOOKUP(M$1,Metadata!$A$2:$A1000,Metadata!$B$2:$B1000))),M$1,"""")"),"Elemental")</f>
        <v>Elemental</v>
      </c>
      <c r="N168" s="33" t="str">
        <f>IFERROR(__xludf.DUMMYFUNCTION("IF(IF(N$1="""","""",REGEXMATCH(LOWER($E168),XLOOKUP(N$1,Metadata!$A$2:$A1000,Metadata!$B$2:$B1000))),N$1,"""")"),"")</f>
        <v/>
      </c>
      <c r="O168" s="33" t="str">
        <f>IFERROR(__xludf.DUMMYFUNCTION("IF(IF(O$1="""","""",REGEXMATCH(LOWER($E168),XLOOKUP(O$1,Metadata!$A$2:$A1000,Metadata!$B$2:$B1000))),O$1,"""")"),"Nature")</f>
        <v>Nature</v>
      </c>
      <c r="P168" s="33" t="str">
        <f>IFERROR(__xludf.DUMMYFUNCTION("IF(IF(P$1="""","""",REGEXMATCH(LOWER($E168),XLOOKUP(P$1,Metadata!$A$2:$A1000,Metadata!$B$2:$B1000))),P$1,"""")"),"")</f>
        <v/>
      </c>
      <c r="Q168" s="33" t="str">
        <f>IFERROR(__xludf.DUMMYFUNCTION("IF(IF(Q$1="""","""",REGEXMATCH(LOWER($E168),XLOOKUP(Q$1,Metadata!$A$2:$A1000,Metadata!$B$2:$B1000))),Q$1,"""")"),"")</f>
        <v/>
      </c>
      <c r="R168" s="33" t="str">
        <f>IFERROR(__xludf.DUMMYFUNCTION("IF(IF(R$1="""","""",REGEXMATCH(LOWER($E168),XLOOKUP(R$1,Metadata!$A$2:$A1000,Metadata!$B$2:$B1000))),R$1,"""")"),"")</f>
        <v/>
      </c>
      <c r="S168" s="33" t="str">
        <f>IFERROR(__xludf.DUMMYFUNCTION("IF(IF(S$1="""","""",REGEXMATCH(LOWER($E168),XLOOKUP(S$1,Metadata!$A$2:$A1000,Metadata!$B$2:$B1000))),S$1,"""")"),"")</f>
        <v/>
      </c>
      <c r="T168" s="33" t="str">
        <f>IFERROR(__xludf.DUMMYFUNCTION("IF(IF(T$1="""","""",REGEXMATCH(LOWER($E168),XLOOKUP(T$1,Metadata!$A$2:$A1000,Metadata!$B$2:$B1000))),T$1,"""")"),"")</f>
        <v/>
      </c>
      <c r="U168" s="33" t="str">
        <f>IFERROR(__xludf.DUMMYFUNCTION("IF(IF(U$1="""","""",REGEXMATCH(LOWER($E168),XLOOKUP(U$1,Metadata!$A$2:$A1000,Metadata!$B$2:$B1000))),U$1,"""")"),"")</f>
        <v/>
      </c>
      <c r="V168" s="33" t="str">
        <f>IFERROR(__xludf.DUMMYFUNCTION("IF(IF(V$1="""","""",REGEXMATCH(LOWER($E168),XLOOKUP(V$1,Metadata!$A$2:$A1000,Metadata!$B$2:$B1000))),V$1,"""")"),"")</f>
        <v/>
      </c>
      <c r="W168" s="33" t="str">
        <f>IFERROR(__xludf.DUMMYFUNCTION("IF(IF(W$1="""","""",REGEXMATCH(LOWER($E168),XLOOKUP(W$1,Metadata!$A$2:$A1000,Metadata!$B$2:$B1000))),W$1,"""")"),"")</f>
        <v/>
      </c>
      <c r="X168" s="33" t="str">
        <f>IFERROR(__xludf.DUMMYFUNCTION("IF(IF(X$1="""","""",REGEXMATCH(LOWER($E168),XLOOKUP(X$1,Metadata!$A$2:$A1000,Metadata!$B$2:$B1000))),X$1,"""")"),"")</f>
        <v/>
      </c>
      <c r="Y168" s="33" t="str">
        <f>IFERROR(__xludf.DUMMYFUNCTION("IF(IF(Y$1="""","""",REGEXMATCH(LOWER($E168),XLOOKUP(Y$1,Metadata!$A$2:$A1000,Metadata!$B$2:$B1000))),Y$1,"""")"),"")</f>
        <v/>
      </c>
      <c r="Z168" s="33" t="str">
        <f>IFERROR(__xludf.DUMMYFUNCTION("IF(IF(Z$1="""","""",REGEXMATCH(LOWER($E168),XLOOKUP(Z$1,Metadata!$A$2:$A1000,Metadata!$B$2:$B1000))),Z$1,"""")"),"")</f>
        <v/>
      </c>
      <c r="AA168" s="33" t="str">
        <f>IFERROR(__xludf.DUMMYFUNCTION("IF(AA$1="""","""",REGEXMATCH(LOWER($E168),XLOOKUP(AA$1,Metadata!$A$2:$A1000,Metadata!$B$2:$B1000)))"),"")</f>
        <v/>
      </c>
    </row>
    <row r="169">
      <c r="A169" s="33" t="str">
        <f>IFERROR(__xludf.DUMMYFUNCTION("""COMPUTED_VALUE"""),"Shardhorde Crystalfang")</f>
        <v>Shardhorde Crystalfang</v>
      </c>
      <c r="B169" s="33" t="str">
        <f t="array" ref="B169:I169">XLOOKUP($A169,Cards!$A$2:$A1000,Cards!$B$2:$I1000,"")</f>
        <v>Elemental Nature</v>
      </c>
      <c r="C169" s="33">
        <v>1.0</v>
      </c>
      <c r="D169" s="33" t="s">
        <v>1089</v>
      </c>
      <c r="E169" s="33"/>
      <c r="F169" s="33" t="s">
        <v>1090</v>
      </c>
      <c r="G169" s="33">
        <v>2.0</v>
      </c>
      <c r="H169" s="33" t="s">
        <v>1091</v>
      </c>
      <c r="I169" s="33" t="s">
        <v>26</v>
      </c>
      <c r="J169" s="33">
        <f>IFERROR(__xludf.DUMMYFUNCTION("LEN(REGEXREPLACE(XLOOKUP($A169,Cards!$A$2:$A1000,Cards!$H$2:$H1000,""""),"",\s"",""""))"),2.0)</f>
        <v>2</v>
      </c>
      <c r="K169" s="33" t="str">
        <f t="shared" si="1"/>
        <v>               </v>
      </c>
      <c r="L169" s="33" t="str">
        <f>IFERROR(__xludf.DUMMYFUNCTION("IF(IF(L$1="""","""",REGEXMATCH(LOWER($E169),XLOOKUP(L$1,Metadata!$A$2:$A1000,Metadata!$B$2:$B1000))),L$1,"""")"),"")</f>
        <v/>
      </c>
      <c r="M169" s="33" t="str">
        <f>IFERROR(__xludf.DUMMYFUNCTION("IF(IF(M$1="""","""",REGEXMATCH(LOWER($E169),XLOOKUP(M$1,Metadata!$A$2:$A1000,Metadata!$B$2:$B1000))),M$1,"""")"),"")</f>
        <v/>
      </c>
      <c r="N169" s="33" t="str">
        <f>IFERROR(__xludf.DUMMYFUNCTION("IF(IF(N$1="""","""",REGEXMATCH(LOWER($E169),XLOOKUP(N$1,Metadata!$A$2:$A1000,Metadata!$B$2:$B1000))),N$1,"""")"),"")</f>
        <v/>
      </c>
      <c r="O169" s="33" t="str">
        <f>IFERROR(__xludf.DUMMYFUNCTION("IF(IF(O$1="""","""",REGEXMATCH(LOWER($E169),XLOOKUP(O$1,Metadata!$A$2:$A1000,Metadata!$B$2:$B1000))),O$1,"""")"),"")</f>
        <v/>
      </c>
      <c r="P169" s="33" t="str">
        <f>IFERROR(__xludf.DUMMYFUNCTION("IF(IF(P$1="""","""",REGEXMATCH(LOWER($E169),XLOOKUP(P$1,Metadata!$A$2:$A1000,Metadata!$B$2:$B1000))),P$1,"""")"),"")</f>
        <v/>
      </c>
      <c r="Q169" s="33" t="str">
        <f>IFERROR(__xludf.DUMMYFUNCTION("IF(IF(Q$1="""","""",REGEXMATCH(LOWER($E169),XLOOKUP(Q$1,Metadata!$A$2:$A1000,Metadata!$B$2:$B1000))),Q$1,"""")"),"")</f>
        <v/>
      </c>
      <c r="R169" s="33" t="str">
        <f>IFERROR(__xludf.DUMMYFUNCTION("IF(IF(R$1="""","""",REGEXMATCH(LOWER($E169),XLOOKUP(R$1,Metadata!$A$2:$A1000,Metadata!$B$2:$B1000))),R$1,"""")"),"")</f>
        <v/>
      </c>
      <c r="S169" s="33" t="str">
        <f>IFERROR(__xludf.DUMMYFUNCTION("IF(IF(S$1="""","""",REGEXMATCH(LOWER($E169),XLOOKUP(S$1,Metadata!$A$2:$A1000,Metadata!$B$2:$B1000))),S$1,"""")"),"")</f>
        <v/>
      </c>
      <c r="T169" s="33" t="str">
        <f>IFERROR(__xludf.DUMMYFUNCTION("IF(IF(T$1="""","""",REGEXMATCH(LOWER($E169),XLOOKUP(T$1,Metadata!$A$2:$A1000,Metadata!$B$2:$B1000))),T$1,"""")"),"")</f>
        <v/>
      </c>
      <c r="U169" s="33" t="str">
        <f>IFERROR(__xludf.DUMMYFUNCTION("IF(IF(U$1="""","""",REGEXMATCH(LOWER($E169),XLOOKUP(U$1,Metadata!$A$2:$A1000,Metadata!$B$2:$B1000))),U$1,"""")"),"")</f>
        <v/>
      </c>
      <c r="V169" s="33" t="str">
        <f>IFERROR(__xludf.DUMMYFUNCTION("IF(IF(V$1="""","""",REGEXMATCH(LOWER($E169),XLOOKUP(V$1,Metadata!$A$2:$A1000,Metadata!$B$2:$B1000))),V$1,"""")"),"")</f>
        <v/>
      </c>
      <c r="W169" s="33" t="str">
        <f>IFERROR(__xludf.DUMMYFUNCTION("IF(IF(W$1="""","""",REGEXMATCH(LOWER($E169),XLOOKUP(W$1,Metadata!$A$2:$A1000,Metadata!$B$2:$B1000))),W$1,"""")"),"")</f>
        <v/>
      </c>
      <c r="X169" s="33" t="str">
        <f>IFERROR(__xludf.DUMMYFUNCTION("IF(IF(X$1="""","""",REGEXMATCH(LOWER($E169),XLOOKUP(X$1,Metadata!$A$2:$A1000,Metadata!$B$2:$B1000))),X$1,"""")"),"")</f>
        <v/>
      </c>
      <c r="Y169" s="33" t="str">
        <f>IFERROR(__xludf.DUMMYFUNCTION("IF(IF(Y$1="""","""",REGEXMATCH(LOWER($E169),XLOOKUP(Y$1,Metadata!$A$2:$A1000,Metadata!$B$2:$B1000))),Y$1,"""")"),"")</f>
        <v/>
      </c>
      <c r="Z169" s="33" t="str">
        <f>IFERROR(__xludf.DUMMYFUNCTION("IF(IF(Z$1="""","""",REGEXMATCH(LOWER($E169),XLOOKUP(Z$1,Metadata!$A$2:$A1000,Metadata!$B$2:$B1000))),Z$1,"""")"),"")</f>
        <v/>
      </c>
      <c r="AA169" s="33" t="str">
        <f>IFERROR(__xludf.DUMMYFUNCTION("IF(AA$1="""","""",REGEXMATCH(LOWER($E169),XLOOKUP(AA$1,Metadata!$A$2:$A1000,Metadata!$B$2:$B1000)))"),"")</f>
        <v/>
      </c>
    </row>
    <row r="170">
      <c r="A170" s="33" t="str">
        <f>IFERROR(__xludf.DUMMYFUNCTION("""COMPUTED_VALUE"""),"Legion of the Moonspear")</f>
        <v>Legion of the Moonspear</v>
      </c>
      <c r="B170" s="33" t="str">
        <f t="array" ref="B170:I170">XLOOKUP($A170,Cards!$A$2:$A1000,Cards!$B$2:$I1000,"")</f>
        <v>Mortal</v>
      </c>
      <c r="C170" s="33">
        <v>2.0</v>
      </c>
      <c r="D170" s="33" t="s">
        <v>287</v>
      </c>
      <c r="E170" s="33" t="s">
        <v>1102</v>
      </c>
      <c r="F170" s="33" t="s">
        <v>1103</v>
      </c>
      <c r="G170" s="33">
        <v>3.0</v>
      </c>
      <c r="H170" s="33" t="s">
        <v>989</v>
      </c>
      <c r="I170" s="33" t="s">
        <v>62</v>
      </c>
      <c r="J170" s="33">
        <f>IFERROR(__xludf.DUMMYFUNCTION("LEN(REGEXREPLACE(XLOOKUP($A170,Cards!$A$2:$A1000,Cards!$H$2:$H1000,""""),"",\s"",""""))"),3.0)</f>
        <v>3</v>
      </c>
      <c r="K170" s="33" t="str">
        <f t="shared" si="1"/>
        <v>         Aggro      </v>
      </c>
      <c r="L170" s="33" t="str">
        <f>IFERROR(__xludf.DUMMYFUNCTION("IF(IF(L$1="""","""",REGEXMATCH(LOWER($E170),XLOOKUP(L$1,Metadata!$A$2:$A1000,Metadata!$B$2:$B1000))),L$1,"""")"),"")</f>
        <v/>
      </c>
      <c r="M170" s="33" t="str">
        <f>IFERROR(__xludf.DUMMYFUNCTION("IF(IF(M$1="""","""",REGEXMATCH(LOWER($E170),XLOOKUP(M$1,Metadata!$A$2:$A1000,Metadata!$B$2:$B1000))),M$1,"""")"),"")</f>
        <v/>
      </c>
      <c r="N170" s="33" t="str">
        <f>IFERROR(__xludf.DUMMYFUNCTION("IF(IF(N$1="""","""",REGEXMATCH(LOWER($E170),XLOOKUP(N$1,Metadata!$A$2:$A1000,Metadata!$B$2:$B1000))),N$1,"""")"),"")</f>
        <v/>
      </c>
      <c r="O170" s="33" t="str">
        <f>IFERROR(__xludf.DUMMYFUNCTION("IF(IF(O$1="""","""",REGEXMATCH(LOWER($E170),XLOOKUP(O$1,Metadata!$A$2:$A1000,Metadata!$B$2:$B1000))),O$1,"""")"),"")</f>
        <v/>
      </c>
      <c r="P170" s="33" t="str">
        <f>IFERROR(__xludf.DUMMYFUNCTION("IF(IF(P$1="""","""",REGEXMATCH(LOWER($E170),XLOOKUP(P$1,Metadata!$A$2:$A1000,Metadata!$B$2:$B1000))),P$1,"""")"),"")</f>
        <v/>
      </c>
      <c r="Q170" s="33" t="str">
        <f>IFERROR(__xludf.DUMMYFUNCTION("IF(IF(Q$1="""","""",REGEXMATCH(LOWER($E170),XLOOKUP(Q$1,Metadata!$A$2:$A1000,Metadata!$B$2:$B1000))),Q$1,"""")"),"")</f>
        <v/>
      </c>
      <c r="R170" s="33" t="str">
        <f>IFERROR(__xludf.DUMMYFUNCTION("IF(IF(R$1="""","""",REGEXMATCH(LOWER($E170),XLOOKUP(R$1,Metadata!$A$2:$A1000,Metadata!$B$2:$B1000))),R$1,"""")"),"")</f>
        <v/>
      </c>
      <c r="S170" s="33" t="str">
        <f>IFERROR(__xludf.DUMMYFUNCTION("IF(IF(S$1="""","""",REGEXMATCH(LOWER($E170),XLOOKUP(S$1,Metadata!$A$2:$A1000,Metadata!$B$2:$B1000))),S$1,"""")"),"")</f>
        <v/>
      </c>
      <c r="T170" s="33" t="str">
        <f>IFERROR(__xludf.DUMMYFUNCTION("IF(IF(T$1="""","""",REGEXMATCH(LOWER($E170),XLOOKUP(T$1,Metadata!$A$2:$A1000,Metadata!$B$2:$B1000))),T$1,"""")"),"")</f>
        <v/>
      </c>
      <c r="U170" s="33" t="str">
        <f>IFERROR(__xludf.DUMMYFUNCTION("IF(IF(U$1="""","""",REGEXMATCH(LOWER($E170),XLOOKUP(U$1,Metadata!$A$2:$A1000,Metadata!$B$2:$B1000))),U$1,"""")"),"Aggro")</f>
        <v>Aggro</v>
      </c>
      <c r="V170" s="33" t="str">
        <f>IFERROR(__xludf.DUMMYFUNCTION("IF(IF(V$1="""","""",REGEXMATCH(LOWER($E170),XLOOKUP(V$1,Metadata!$A$2:$A1000,Metadata!$B$2:$B1000))),V$1,"""")"),"")</f>
        <v/>
      </c>
      <c r="W170" s="33" t="str">
        <f>IFERROR(__xludf.DUMMYFUNCTION("IF(IF(W$1="""","""",REGEXMATCH(LOWER($E170),XLOOKUP(W$1,Metadata!$A$2:$A1000,Metadata!$B$2:$B1000))),W$1,"""")"),"")</f>
        <v/>
      </c>
      <c r="X170" s="33" t="str">
        <f>IFERROR(__xludf.DUMMYFUNCTION("IF(IF(X$1="""","""",REGEXMATCH(LOWER($E170),XLOOKUP(X$1,Metadata!$A$2:$A1000,Metadata!$B$2:$B1000))),X$1,"""")"),"")</f>
        <v/>
      </c>
      <c r="Y170" s="33" t="str">
        <f>IFERROR(__xludf.DUMMYFUNCTION("IF(IF(Y$1="""","""",REGEXMATCH(LOWER($E170),XLOOKUP(Y$1,Metadata!$A$2:$A1000,Metadata!$B$2:$B1000))),Y$1,"""")"),"")</f>
        <v/>
      </c>
      <c r="Z170" s="33" t="str">
        <f>IFERROR(__xludf.DUMMYFUNCTION("IF(IF(Z$1="""","""",REGEXMATCH(LOWER($E170),XLOOKUP(Z$1,Metadata!$A$2:$A1000,Metadata!$B$2:$B1000))),Z$1,"""")"),"")</f>
        <v/>
      </c>
      <c r="AA170" s="33" t="str">
        <f>IFERROR(__xludf.DUMMYFUNCTION("IF(AA$1="""","""",REGEXMATCH(LOWER($E170),XLOOKUP(AA$1,Metadata!$A$2:$A1000,Metadata!$B$2:$B1000)))"),"")</f>
        <v/>
      </c>
    </row>
    <row r="171">
      <c r="A171" s="33" t="str">
        <f>IFERROR(__xludf.DUMMYFUNCTION("""COMPUTED_VALUE"""),"Makeshift Militia")</f>
        <v>Makeshift Militia</v>
      </c>
      <c r="B171" s="33" t="str">
        <f t="array" ref="B171:I171">XLOOKUP($A171,Cards!$A$2:$A1000,Cards!$B$2:$I1000,"")</f>
        <v>Mortal</v>
      </c>
      <c r="C171" s="33">
        <v>2.0</v>
      </c>
      <c r="D171" s="33" t="s">
        <v>394</v>
      </c>
      <c r="E171" s="33" t="s">
        <v>1105</v>
      </c>
      <c r="F171" s="33" t="s">
        <v>1106</v>
      </c>
      <c r="G171" s="33">
        <v>2.0</v>
      </c>
      <c r="H171" s="33" t="s">
        <v>1107</v>
      </c>
      <c r="I171" s="33" t="s">
        <v>26</v>
      </c>
      <c r="J171" s="33">
        <f>IFERROR(__xludf.DUMMYFUNCTION("LEN(REGEXREPLACE(XLOOKUP($A171,Cards!$A$2:$A1000,Cards!$H$2:$H1000,""""),"",\s"",""""))"),1.0)</f>
        <v>1</v>
      </c>
      <c r="K171" s="33" t="str">
        <f t="shared" si="1"/>
        <v>               </v>
      </c>
      <c r="L171" s="33" t="str">
        <f>IFERROR(__xludf.DUMMYFUNCTION("IF(IF(L$1="""","""",REGEXMATCH(LOWER($E171),XLOOKUP(L$1,Metadata!$A$2:$A1000,Metadata!$B$2:$B1000))),L$1,"""")"),"")</f>
        <v/>
      </c>
      <c r="M171" s="33" t="str">
        <f>IFERROR(__xludf.DUMMYFUNCTION("IF(IF(M$1="""","""",REGEXMATCH(LOWER($E171),XLOOKUP(M$1,Metadata!$A$2:$A1000,Metadata!$B$2:$B1000))),M$1,"""")"),"")</f>
        <v/>
      </c>
      <c r="N171" s="33" t="str">
        <f>IFERROR(__xludf.DUMMYFUNCTION("IF(IF(N$1="""","""",REGEXMATCH(LOWER($E171),XLOOKUP(N$1,Metadata!$A$2:$A1000,Metadata!$B$2:$B1000))),N$1,"""")"),"")</f>
        <v/>
      </c>
      <c r="O171" s="33" t="str">
        <f>IFERROR(__xludf.DUMMYFUNCTION("IF(IF(O$1="""","""",REGEXMATCH(LOWER($E171),XLOOKUP(O$1,Metadata!$A$2:$A1000,Metadata!$B$2:$B1000))),O$1,"""")"),"")</f>
        <v/>
      </c>
      <c r="P171" s="33" t="str">
        <f>IFERROR(__xludf.DUMMYFUNCTION("IF(IF(P$1="""","""",REGEXMATCH(LOWER($E171),XLOOKUP(P$1,Metadata!$A$2:$A1000,Metadata!$B$2:$B1000))),P$1,"""")"),"")</f>
        <v/>
      </c>
      <c r="Q171" s="33" t="str">
        <f>IFERROR(__xludf.DUMMYFUNCTION("IF(IF(Q$1="""","""",REGEXMATCH(LOWER($E171),XLOOKUP(Q$1,Metadata!$A$2:$A1000,Metadata!$B$2:$B1000))),Q$1,"""")"),"")</f>
        <v/>
      </c>
      <c r="R171" s="33" t="str">
        <f>IFERROR(__xludf.DUMMYFUNCTION("IF(IF(R$1="""","""",REGEXMATCH(LOWER($E171),XLOOKUP(R$1,Metadata!$A$2:$A1000,Metadata!$B$2:$B1000))),R$1,"""")"),"")</f>
        <v/>
      </c>
      <c r="S171" s="33" t="str">
        <f>IFERROR(__xludf.DUMMYFUNCTION("IF(IF(S$1="""","""",REGEXMATCH(LOWER($E171),XLOOKUP(S$1,Metadata!$A$2:$A1000,Metadata!$B$2:$B1000))),S$1,"""")"),"")</f>
        <v/>
      </c>
      <c r="T171" s="33" t="str">
        <f>IFERROR(__xludf.DUMMYFUNCTION("IF(IF(T$1="""","""",REGEXMATCH(LOWER($E171),XLOOKUP(T$1,Metadata!$A$2:$A1000,Metadata!$B$2:$B1000))),T$1,"""")"),"")</f>
        <v/>
      </c>
      <c r="U171" s="33" t="str">
        <f>IFERROR(__xludf.DUMMYFUNCTION("IF(IF(U$1="""","""",REGEXMATCH(LOWER($E171),XLOOKUP(U$1,Metadata!$A$2:$A1000,Metadata!$B$2:$B1000))),U$1,"""")"),"")</f>
        <v/>
      </c>
      <c r="V171" s="33" t="str">
        <f>IFERROR(__xludf.DUMMYFUNCTION("IF(IF(V$1="""","""",REGEXMATCH(LOWER($E171),XLOOKUP(V$1,Metadata!$A$2:$A1000,Metadata!$B$2:$B1000))),V$1,"""")"),"")</f>
        <v/>
      </c>
      <c r="W171" s="33" t="str">
        <f>IFERROR(__xludf.DUMMYFUNCTION("IF(IF(W$1="""","""",REGEXMATCH(LOWER($E171),XLOOKUP(W$1,Metadata!$A$2:$A1000,Metadata!$B$2:$B1000))),W$1,"""")"),"")</f>
        <v/>
      </c>
      <c r="X171" s="33" t="str">
        <f>IFERROR(__xludf.DUMMYFUNCTION("IF(IF(X$1="""","""",REGEXMATCH(LOWER($E171),XLOOKUP(X$1,Metadata!$A$2:$A1000,Metadata!$B$2:$B1000))),X$1,"""")"),"")</f>
        <v/>
      </c>
      <c r="Y171" s="33" t="str">
        <f>IFERROR(__xludf.DUMMYFUNCTION("IF(IF(Y$1="""","""",REGEXMATCH(LOWER($E171),XLOOKUP(Y$1,Metadata!$A$2:$A1000,Metadata!$B$2:$B1000))),Y$1,"""")"),"")</f>
        <v/>
      </c>
      <c r="Z171" s="33" t="str">
        <f>IFERROR(__xludf.DUMMYFUNCTION("IF(IF(Z$1="""","""",REGEXMATCH(LOWER($E171),XLOOKUP(Z$1,Metadata!$A$2:$A1000,Metadata!$B$2:$B1000))),Z$1,"""")"),"")</f>
        <v/>
      </c>
      <c r="AA171" s="33" t="str">
        <f>IFERROR(__xludf.DUMMYFUNCTION("IF(AA$1="""","""",REGEXMATCH(LOWER($E171),XLOOKUP(AA$1,Metadata!$A$2:$A1000,Metadata!$B$2:$B1000)))"),"")</f>
        <v/>
      </c>
    </row>
    <row r="172">
      <c r="A172" s="33" t="str">
        <f>IFERROR(__xludf.DUMMYFUNCTION("""COMPUTED_VALUE"""),"Master Strategist")</f>
        <v>Master Strategist</v>
      </c>
      <c r="B172" s="33" t="str">
        <f t="array" ref="B172:I172">XLOOKUP($A172,Cards!$A$2:$A1000,Cards!$B$2:$I1000,"")</f>
        <v>Mortal</v>
      </c>
      <c r="C172" s="33">
        <v>2.0</v>
      </c>
      <c r="D172" s="33" t="s">
        <v>128</v>
      </c>
      <c r="E172" s="33" t="s">
        <v>1109</v>
      </c>
      <c r="F172" s="33" t="s">
        <v>611</v>
      </c>
      <c r="G172" s="33">
        <v>4.0</v>
      </c>
      <c r="H172" s="33" t="s">
        <v>1110</v>
      </c>
      <c r="I172" s="33" t="s">
        <v>62</v>
      </c>
      <c r="J172" s="33">
        <f>IFERROR(__xludf.DUMMYFUNCTION("LEN(REGEXREPLACE(XLOOKUP($A172,Cards!$A$2:$A1000,Cards!$H$2:$H1000,""""),"",\s"",""""))"),5.0)</f>
        <v>5</v>
      </c>
      <c r="K172" s="33" t="str">
        <f t="shared" si="1"/>
        <v>         Aggro      </v>
      </c>
      <c r="L172" s="33" t="str">
        <f>IFERROR(__xludf.DUMMYFUNCTION("IF(IF(L$1="""","""",REGEXMATCH(LOWER($E172),XLOOKUP(L$1,Metadata!$A$2:$A1000,Metadata!$B$2:$B1000))),L$1,"""")"),"")</f>
        <v/>
      </c>
      <c r="M172" s="33" t="str">
        <f>IFERROR(__xludf.DUMMYFUNCTION("IF(IF(M$1="""","""",REGEXMATCH(LOWER($E172),XLOOKUP(M$1,Metadata!$A$2:$A1000,Metadata!$B$2:$B1000))),M$1,"""")"),"")</f>
        <v/>
      </c>
      <c r="N172" s="33" t="str">
        <f>IFERROR(__xludf.DUMMYFUNCTION("IF(IF(N$1="""","""",REGEXMATCH(LOWER($E172),XLOOKUP(N$1,Metadata!$A$2:$A1000,Metadata!$B$2:$B1000))),N$1,"""")"),"")</f>
        <v/>
      </c>
      <c r="O172" s="33" t="str">
        <f>IFERROR(__xludf.DUMMYFUNCTION("IF(IF(O$1="""","""",REGEXMATCH(LOWER($E172),XLOOKUP(O$1,Metadata!$A$2:$A1000,Metadata!$B$2:$B1000))),O$1,"""")"),"")</f>
        <v/>
      </c>
      <c r="P172" s="33" t="str">
        <f>IFERROR(__xludf.DUMMYFUNCTION("IF(IF(P$1="""","""",REGEXMATCH(LOWER($E172),XLOOKUP(P$1,Metadata!$A$2:$A1000,Metadata!$B$2:$B1000))),P$1,"""")"),"")</f>
        <v/>
      </c>
      <c r="Q172" s="33" t="str">
        <f>IFERROR(__xludf.DUMMYFUNCTION("IF(IF(Q$1="""","""",REGEXMATCH(LOWER($E172),XLOOKUP(Q$1,Metadata!$A$2:$A1000,Metadata!$B$2:$B1000))),Q$1,"""")"),"")</f>
        <v/>
      </c>
      <c r="R172" s="33" t="str">
        <f>IFERROR(__xludf.DUMMYFUNCTION("IF(IF(R$1="""","""",REGEXMATCH(LOWER($E172),XLOOKUP(R$1,Metadata!$A$2:$A1000,Metadata!$B$2:$B1000))),R$1,"""")"),"")</f>
        <v/>
      </c>
      <c r="S172" s="33" t="str">
        <f>IFERROR(__xludf.DUMMYFUNCTION("IF(IF(S$1="""","""",REGEXMATCH(LOWER($E172),XLOOKUP(S$1,Metadata!$A$2:$A1000,Metadata!$B$2:$B1000))),S$1,"""")"),"")</f>
        <v/>
      </c>
      <c r="T172" s="33" t="str">
        <f>IFERROR(__xludf.DUMMYFUNCTION("IF(IF(T$1="""","""",REGEXMATCH(LOWER($E172),XLOOKUP(T$1,Metadata!$A$2:$A1000,Metadata!$B$2:$B1000))),T$1,"""")"),"")</f>
        <v/>
      </c>
      <c r="U172" s="33" t="str">
        <f>IFERROR(__xludf.DUMMYFUNCTION("IF(IF(U$1="""","""",REGEXMATCH(LOWER($E172),XLOOKUP(U$1,Metadata!$A$2:$A1000,Metadata!$B$2:$B1000))),U$1,"""")"),"Aggro")</f>
        <v>Aggro</v>
      </c>
      <c r="V172" s="33" t="str">
        <f>IFERROR(__xludf.DUMMYFUNCTION("IF(IF(V$1="""","""",REGEXMATCH(LOWER($E172),XLOOKUP(V$1,Metadata!$A$2:$A1000,Metadata!$B$2:$B1000))),V$1,"""")"),"")</f>
        <v/>
      </c>
      <c r="W172" s="33" t="str">
        <f>IFERROR(__xludf.DUMMYFUNCTION("IF(IF(W$1="""","""",REGEXMATCH(LOWER($E172),XLOOKUP(W$1,Metadata!$A$2:$A1000,Metadata!$B$2:$B1000))),W$1,"""")"),"")</f>
        <v/>
      </c>
      <c r="X172" s="33" t="str">
        <f>IFERROR(__xludf.DUMMYFUNCTION("IF(IF(X$1="""","""",REGEXMATCH(LOWER($E172),XLOOKUP(X$1,Metadata!$A$2:$A1000,Metadata!$B$2:$B1000))),X$1,"""")"),"")</f>
        <v/>
      </c>
      <c r="Y172" s="33" t="str">
        <f>IFERROR(__xludf.DUMMYFUNCTION("IF(IF(Y$1="""","""",REGEXMATCH(LOWER($E172),XLOOKUP(Y$1,Metadata!$A$2:$A1000,Metadata!$B$2:$B1000))),Y$1,"""")"),"")</f>
        <v/>
      </c>
      <c r="Z172" s="33" t="str">
        <f>IFERROR(__xludf.DUMMYFUNCTION("IF(IF(Z$1="""","""",REGEXMATCH(LOWER($E172),XLOOKUP(Z$1,Metadata!$A$2:$A1000,Metadata!$B$2:$B1000))),Z$1,"""")"),"")</f>
        <v/>
      </c>
      <c r="AA172" s="33" t="str">
        <f>IFERROR(__xludf.DUMMYFUNCTION("IF(AA$1="""","""",REGEXMATCH(LOWER($E172),XLOOKUP(AA$1,Metadata!$A$2:$A1000,Metadata!$B$2:$B1000)))"),"")</f>
        <v/>
      </c>
    </row>
    <row r="173">
      <c r="A173" s="33" t="str">
        <f>IFERROR(__xludf.DUMMYFUNCTION("""COMPUTED_VALUE"""),"Moonspear Wraithknight")</f>
        <v>Moonspear Wraithknight</v>
      </c>
      <c r="B173" s="33" t="str">
        <f t="array" ref="B173:I173">XLOOKUP($A173,Cards!$A$2:$A1000,Cards!$B$2:$I1000,"")</f>
        <v>Mortal</v>
      </c>
      <c r="C173" s="33">
        <v>2.0</v>
      </c>
      <c r="D173" s="33" t="s">
        <v>287</v>
      </c>
      <c r="E173" s="33" t="s">
        <v>1112</v>
      </c>
      <c r="F173" s="33" t="s">
        <v>1113</v>
      </c>
      <c r="G173" s="33">
        <v>4.0</v>
      </c>
      <c r="H173" s="33" t="s">
        <v>1110</v>
      </c>
      <c r="I173" s="33" t="s">
        <v>62</v>
      </c>
      <c r="J173" s="33">
        <f>IFERROR(__xludf.DUMMYFUNCTION("LEN(REGEXREPLACE(XLOOKUP($A173,Cards!$A$2:$A1000,Cards!$H$2:$H1000,""""),"",\s"",""""))"),5.0)</f>
        <v>5</v>
      </c>
      <c r="K173" s="33" t="str">
        <f t="shared" si="1"/>
        <v>      Ramp   Aggro      </v>
      </c>
      <c r="L173" s="33" t="str">
        <f>IFERROR(__xludf.DUMMYFUNCTION("IF(IF(L$1="""","""",REGEXMATCH(LOWER($E173),XLOOKUP(L$1,Metadata!$A$2:$A1000,Metadata!$B$2:$B1000))),L$1,"""")"),"")</f>
        <v/>
      </c>
      <c r="M173" s="33" t="str">
        <f>IFERROR(__xludf.DUMMYFUNCTION("IF(IF(M$1="""","""",REGEXMATCH(LOWER($E173),XLOOKUP(M$1,Metadata!$A$2:$A1000,Metadata!$B$2:$B1000))),M$1,"""")"),"")</f>
        <v/>
      </c>
      <c r="N173" s="33" t="str">
        <f>IFERROR(__xludf.DUMMYFUNCTION("IF(IF(N$1="""","""",REGEXMATCH(LOWER($E173),XLOOKUP(N$1,Metadata!$A$2:$A1000,Metadata!$B$2:$B1000))),N$1,"""")"),"")</f>
        <v/>
      </c>
      <c r="O173" s="33" t="str">
        <f>IFERROR(__xludf.DUMMYFUNCTION("IF(IF(O$1="""","""",REGEXMATCH(LOWER($E173),XLOOKUP(O$1,Metadata!$A$2:$A1000,Metadata!$B$2:$B1000))),O$1,"""")"),"")</f>
        <v/>
      </c>
      <c r="P173" s="33" t="str">
        <f>IFERROR(__xludf.DUMMYFUNCTION("IF(IF(P$1="""","""",REGEXMATCH(LOWER($E173),XLOOKUP(P$1,Metadata!$A$2:$A1000,Metadata!$B$2:$B1000))),P$1,"""")"),"")</f>
        <v/>
      </c>
      <c r="Q173" s="33" t="str">
        <f>IFERROR(__xludf.DUMMYFUNCTION("IF(IF(Q$1="""","""",REGEXMATCH(LOWER($E173),XLOOKUP(Q$1,Metadata!$A$2:$A1000,Metadata!$B$2:$B1000))),Q$1,"""")"),"")</f>
        <v/>
      </c>
      <c r="R173" s="33" t="str">
        <f>IFERROR(__xludf.DUMMYFUNCTION("IF(IF(R$1="""","""",REGEXMATCH(LOWER($E173),XLOOKUP(R$1,Metadata!$A$2:$A1000,Metadata!$B$2:$B1000))),R$1,"""")"),"Ramp")</f>
        <v>Ramp</v>
      </c>
      <c r="S173" s="33" t="str">
        <f>IFERROR(__xludf.DUMMYFUNCTION("IF(IF(S$1="""","""",REGEXMATCH(LOWER($E173),XLOOKUP(S$1,Metadata!$A$2:$A1000,Metadata!$B$2:$B1000))),S$1,"""")"),"")</f>
        <v/>
      </c>
      <c r="T173" s="33" t="str">
        <f>IFERROR(__xludf.DUMMYFUNCTION("IF(IF(T$1="""","""",REGEXMATCH(LOWER($E173),XLOOKUP(T$1,Metadata!$A$2:$A1000,Metadata!$B$2:$B1000))),T$1,"""")"),"")</f>
        <v/>
      </c>
      <c r="U173" s="33" t="str">
        <f>IFERROR(__xludf.DUMMYFUNCTION("IF(IF(U$1="""","""",REGEXMATCH(LOWER($E173),XLOOKUP(U$1,Metadata!$A$2:$A1000,Metadata!$B$2:$B1000))),U$1,"""")"),"Aggro")</f>
        <v>Aggro</v>
      </c>
      <c r="V173" s="33" t="str">
        <f>IFERROR(__xludf.DUMMYFUNCTION("IF(IF(V$1="""","""",REGEXMATCH(LOWER($E173),XLOOKUP(V$1,Metadata!$A$2:$A1000,Metadata!$B$2:$B1000))),V$1,"""")"),"")</f>
        <v/>
      </c>
      <c r="W173" s="33" t="str">
        <f>IFERROR(__xludf.DUMMYFUNCTION("IF(IF(W$1="""","""",REGEXMATCH(LOWER($E173),XLOOKUP(W$1,Metadata!$A$2:$A1000,Metadata!$B$2:$B1000))),W$1,"""")"),"")</f>
        <v/>
      </c>
      <c r="X173" s="33" t="str">
        <f>IFERROR(__xludf.DUMMYFUNCTION("IF(IF(X$1="""","""",REGEXMATCH(LOWER($E173),XLOOKUP(X$1,Metadata!$A$2:$A1000,Metadata!$B$2:$B1000))),X$1,"""")"),"")</f>
        <v/>
      </c>
      <c r="Y173" s="33" t="str">
        <f>IFERROR(__xludf.DUMMYFUNCTION("IF(IF(Y$1="""","""",REGEXMATCH(LOWER($E173),XLOOKUP(Y$1,Metadata!$A$2:$A1000,Metadata!$B$2:$B1000))),Y$1,"""")"),"")</f>
        <v/>
      </c>
      <c r="Z173" s="33" t="str">
        <f>IFERROR(__xludf.DUMMYFUNCTION("IF(IF(Z$1="""","""",REGEXMATCH(LOWER($E173),XLOOKUP(Z$1,Metadata!$A$2:$A1000,Metadata!$B$2:$B1000))),Z$1,"""")"),"")</f>
        <v/>
      </c>
      <c r="AA173" s="33" t="str">
        <f>IFERROR(__xludf.DUMMYFUNCTION("IF(AA$1="""","""",REGEXMATCH(LOWER($E173),XLOOKUP(AA$1,Metadata!$A$2:$A1000,Metadata!$B$2:$B1000)))"),"")</f>
        <v/>
      </c>
    </row>
    <row r="174">
      <c r="A174" s="33" t="str">
        <f>IFERROR(__xludf.DUMMYFUNCTION("""COMPUTED_VALUE"""),"Mountblade Squire")</f>
        <v>Mountblade Squire</v>
      </c>
      <c r="B174" s="33" t="str">
        <f t="array" ref="B174:I174">XLOOKUP($A174,Cards!$A$2:$A1000,Cards!$B$2:$I1000,"")</f>
        <v>Mortal</v>
      </c>
      <c r="C174" s="33">
        <v>2.0</v>
      </c>
      <c r="D174" s="33" t="s">
        <v>37</v>
      </c>
      <c r="E174" s="33" t="s">
        <v>1115</v>
      </c>
      <c r="F174" s="33" t="s">
        <v>1116</v>
      </c>
      <c r="G174" s="33">
        <v>1.0</v>
      </c>
      <c r="H174" s="33" t="s">
        <v>1107</v>
      </c>
      <c r="I174" s="33" t="s">
        <v>26</v>
      </c>
      <c r="J174" s="33">
        <f>IFERROR(__xludf.DUMMYFUNCTION("LEN(REGEXREPLACE(XLOOKUP($A174,Cards!$A$2:$A1000,Cards!$H$2:$H1000,""""),"",\s"",""""))"),1.0)</f>
        <v>1</v>
      </c>
      <c r="K174" s="33" t="str">
        <f t="shared" si="1"/>
        <v>         Aggro      </v>
      </c>
      <c r="L174" s="33" t="str">
        <f>IFERROR(__xludf.DUMMYFUNCTION("IF(IF(L$1="""","""",REGEXMATCH(LOWER($E174),XLOOKUP(L$1,Metadata!$A$2:$A1000,Metadata!$B$2:$B1000))),L$1,"""")"),"")</f>
        <v/>
      </c>
      <c r="M174" s="33" t="str">
        <f>IFERROR(__xludf.DUMMYFUNCTION("IF(IF(M$1="""","""",REGEXMATCH(LOWER($E174),XLOOKUP(M$1,Metadata!$A$2:$A1000,Metadata!$B$2:$B1000))),M$1,"""")"),"")</f>
        <v/>
      </c>
      <c r="N174" s="33" t="str">
        <f>IFERROR(__xludf.DUMMYFUNCTION("IF(IF(N$1="""","""",REGEXMATCH(LOWER($E174),XLOOKUP(N$1,Metadata!$A$2:$A1000,Metadata!$B$2:$B1000))),N$1,"""")"),"")</f>
        <v/>
      </c>
      <c r="O174" s="33" t="str">
        <f>IFERROR(__xludf.DUMMYFUNCTION("IF(IF(O$1="""","""",REGEXMATCH(LOWER($E174),XLOOKUP(O$1,Metadata!$A$2:$A1000,Metadata!$B$2:$B1000))),O$1,"""")"),"")</f>
        <v/>
      </c>
      <c r="P174" s="33" t="str">
        <f>IFERROR(__xludf.DUMMYFUNCTION("IF(IF(P$1="""","""",REGEXMATCH(LOWER($E174),XLOOKUP(P$1,Metadata!$A$2:$A1000,Metadata!$B$2:$B1000))),P$1,"""")"),"")</f>
        <v/>
      </c>
      <c r="Q174" s="33" t="str">
        <f>IFERROR(__xludf.DUMMYFUNCTION("IF(IF(Q$1="""","""",REGEXMATCH(LOWER($E174),XLOOKUP(Q$1,Metadata!$A$2:$A1000,Metadata!$B$2:$B1000))),Q$1,"""")"),"")</f>
        <v/>
      </c>
      <c r="R174" s="33" t="str">
        <f>IFERROR(__xludf.DUMMYFUNCTION("IF(IF(R$1="""","""",REGEXMATCH(LOWER($E174),XLOOKUP(R$1,Metadata!$A$2:$A1000,Metadata!$B$2:$B1000))),R$1,"""")"),"")</f>
        <v/>
      </c>
      <c r="S174" s="33" t="str">
        <f>IFERROR(__xludf.DUMMYFUNCTION("IF(IF(S$1="""","""",REGEXMATCH(LOWER($E174),XLOOKUP(S$1,Metadata!$A$2:$A1000,Metadata!$B$2:$B1000))),S$1,"""")"),"")</f>
        <v/>
      </c>
      <c r="T174" s="33" t="str">
        <f>IFERROR(__xludf.DUMMYFUNCTION("IF(IF(T$1="""","""",REGEXMATCH(LOWER($E174),XLOOKUP(T$1,Metadata!$A$2:$A1000,Metadata!$B$2:$B1000))),T$1,"""")"),"")</f>
        <v/>
      </c>
      <c r="U174" s="33" t="str">
        <f>IFERROR(__xludf.DUMMYFUNCTION("IF(IF(U$1="""","""",REGEXMATCH(LOWER($E174),XLOOKUP(U$1,Metadata!$A$2:$A1000,Metadata!$B$2:$B1000))),U$1,"""")"),"Aggro")</f>
        <v>Aggro</v>
      </c>
      <c r="V174" s="33" t="str">
        <f>IFERROR(__xludf.DUMMYFUNCTION("IF(IF(V$1="""","""",REGEXMATCH(LOWER($E174),XLOOKUP(V$1,Metadata!$A$2:$A1000,Metadata!$B$2:$B1000))),V$1,"""")"),"")</f>
        <v/>
      </c>
      <c r="W174" s="33" t="str">
        <f>IFERROR(__xludf.DUMMYFUNCTION("IF(IF(W$1="""","""",REGEXMATCH(LOWER($E174),XLOOKUP(W$1,Metadata!$A$2:$A1000,Metadata!$B$2:$B1000))),W$1,"""")"),"")</f>
        <v/>
      </c>
      <c r="X174" s="33" t="str">
        <f>IFERROR(__xludf.DUMMYFUNCTION("IF(IF(X$1="""","""",REGEXMATCH(LOWER($E174),XLOOKUP(X$1,Metadata!$A$2:$A1000,Metadata!$B$2:$B1000))),X$1,"""")"),"")</f>
        <v/>
      </c>
      <c r="Y174" s="33" t="str">
        <f>IFERROR(__xludf.DUMMYFUNCTION("IF(IF(Y$1="""","""",REGEXMATCH(LOWER($E174),XLOOKUP(Y$1,Metadata!$A$2:$A1000,Metadata!$B$2:$B1000))),Y$1,"""")"),"")</f>
        <v/>
      </c>
      <c r="Z174" s="33" t="str">
        <f>IFERROR(__xludf.DUMMYFUNCTION("IF(IF(Z$1="""","""",REGEXMATCH(LOWER($E174),XLOOKUP(Z$1,Metadata!$A$2:$A1000,Metadata!$B$2:$B1000))),Z$1,"""")"),"")</f>
        <v/>
      </c>
      <c r="AA174" s="33" t="str">
        <f>IFERROR(__xludf.DUMMYFUNCTION("IF(AA$1="""","""",REGEXMATCH(LOWER($E174),XLOOKUP(AA$1,Metadata!$A$2:$A1000,Metadata!$B$2:$B1000)))"),"")</f>
        <v/>
      </c>
    </row>
    <row r="175">
      <c r="A175" s="33" t="str">
        <f>IFERROR(__xludf.DUMMYFUNCTION("""COMPUTED_VALUE"""),"Pyroclastic Zombie")</f>
        <v>Pyroclastic Zombie</v>
      </c>
      <c r="B175" s="33" t="str">
        <f t="array" ref="B175:I175">XLOOKUP($A175,Cards!$A$2:$A1000,Cards!$B$2:$I1000,"")</f>
        <v>Elemental Void</v>
      </c>
      <c r="C175" s="33">
        <v>1.0</v>
      </c>
      <c r="D175" s="33" t="s">
        <v>1118</v>
      </c>
      <c r="E175" s="33" t="s">
        <v>1119</v>
      </c>
      <c r="F175" s="33" t="s">
        <v>1120</v>
      </c>
      <c r="G175" s="33">
        <v>5.0</v>
      </c>
      <c r="H175" s="33" t="s">
        <v>919</v>
      </c>
      <c r="I175" s="33" t="s">
        <v>62</v>
      </c>
      <c r="J175" s="33">
        <f>IFERROR(__xludf.DUMMYFUNCTION("LEN(REGEXREPLACE(XLOOKUP($A175,Cards!$A$2:$A1000,Cards!$H$2:$H1000,""""),"",\s"",""""))"),5.0)</f>
        <v>5</v>
      </c>
      <c r="K175" s="33" t="str">
        <f t="shared" si="1"/>
        <v>         Aggro   Ambush   </v>
      </c>
      <c r="L175" s="33" t="str">
        <f>IFERROR(__xludf.DUMMYFUNCTION("IF(IF(L$1="""","""",REGEXMATCH(LOWER($E175),XLOOKUP(L$1,Metadata!$A$2:$A1000,Metadata!$B$2:$B1000))),L$1,"""")"),"")</f>
        <v/>
      </c>
      <c r="M175" s="33" t="str">
        <f>IFERROR(__xludf.DUMMYFUNCTION("IF(IF(M$1="""","""",REGEXMATCH(LOWER($E175),XLOOKUP(M$1,Metadata!$A$2:$A1000,Metadata!$B$2:$B1000))),M$1,"""")"),"")</f>
        <v/>
      </c>
      <c r="N175" s="33" t="str">
        <f>IFERROR(__xludf.DUMMYFUNCTION("IF(IF(N$1="""","""",REGEXMATCH(LOWER($E175),XLOOKUP(N$1,Metadata!$A$2:$A1000,Metadata!$B$2:$B1000))),N$1,"""")"),"")</f>
        <v/>
      </c>
      <c r="O175" s="33" t="str">
        <f>IFERROR(__xludf.DUMMYFUNCTION("IF(IF(O$1="""","""",REGEXMATCH(LOWER($E175),XLOOKUP(O$1,Metadata!$A$2:$A1000,Metadata!$B$2:$B1000))),O$1,"""")"),"")</f>
        <v/>
      </c>
      <c r="P175" s="33" t="str">
        <f>IFERROR(__xludf.DUMMYFUNCTION("IF(IF(P$1="""","""",REGEXMATCH(LOWER($E175),XLOOKUP(P$1,Metadata!$A$2:$A1000,Metadata!$B$2:$B1000))),P$1,"""")"),"")</f>
        <v/>
      </c>
      <c r="Q175" s="33" t="str">
        <f>IFERROR(__xludf.DUMMYFUNCTION("IF(IF(Q$1="""","""",REGEXMATCH(LOWER($E175),XLOOKUP(Q$1,Metadata!$A$2:$A1000,Metadata!$B$2:$B1000))),Q$1,"""")"),"")</f>
        <v/>
      </c>
      <c r="R175" s="33" t="str">
        <f>IFERROR(__xludf.DUMMYFUNCTION("IF(IF(R$1="""","""",REGEXMATCH(LOWER($E175),XLOOKUP(R$1,Metadata!$A$2:$A1000,Metadata!$B$2:$B1000))),R$1,"""")"),"")</f>
        <v/>
      </c>
      <c r="S175" s="33" t="str">
        <f>IFERROR(__xludf.DUMMYFUNCTION("IF(IF(S$1="""","""",REGEXMATCH(LOWER($E175),XLOOKUP(S$1,Metadata!$A$2:$A1000,Metadata!$B$2:$B1000))),S$1,"""")"),"")</f>
        <v/>
      </c>
      <c r="T175" s="33" t="str">
        <f>IFERROR(__xludf.DUMMYFUNCTION("IF(IF(T$1="""","""",REGEXMATCH(LOWER($E175),XLOOKUP(T$1,Metadata!$A$2:$A1000,Metadata!$B$2:$B1000))),T$1,"""")"),"")</f>
        <v/>
      </c>
      <c r="U175" s="33" t="str">
        <f>IFERROR(__xludf.DUMMYFUNCTION("IF(IF(U$1="""","""",REGEXMATCH(LOWER($E175),XLOOKUP(U$1,Metadata!$A$2:$A1000,Metadata!$B$2:$B1000))),U$1,"""")"),"Aggro")</f>
        <v>Aggro</v>
      </c>
      <c r="V175" s="33" t="str">
        <f>IFERROR(__xludf.DUMMYFUNCTION("IF(IF(V$1="""","""",REGEXMATCH(LOWER($E175),XLOOKUP(V$1,Metadata!$A$2:$A1000,Metadata!$B$2:$B1000))),V$1,"""")"),"")</f>
        <v/>
      </c>
      <c r="W175" s="33" t="str">
        <f>IFERROR(__xludf.DUMMYFUNCTION("IF(IF(W$1="""","""",REGEXMATCH(LOWER($E175),XLOOKUP(W$1,Metadata!$A$2:$A1000,Metadata!$B$2:$B1000))),W$1,"""")"),"")</f>
        <v/>
      </c>
      <c r="X175" s="33" t="str">
        <f>IFERROR(__xludf.DUMMYFUNCTION("IF(IF(X$1="""","""",REGEXMATCH(LOWER($E175),XLOOKUP(X$1,Metadata!$A$2:$A1000,Metadata!$B$2:$B1000))),X$1,"""")"),"Ambush")</f>
        <v>Ambush</v>
      </c>
      <c r="Y175" s="33" t="str">
        <f>IFERROR(__xludf.DUMMYFUNCTION("IF(IF(Y$1="""","""",REGEXMATCH(LOWER($E175),XLOOKUP(Y$1,Metadata!$A$2:$A1000,Metadata!$B$2:$B1000))),Y$1,"""")"),"")</f>
        <v/>
      </c>
      <c r="Z175" s="33" t="str">
        <f>IFERROR(__xludf.DUMMYFUNCTION("IF(IF(Z$1="""","""",REGEXMATCH(LOWER($E175),XLOOKUP(Z$1,Metadata!$A$2:$A1000,Metadata!$B$2:$B1000))),Z$1,"""")"),"")</f>
        <v/>
      </c>
      <c r="AA175" s="33" t="str">
        <f>IFERROR(__xludf.DUMMYFUNCTION("IF(AA$1="""","""",REGEXMATCH(LOWER($E175),XLOOKUP(AA$1,Metadata!$A$2:$A1000,Metadata!$B$2:$B1000)))"),"")</f>
        <v/>
      </c>
    </row>
    <row r="176">
      <c r="A176" s="33" t="str">
        <f>IFERROR(__xludf.DUMMYFUNCTION("""COMPUTED_VALUE"""),"Old Fisherman")</f>
        <v>Old Fisherman</v>
      </c>
      <c r="B176" s="33" t="str">
        <f t="array" ref="B176:I176">XLOOKUP($A176,Cards!$A$2:$A1000,Cards!$B$2:$I1000,"")</f>
        <v>Mortal</v>
      </c>
      <c r="C176" s="33">
        <v>2.0</v>
      </c>
      <c r="D176" s="33" t="s">
        <v>128</v>
      </c>
      <c r="E176" s="33" t="s">
        <v>1129</v>
      </c>
      <c r="F176" s="33" t="s">
        <v>1130</v>
      </c>
      <c r="G176" s="33">
        <v>3.0</v>
      </c>
      <c r="H176" s="33" t="s">
        <v>1110</v>
      </c>
      <c r="I176" s="33" t="s">
        <v>26</v>
      </c>
      <c r="J176" s="33">
        <f>IFERROR(__xludf.DUMMYFUNCTION("LEN(REGEXREPLACE(XLOOKUP($A176,Cards!$A$2:$A1000,Cards!$H$2:$H1000,""""),"",\s"",""""))"),5.0)</f>
        <v>5</v>
      </c>
      <c r="K176" s="33" t="str">
        <f t="shared" si="1"/>
        <v>               </v>
      </c>
      <c r="L176" s="33" t="str">
        <f>IFERROR(__xludf.DUMMYFUNCTION("IF(IF(L$1="""","""",REGEXMATCH(LOWER($E176),XLOOKUP(L$1,Metadata!$A$2:$A1000,Metadata!$B$2:$B1000))),L$1,"""")"),"")</f>
        <v/>
      </c>
      <c r="M176" s="33" t="str">
        <f>IFERROR(__xludf.DUMMYFUNCTION("IF(IF(M$1="""","""",REGEXMATCH(LOWER($E176),XLOOKUP(M$1,Metadata!$A$2:$A1000,Metadata!$B$2:$B1000))),M$1,"""")"),"")</f>
        <v/>
      </c>
      <c r="N176" s="33" t="str">
        <f>IFERROR(__xludf.DUMMYFUNCTION("IF(IF(N$1="""","""",REGEXMATCH(LOWER($E176),XLOOKUP(N$1,Metadata!$A$2:$A1000,Metadata!$B$2:$B1000))),N$1,"""")"),"")</f>
        <v/>
      </c>
      <c r="O176" s="33" t="str">
        <f>IFERROR(__xludf.DUMMYFUNCTION("IF(IF(O$1="""","""",REGEXMATCH(LOWER($E176),XLOOKUP(O$1,Metadata!$A$2:$A1000,Metadata!$B$2:$B1000))),O$1,"""")"),"")</f>
        <v/>
      </c>
      <c r="P176" s="33" t="str">
        <f>IFERROR(__xludf.DUMMYFUNCTION("IF(IF(P$1="""","""",REGEXMATCH(LOWER($E176),XLOOKUP(P$1,Metadata!$A$2:$A1000,Metadata!$B$2:$B1000))),P$1,"""")"),"")</f>
        <v/>
      </c>
      <c r="Q176" s="33" t="str">
        <f>IFERROR(__xludf.DUMMYFUNCTION("IF(IF(Q$1="""","""",REGEXMATCH(LOWER($E176),XLOOKUP(Q$1,Metadata!$A$2:$A1000,Metadata!$B$2:$B1000))),Q$1,"""")"),"")</f>
        <v/>
      </c>
      <c r="R176" s="33" t="str">
        <f>IFERROR(__xludf.DUMMYFUNCTION("IF(IF(R$1="""","""",REGEXMATCH(LOWER($E176),XLOOKUP(R$1,Metadata!$A$2:$A1000,Metadata!$B$2:$B1000))),R$1,"""")"),"")</f>
        <v/>
      </c>
      <c r="S176" s="33" t="str">
        <f>IFERROR(__xludf.DUMMYFUNCTION("IF(IF(S$1="""","""",REGEXMATCH(LOWER($E176),XLOOKUP(S$1,Metadata!$A$2:$A1000,Metadata!$B$2:$B1000))),S$1,"""")"),"")</f>
        <v/>
      </c>
      <c r="T176" s="33" t="str">
        <f>IFERROR(__xludf.DUMMYFUNCTION("IF(IF(T$1="""","""",REGEXMATCH(LOWER($E176),XLOOKUP(T$1,Metadata!$A$2:$A1000,Metadata!$B$2:$B1000))),T$1,"""")"),"")</f>
        <v/>
      </c>
      <c r="U176" s="33" t="str">
        <f>IFERROR(__xludf.DUMMYFUNCTION("IF(IF(U$1="""","""",REGEXMATCH(LOWER($E176),XLOOKUP(U$1,Metadata!$A$2:$A1000,Metadata!$B$2:$B1000))),U$1,"""")"),"")</f>
        <v/>
      </c>
      <c r="V176" s="33" t="str">
        <f>IFERROR(__xludf.DUMMYFUNCTION("IF(IF(V$1="""","""",REGEXMATCH(LOWER($E176),XLOOKUP(V$1,Metadata!$A$2:$A1000,Metadata!$B$2:$B1000))),V$1,"""")"),"")</f>
        <v/>
      </c>
      <c r="W176" s="33" t="str">
        <f>IFERROR(__xludf.DUMMYFUNCTION("IF(IF(W$1="""","""",REGEXMATCH(LOWER($E176),XLOOKUP(W$1,Metadata!$A$2:$A1000,Metadata!$B$2:$B1000))),W$1,"""")"),"")</f>
        <v/>
      </c>
      <c r="X176" s="33" t="str">
        <f>IFERROR(__xludf.DUMMYFUNCTION("IF(IF(X$1="""","""",REGEXMATCH(LOWER($E176),XLOOKUP(X$1,Metadata!$A$2:$A1000,Metadata!$B$2:$B1000))),X$1,"""")"),"")</f>
        <v/>
      </c>
      <c r="Y176" s="33" t="str">
        <f>IFERROR(__xludf.DUMMYFUNCTION("IF(IF(Y$1="""","""",REGEXMATCH(LOWER($E176),XLOOKUP(Y$1,Metadata!$A$2:$A1000,Metadata!$B$2:$B1000))),Y$1,"""")"),"")</f>
        <v/>
      </c>
      <c r="Z176" s="33" t="str">
        <f>IFERROR(__xludf.DUMMYFUNCTION("IF(IF(Z$1="""","""",REGEXMATCH(LOWER($E176),XLOOKUP(Z$1,Metadata!$A$2:$A1000,Metadata!$B$2:$B1000))),Z$1,"""")"),"")</f>
        <v/>
      </c>
      <c r="AA176" s="33" t="str">
        <f>IFERROR(__xludf.DUMMYFUNCTION("IF(AA$1="""","""",REGEXMATCH(LOWER($E176),XLOOKUP(AA$1,Metadata!$A$2:$A1000,Metadata!$B$2:$B1000)))"),"")</f>
        <v/>
      </c>
    </row>
    <row r="177">
      <c r="A177" s="33" t="str">
        <f>IFERROR(__xludf.DUMMYFUNCTION("""COMPUTED_VALUE"""),"Wasteland Overlord")</f>
        <v>Wasteland Overlord</v>
      </c>
      <c r="B177" s="33" t="str">
        <f t="array" ref="B177:I177">XLOOKUP($A177,Cards!$A$2:$A1000,Cards!$B$2:$I1000,"")</f>
        <v>Elemental Void</v>
      </c>
      <c r="C177" s="33">
        <v>1.0</v>
      </c>
      <c r="D177" s="33" t="s">
        <v>761</v>
      </c>
      <c r="E177" s="33" t="s">
        <v>1132</v>
      </c>
      <c r="F177" s="33" t="s">
        <v>1133</v>
      </c>
      <c r="G177" s="33">
        <v>5.0</v>
      </c>
      <c r="H177" s="33" t="s">
        <v>1134</v>
      </c>
      <c r="I177" s="33" t="s">
        <v>32</v>
      </c>
      <c r="J177" s="33">
        <f>IFERROR(__xludf.DUMMYFUNCTION("LEN(REGEXREPLACE(XLOOKUP($A177,Cards!$A$2:$A1000,Cards!$H$2:$H1000,""""),"",\s"",""""))"),4.0)</f>
        <v>4</v>
      </c>
      <c r="K177" s="33" t="str">
        <f t="shared" si="1"/>
        <v>         Aggro      </v>
      </c>
      <c r="L177" s="33" t="str">
        <f>IFERROR(__xludf.DUMMYFUNCTION("IF(IF(L$1="""","""",REGEXMATCH(LOWER($E177),XLOOKUP(L$1,Metadata!$A$2:$A1000,Metadata!$B$2:$B1000))),L$1,"""")"),"")</f>
        <v/>
      </c>
      <c r="M177" s="33" t="str">
        <f>IFERROR(__xludf.DUMMYFUNCTION("IF(IF(M$1="""","""",REGEXMATCH(LOWER($E177),XLOOKUP(M$1,Metadata!$A$2:$A1000,Metadata!$B$2:$B1000))),M$1,"""")"),"")</f>
        <v/>
      </c>
      <c r="N177" s="33" t="str">
        <f>IFERROR(__xludf.DUMMYFUNCTION("IF(IF(N$1="""","""",REGEXMATCH(LOWER($E177),XLOOKUP(N$1,Metadata!$A$2:$A1000,Metadata!$B$2:$B1000))),N$1,"""")"),"")</f>
        <v/>
      </c>
      <c r="O177" s="33" t="str">
        <f>IFERROR(__xludf.DUMMYFUNCTION("IF(IF(O$1="""","""",REGEXMATCH(LOWER($E177),XLOOKUP(O$1,Metadata!$A$2:$A1000,Metadata!$B$2:$B1000))),O$1,"""")"),"")</f>
        <v/>
      </c>
      <c r="P177" s="33" t="str">
        <f>IFERROR(__xludf.DUMMYFUNCTION("IF(IF(P$1="""","""",REGEXMATCH(LOWER($E177),XLOOKUP(P$1,Metadata!$A$2:$A1000,Metadata!$B$2:$B1000))),P$1,"""")"),"")</f>
        <v/>
      </c>
      <c r="Q177" s="33" t="str">
        <f>IFERROR(__xludf.DUMMYFUNCTION("IF(IF(Q$1="""","""",REGEXMATCH(LOWER($E177),XLOOKUP(Q$1,Metadata!$A$2:$A1000,Metadata!$B$2:$B1000))),Q$1,"""")"),"")</f>
        <v/>
      </c>
      <c r="R177" s="33" t="str">
        <f>IFERROR(__xludf.DUMMYFUNCTION("IF(IF(R$1="""","""",REGEXMATCH(LOWER($E177),XLOOKUP(R$1,Metadata!$A$2:$A1000,Metadata!$B$2:$B1000))),R$1,"""")"),"")</f>
        <v/>
      </c>
      <c r="S177" s="33" t="str">
        <f>IFERROR(__xludf.DUMMYFUNCTION("IF(IF(S$1="""","""",REGEXMATCH(LOWER($E177),XLOOKUP(S$1,Metadata!$A$2:$A1000,Metadata!$B$2:$B1000))),S$1,"""")"),"")</f>
        <v/>
      </c>
      <c r="T177" s="33" t="str">
        <f>IFERROR(__xludf.DUMMYFUNCTION("IF(IF(T$1="""","""",REGEXMATCH(LOWER($E177),XLOOKUP(T$1,Metadata!$A$2:$A1000,Metadata!$B$2:$B1000))),T$1,"""")"),"")</f>
        <v/>
      </c>
      <c r="U177" s="33" t="str">
        <f>IFERROR(__xludf.DUMMYFUNCTION("IF(IF(U$1="""","""",REGEXMATCH(LOWER($E177),XLOOKUP(U$1,Metadata!$A$2:$A1000,Metadata!$B$2:$B1000))),U$1,"""")"),"Aggro")</f>
        <v>Aggro</v>
      </c>
      <c r="V177" s="33" t="str">
        <f>IFERROR(__xludf.DUMMYFUNCTION("IF(IF(V$1="""","""",REGEXMATCH(LOWER($E177),XLOOKUP(V$1,Metadata!$A$2:$A1000,Metadata!$B$2:$B1000))),V$1,"""")"),"")</f>
        <v/>
      </c>
      <c r="W177" s="33" t="str">
        <f>IFERROR(__xludf.DUMMYFUNCTION("IF(IF(W$1="""","""",REGEXMATCH(LOWER($E177),XLOOKUP(W$1,Metadata!$A$2:$A1000,Metadata!$B$2:$B1000))),W$1,"""")"),"")</f>
        <v/>
      </c>
      <c r="X177" s="33" t="str">
        <f>IFERROR(__xludf.DUMMYFUNCTION("IF(IF(X$1="""","""",REGEXMATCH(LOWER($E177),XLOOKUP(X$1,Metadata!$A$2:$A1000,Metadata!$B$2:$B1000))),X$1,"""")"),"")</f>
        <v/>
      </c>
      <c r="Y177" s="33" t="str">
        <f>IFERROR(__xludf.DUMMYFUNCTION("IF(IF(Y$1="""","""",REGEXMATCH(LOWER($E177),XLOOKUP(Y$1,Metadata!$A$2:$A1000,Metadata!$B$2:$B1000))),Y$1,"""")"),"")</f>
        <v/>
      </c>
      <c r="Z177" s="33" t="str">
        <f>IFERROR(__xludf.DUMMYFUNCTION("IF(IF(Z$1="""","""",REGEXMATCH(LOWER($E177),XLOOKUP(Z$1,Metadata!$A$2:$A1000,Metadata!$B$2:$B1000))),Z$1,"""")"),"")</f>
        <v/>
      </c>
      <c r="AA177" s="33" t="str">
        <f>IFERROR(__xludf.DUMMYFUNCTION("IF(AA$1="""","""",REGEXMATCH(LOWER($E177),XLOOKUP(AA$1,Metadata!$A$2:$A1000,Metadata!$B$2:$B1000)))"),"")</f>
        <v/>
      </c>
    </row>
    <row r="178">
      <c r="A178" s="33" t="str">
        <f>IFERROR(__xludf.DUMMYFUNCTION("""COMPUTED_VALUE"""),"Pinwheel Illusionist")</f>
        <v>Pinwheel Illusionist</v>
      </c>
      <c r="B178" s="33" t="str">
        <f t="array" ref="B178:I178">XLOOKUP($A178,Cards!$A$2:$A1000,Cards!$B$2:$I1000,"")</f>
        <v>Mortal</v>
      </c>
      <c r="C178" s="33">
        <v>2.0</v>
      </c>
      <c r="D178" s="33" t="s">
        <v>294</v>
      </c>
      <c r="E178" s="33" t="s">
        <v>1140</v>
      </c>
      <c r="F178" s="33" t="s">
        <v>1141</v>
      </c>
      <c r="G178" s="33">
        <v>3.0</v>
      </c>
      <c r="H178" s="33" t="s">
        <v>1038</v>
      </c>
      <c r="I178" s="33" t="s">
        <v>62</v>
      </c>
      <c r="J178" s="33">
        <f>IFERROR(__xludf.DUMMYFUNCTION("LEN(REGEXREPLACE(XLOOKUP($A178,Cards!$A$2:$A1000,Cards!$H$2:$H1000,""""),"",\s"",""""))"),4.0)</f>
        <v>4</v>
      </c>
      <c r="K178" s="33" t="str">
        <f t="shared" si="1"/>
        <v>  Mortal      Copy Aggro      </v>
      </c>
      <c r="L178" s="33" t="str">
        <f>IFERROR(__xludf.DUMMYFUNCTION("IF(IF(L$1="""","""",REGEXMATCH(LOWER($E178),XLOOKUP(L$1,Metadata!$A$2:$A1000,Metadata!$B$2:$B1000))),L$1,"""")"),"")</f>
        <v/>
      </c>
      <c r="M178" s="33" t="str">
        <f>IFERROR(__xludf.DUMMYFUNCTION("IF(IF(M$1="""","""",REGEXMATCH(LOWER($E178),XLOOKUP(M$1,Metadata!$A$2:$A1000,Metadata!$B$2:$B1000))),M$1,"""")"),"")</f>
        <v/>
      </c>
      <c r="N178" s="33" t="str">
        <f>IFERROR(__xludf.DUMMYFUNCTION("IF(IF(N$1="""","""",REGEXMATCH(LOWER($E178),XLOOKUP(N$1,Metadata!$A$2:$A1000,Metadata!$B$2:$B1000))),N$1,"""")"),"Mortal")</f>
        <v>Mortal</v>
      </c>
      <c r="O178" s="33" t="str">
        <f>IFERROR(__xludf.DUMMYFUNCTION("IF(IF(O$1="""","""",REGEXMATCH(LOWER($E178),XLOOKUP(O$1,Metadata!$A$2:$A1000,Metadata!$B$2:$B1000))),O$1,"""")"),"")</f>
        <v/>
      </c>
      <c r="P178" s="33" t="str">
        <f>IFERROR(__xludf.DUMMYFUNCTION("IF(IF(P$1="""","""",REGEXMATCH(LOWER($E178),XLOOKUP(P$1,Metadata!$A$2:$A1000,Metadata!$B$2:$B1000))),P$1,"""")"),"")</f>
        <v/>
      </c>
      <c r="Q178" s="33" t="str">
        <f>IFERROR(__xludf.DUMMYFUNCTION("IF(IF(Q$1="""","""",REGEXMATCH(LOWER($E178),XLOOKUP(Q$1,Metadata!$A$2:$A1000,Metadata!$B$2:$B1000))),Q$1,"""")"),"")</f>
        <v/>
      </c>
      <c r="R178" s="33" t="str">
        <f>IFERROR(__xludf.DUMMYFUNCTION("IF(IF(R$1="""","""",REGEXMATCH(LOWER($E178),XLOOKUP(R$1,Metadata!$A$2:$A1000,Metadata!$B$2:$B1000))),R$1,"""")"),"")</f>
        <v/>
      </c>
      <c r="S178" s="33" t="str">
        <f>IFERROR(__xludf.DUMMYFUNCTION("IF(IF(S$1="""","""",REGEXMATCH(LOWER($E178),XLOOKUP(S$1,Metadata!$A$2:$A1000,Metadata!$B$2:$B1000))),S$1,"""")"),"")</f>
        <v/>
      </c>
      <c r="T178" s="33" t="str">
        <f>IFERROR(__xludf.DUMMYFUNCTION("IF(IF(T$1="""","""",REGEXMATCH(LOWER($E178),XLOOKUP(T$1,Metadata!$A$2:$A1000,Metadata!$B$2:$B1000))),T$1,"""")"),"Copy")</f>
        <v>Copy</v>
      </c>
      <c r="U178" s="33" t="str">
        <f>IFERROR(__xludf.DUMMYFUNCTION("IF(IF(U$1="""","""",REGEXMATCH(LOWER($E178),XLOOKUP(U$1,Metadata!$A$2:$A1000,Metadata!$B$2:$B1000))),U$1,"""")"),"Aggro")</f>
        <v>Aggro</v>
      </c>
      <c r="V178" s="33" t="str">
        <f>IFERROR(__xludf.DUMMYFUNCTION("IF(IF(V$1="""","""",REGEXMATCH(LOWER($E178),XLOOKUP(V$1,Metadata!$A$2:$A1000,Metadata!$B$2:$B1000))),V$1,"""")"),"")</f>
        <v/>
      </c>
      <c r="W178" s="33" t="str">
        <f>IFERROR(__xludf.DUMMYFUNCTION("IF(IF(W$1="""","""",REGEXMATCH(LOWER($E178),XLOOKUP(W$1,Metadata!$A$2:$A1000,Metadata!$B$2:$B1000))),W$1,"""")"),"")</f>
        <v/>
      </c>
      <c r="X178" s="33" t="str">
        <f>IFERROR(__xludf.DUMMYFUNCTION("IF(IF(X$1="""","""",REGEXMATCH(LOWER($E178),XLOOKUP(X$1,Metadata!$A$2:$A1000,Metadata!$B$2:$B1000))),X$1,"""")"),"")</f>
        <v/>
      </c>
      <c r="Y178" s="33" t="str">
        <f>IFERROR(__xludf.DUMMYFUNCTION("IF(IF(Y$1="""","""",REGEXMATCH(LOWER($E178),XLOOKUP(Y$1,Metadata!$A$2:$A1000,Metadata!$B$2:$B1000))),Y$1,"""")"),"")</f>
        <v/>
      </c>
      <c r="Z178" s="33" t="str">
        <f>IFERROR(__xludf.DUMMYFUNCTION("IF(IF(Z$1="""","""",REGEXMATCH(LOWER($E178),XLOOKUP(Z$1,Metadata!$A$2:$A1000,Metadata!$B$2:$B1000))),Z$1,"""")"),"")</f>
        <v/>
      </c>
      <c r="AA178" s="33" t="str">
        <f>IFERROR(__xludf.DUMMYFUNCTION("IF(AA$1="""","""",REGEXMATCH(LOWER($E178),XLOOKUP(AA$1,Metadata!$A$2:$A1000,Metadata!$B$2:$B1000)))"),"")</f>
        <v/>
      </c>
    </row>
    <row r="179">
      <c r="A179" s="33" t="str">
        <f>IFERROR(__xludf.DUMMYFUNCTION("""COMPUTED_VALUE"""),"Skulloath Marauder")</f>
        <v>Skulloath Marauder</v>
      </c>
      <c r="B179" s="33" t="str">
        <f t="array" ref="B179:I179">XLOOKUP($A179,Cards!$A$2:$A1000,Cards!$B$2:$I1000,"")</f>
        <v>Elemental Void</v>
      </c>
      <c r="C179" s="33">
        <v>1.0</v>
      </c>
      <c r="D179" s="33" t="s">
        <v>1143</v>
      </c>
      <c r="E179" s="33"/>
      <c r="F179" s="33" t="s">
        <v>1144</v>
      </c>
      <c r="G179" s="33">
        <v>2.0</v>
      </c>
      <c r="H179" s="33" t="s">
        <v>914</v>
      </c>
      <c r="I179" s="33" t="s">
        <v>26</v>
      </c>
      <c r="J179" s="33">
        <f>IFERROR(__xludf.DUMMYFUNCTION("LEN(REGEXREPLACE(XLOOKUP($A179,Cards!$A$2:$A1000,Cards!$H$2:$H1000,""""),"",\s"",""""))"),2.0)</f>
        <v>2</v>
      </c>
      <c r="K179" s="33" t="str">
        <f t="shared" si="1"/>
        <v>               </v>
      </c>
      <c r="L179" s="33" t="str">
        <f>IFERROR(__xludf.DUMMYFUNCTION("IF(IF(L$1="""","""",REGEXMATCH(LOWER($E179),XLOOKUP(L$1,Metadata!$A$2:$A1000,Metadata!$B$2:$B1000))),L$1,"""")"),"")</f>
        <v/>
      </c>
      <c r="M179" s="33" t="str">
        <f>IFERROR(__xludf.DUMMYFUNCTION("IF(IF(M$1="""","""",REGEXMATCH(LOWER($E179),XLOOKUP(M$1,Metadata!$A$2:$A1000,Metadata!$B$2:$B1000))),M$1,"""")"),"")</f>
        <v/>
      </c>
      <c r="N179" s="33" t="str">
        <f>IFERROR(__xludf.DUMMYFUNCTION("IF(IF(N$1="""","""",REGEXMATCH(LOWER($E179),XLOOKUP(N$1,Metadata!$A$2:$A1000,Metadata!$B$2:$B1000))),N$1,"""")"),"")</f>
        <v/>
      </c>
      <c r="O179" s="33" t="str">
        <f>IFERROR(__xludf.DUMMYFUNCTION("IF(IF(O$1="""","""",REGEXMATCH(LOWER($E179),XLOOKUP(O$1,Metadata!$A$2:$A1000,Metadata!$B$2:$B1000))),O$1,"""")"),"")</f>
        <v/>
      </c>
      <c r="P179" s="33" t="str">
        <f>IFERROR(__xludf.DUMMYFUNCTION("IF(IF(P$1="""","""",REGEXMATCH(LOWER($E179),XLOOKUP(P$1,Metadata!$A$2:$A1000,Metadata!$B$2:$B1000))),P$1,"""")"),"")</f>
        <v/>
      </c>
      <c r="Q179" s="33" t="str">
        <f>IFERROR(__xludf.DUMMYFUNCTION("IF(IF(Q$1="""","""",REGEXMATCH(LOWER($E179),XLOOKUP(Q$1,Metadata!$A$2:$A1000,Metadata!$B$2:$B1000))),Q$1,"""")"),"")</f>
        <v/>
      </c>
      <c r="R179" s="33" t="str">
        <f>IFERROR(__xludf.DUMMYFUNCTION("IF(IF(R$1="""","""",REGEXMATCH(LOWER($E179),XLOOKUP(R$1,Metadata!$A$2:$A1000,Metadata!$B$2:$B1000))),R$1,"""")"),"")</f>
        <v/>
      </c>
      <c r="S179" s="33" t="str">
        <f>IFERROR(__xludf.DUMMYFUNCTION("IF(IF(S$1="""","""",REGEXMATCH(LOWER($E179),XLOOKUP(S$1,Metadata!$A$2:$A1000,Metadata!$B$2:$B1000))),S$1,"""")"),"")</f>
        <v/>
      </c>
      <c r="T179" s="33" t="str">
        <f>IFERROR(__xludf.DUMMYFUNCTION("IF(IF(T$1="""","""",REGEXMATCH(LOWER($E179),XLOOKUP(T$1,Metadata!$A$2:$A1000,Metadata!$B$2:$B1000))),T$1,"""")"),"")</f>
        <v/>
      </c>
      <c r="U179" s="33" t="str">
        <f>IFERROR(__xludf.DUMMYFUNCTION("IF(IF(U$1="""","""",REGEXMATCH(LOWER($E179),XLOOKUP(U$1,Metadata!$A$2:$A1000,Metadata!$B$2:$B1000))),U$1,"""")"),"")</f>
        <v/>
      </c>
      <c r="V179" s="33" t="str">
        <f>IFERROR(__xludf.DUMMYFUNCTION("IF(IF(V$1="""","""",REGEXMATCH(LOWER($E179),XLOOKUP(V$1,Metadata!$A$2:$A1000,Metadata!$B$2:$B1000))),V$1,"""")"),"")</f>
        <v/>
      </c>
      <c r="W179" s="33" t="str">
        <f>IFERROR(__xludf.DUMMYFUNCTION("IF(IF(W$1="""","""",REGEXMATCH(LOWER($E179),XLOOKUP(W$1,Metadata!$A$2:$A1000,Metadata!$B$2:$B1000))),W$1,"""")"),"")</f>
        <v/>
      </c>
      <c r="X179" s="33" t="str">
        <f>IFERROR(__xludf.DUMMYFUNCTION("IF(IF(X$1="""","""",REGEXMATCH(LOWER($E179),XLOOKUP(X$1,Metadata!$A$2:$A1000,Metadata!$B$2:$B1000))),X$1,"""")"),"")</f>
        <v/>
      </c>
      <c r="Y179" s="33" t="str">
        <f>IFERROR(__xludf.DUMMYFUNCTION("IF(IF(Y$1="""","""",REGEXMATCH(LOWER($E179),XLOOKUP(Y$1,Metadata!$A$2:$A1000,Metadata!$B$2:$B1000))),Y$1,"""")"),"")</f>
        <v/>
      </c>
      <c r="Z179" s="33" t="str">
        <f>IFERROR(__xludf.DUMMYFUNCTION("IF(IF(Z$1="""","""",REGEXMATCH(LOWER($E179),XLOOKUP(Z$1,Metadata!$A$2:$A1000,Metadata!$B$2:$B1000))),Z$1,"""")"),"")</f>
        <v/>
      </c>
      <c r="AA179" s="33" t="str">
        <f>IFERROR(__xludf.DUMMYFUNCTION("IF(AA$1="""","""",REGEXMATCH(LOWER($E179),XLOOKUP(AA$1,Metadata!$A$2:$A1000,Metadata!$B$2:$B1000)))"),"")</f>
        <v/>
      </c>
    </row>
    <row r="180">
      <c r="A180" s="33" t="str">
        <f>IFERROR(__xludf.DUMMYFUNCTION("""COMPUTED_VALUE"""),"Alchemist's Incense")</f>
        <v>Alchemist's Incense</v>
      </c>
      <c r="B180" s="33" t="str">
        <f t="array" ref="B180:I180">XLOOKUP($A180,Cards!$A$2:$A1000,Cards!$B$2:$I1000,"")</f>
        <v>Mortal</v>
      </c>
      <c r="C180" s="33">
        <v>1.0</v>
      </c>
      <c r="D180" s="33" t="s">
        <v>602</v>
      </c>
      <c r="E180" s="33" t="s">
        <v>1157</v>
      </c>
      <c r="F180" s="33" t="s">
        <v>1158</v>
      </c>
      <c r="G180" s="33">
        <v>3.0</v>
      </c>
      <c r="H180" s="33" t="s">
        <v>989</v>
      </c>
      <c r="I180" s="33" t="s">
        <v>26</v>
      </c>
      <c r="J180" s="33">
        <f>IFERROR(__xludf.DUMMYFUNCTION("LEN(REGEXREPLACE(XLOOKUP($A180,Cards!$A$2:$A1000,Cards!$H$2:$H1000,""""),"",\s"",""""))"),3.0)</f>
        <v>3</v>
      </c>
      <c r="K180" s="33" t="str">
        <f t="shared" si="1"/>
        <v>               </v>
      </c>
      <c r="L180" s="33" t="str">
        <f>IFERROR(__xludf.DUMMYFUNCTION("IF(IF(L$1="""","""",REGEXMATCH(LOWER($E180),XLOOKUP(L$1,Metadata!$A$2:$A1000,Metadata!$B$2:$B1000))),L$1,"""")"),"")</f>
        <v/>
      </c>
      <c r="M180" s="33" t="str">
        <f>IFERROR(__xludf.DUMMYFUNCTION("IF(IF(M$1="""","""",REGEXMATCH(LOWER($E180),XLOOKUP(M$1,Metadata!$A$2:$A1000,Metadata!$B$2:$B1000))),M$1,"""")"),"")</f>
        <v/>
      </c>
      <c r="N180" s="33" t="str">
        <f>IFERROR(__xludf.DUMMYFUNCTION("IF(IF(N$1="""","""",REGEXMATCH(LOWER($E180),XLOOKUP(N$1,Metadata!$A$2:$A1000,Metadata!$B$2:$B1000))),N$1,"""")"),"")</f>
        <v/>
      </c>
      <c r="O180" s="33" t="str">
        <f>IFERROR(__xludf.DUMMYFUNCTION("IF(IF(O$1="""","""",REGEXMATCH(LOWER($E180),XLOOKUP(O$1,Metadata!$A$2:$A1000,Metadata!$B$2:$B1000))),O$1,"""")"),"")</f>
        <v/>
      </c>
      <c r="P180" s="33" t="str">
        <f>IFERROR(__xludf.DUMMYFUNCTION("IF(IF(P$1="""","""",REGEXMATCH(LOWER($E180),XLOOKUP(P$1,Metadata!$A$2:$A1000,Metadata!$B$2:$B1000))),P$1,"""")"),"")</f>
        <v/>
      </c>
      <c r="Q180" s="33" t="str">
        <f>IFERROR(__xludf.DUMMYFUNCTION("IF(IF(Q$1="""","""",REGEXMATCH(LOWER($E180),XLOOKUP(Q$1,Metadata!$A$2:$A1000,Metadata!$B$2:$B1000))),Q$1,"""")"),"")</f>
        <v/>
      </c>
      <c r="R180" s="33" t="str">
        <f>IFERROR(__xludf.DUMMYFUNCTION("IF(IF(R$1="""","""",REGEXMATCH(LOWER($E180),XLOOKUP(R$1,Metadata!$A$2:$A1000,Metadata!$B$2:$B1000))),R$1,"""")"),"")</f>
        <v/>
      </c>
      <c r="S180" s="33" t="str">
        <f>IFERROR(__xludf.DUMMYFUNCTION("IF(IF(S$1="""","""",REGEXMATCH(LOWER($E180),XLOOKUP(S$1,Metadata!$A$2:$A1000,Metadata!$B$2:$B1000))),S$1,"""")"),"")</f>
        <v/>
      </c>
      <c r="T180" s="33" t="str">
        <f>IFERROR(__xludf.DUMMYFUNCTION("IF(IF(T$1="""","""",REGEXMATCH(LOWER($E180),XLOOKUP(T$1,Metadata!$A$2:$A1000,Metadata!$B$2:$B1000))),T$1,"""")"),"")</f>
        <v/>
      </c>
      <c r="U180" s="33" t="str">
        <f>IFERROR(__xludf.DUMMYFUNCTION("IF(IF(U$1="""","""",REGEXMATCH(LOWER($E180),XLOOKUP(U$1,Metadata!$A$2:$A1000,Metadata!$B$2:$B1000))),U$1,"""")"),"")</f>
        <v/>
      </c>
      <c r="V180" s="33" t="str">
        <f>IFERROR(__xludf.DUMMYFUNCTION("IF(IF(V$1="""","""",REGEXMATCH(LOWER($E180),XLOOKUP(V$1,Metadata!$A$2:$A1000,Metadata!$B$2:$B1000))),V$1,"""")"),"")</f>
        <v/>
      </c>
      <c r="W180" s="33" t="str">
        <f>IFERROR(__xludf.DUMMYFUNCTION("IF(IF(W$1="""","""",REGEXMATCH(LOWER($E180),XLOOKUP(W$1,Metadata!$A$2:$A1000,Metadata!$B$2:$B1000))),W$1,"""")"),"")</f>
        <v/>
      </c>
      <c r="X180" s="33" t="str">
        <f>IFERROR(__xludf.DUMMYFUNCTION("IF(IF(X$1="""","""",REGEXMATCH(LOWER($E180),XLOOKUP(X$1,Metadata!$A$2:$A1000,Metadata!$B$2:$B1000))),X$1,"""")"),"")</f>
        <v/>
      </c>
      <c r="Y180" s="33" t="str">
        <f>IFERROR(__xludf.DUMMYFUNCTION("IF(IF(Y$1="""","""",REGEXMATCH(LOWER($E180),XLOOKUP(Y$1,Metadata!$A$2:$A1000,Metadata!$B$2:$B1000))),Y$1,"""")"),"")</f>
        <v/>
      </c>
      <c r="Z180" s="33" t="str">
        <f>IFERROR(__xludf.DUMMYFUNCTION("IF(IF(Z$1="""","""",REGEXMATCH(LOWER($E180),XLOOKUP(Z$1,Metadata!$A$2:$A1000,Metadata!$B$2:$B1000))),Z$1,"""")"),"")</f>
        <v/>
      </c>
      <c r="AA180" s="33" t="str">
        <f>IFERROR(__xludf.DUMMYFUNCTION("IF(AA$1="""","""",REGEXMATCH(LOWER($E180),XLOOKUP(AA$1,Metadata!$A$2:$A1000,Metadata!$B$2:$B1000)))"),"")</f>
        <v/>
      </c>
    </row>
    <row r="181">
      <c r="A181" s="33" t="str">
        <f>IFERROR(__xludf.DUMMYFUNCTION("""COMPUTED_VALUE"""),"Quadriga of Triumph")</f>
        <v>Quadriga of Triumph</v>
      </c>
      <c r="B181" s="33" t="str">
        <f t="array" ref="B181:I181">XLOOKUP($A181,Cards!$A$2:$A1000,Cards!$B$2:$I1000,"")</f>
        <v>Mortal</v>
      </c>
      <c r="C181" s="33">
        <v>2.0</v>
      </c>
      <c r="D181" s="33" t="s">
        <v>70</v>
      </c>
      <c r="E181" s="33" t="s">
        <v>1167</v>
      </c>
      <c r="F181" s="33" t="s">
        <v>1168</v>
      </c>
      <c r="G181" s="33">
        <v>3.0</v>
      </c>
      <c r="H181" s="33" t="s">
        <v>1038</v>
      </c>
      <c r="I181" s="33" t="s">
        <v>62</v>
      </c>
      <c r="J181" s="33">
        <f>IFERROR(__xludf.DUMMYFUNCTION("LEN(REGEXREPLACE(XLOOKUP($A181,Cards!$A$2:$A1000,Cards!$H$2:$H1000,""""),"",\s"",""""))"),4.0)</f>
        <v>4</v>
      </c>
      <c r="K181" s="33" t="str">
        <f t="shared" si="1"/>
        <v>      Ramp   Aggro      </v>
      </c>
      <c r="L181" s="33" t="str">
        <f>IFERROR(__xludf.DUMMYFUNCTION("IF(IF(L$1="""","""",REGEXMATCH(LOWER($E181),XLOOKUP(L$1,Metadata!$A$2:$A1000,Metadata!$B$2:$B1000))),L$1,"""")"),"")</f>
        <v/>
      </c>
      <c r="M181" s="33" t="str">
        <f>IFERROR(__xludf.DUMMYFUNCTION("IF(IF(M$1="""","""",REGEXMATCH(LOWER($E181),XLOOKUP(M$1,Metadata!$A$2:$A1000,Metadata!$B$2:$B1000))),M$1,"""")"),"")</f>
        <v/>
      </c>
      <c r="N181" s="33" t="str">
        <f>IFERROR(__xludf.DUMMYFUNCTION("IF(IF(N$1="""","""",REGEXMATCH(LOWER($E181),XLOOKUP(N$1,Metadata!$A$2:$A1000,Metadata!$B$2:$B1000))),N$1,"""")"),"")</f>
        <v/>
      </c>
      <c r="O181" s="33" t="str">
        <f>IFERROR(__xludf.DUMMYFUNCTION("IF(IF(O$1="""","""",REGEXMATCH(LOWER($E181),XLOOKUP(O$1,Metadata!$A$2:$A1000,Metadata!$B$2:$B1000))),O$1,"""")"),"")</f>
        <v/>
      </c>
      <c r="P181" s="33" t="str">
        <f>IFERROR(__xludf.DUMMYFUNCTION("IF(IF(P$1="""","""",REGEXMATCH(LOWER($E181),XLOOKUP(P$1,Metadata!$A$2:$A1000,Metadata!$B$2:$B1000))),P$1,"""")"),"")</f>
        <v/>
      </c>
      <c r="Q181" s="33" t="str">
        <f>IFERROR(__xludf.DUMMYFUNCTION("IF(IF(Q$1="""","""",REGEXMATCH(LOWER($E181),XLOOKUP(Q$1,Metadata!$A$2:$A1000,Metadata!$B$2:$B1000))),Q$1,"""")"),"")</f>
        <v/>
      </c>
      <c r="R181" s="33" t="str">
        <f>IFERROR(__xludf.DUMMYFUNCTION("IF(IF(R$1="""","""",REGEXMATCH(LOWER($E181),XLOOKUP(R$1,Metadata!$A$2:$A1000,Metadata!$B$2:$B1000))),R$1,"""")"),"Ramp")</f>
        <v>Ramp</v>
      </c>
      <c r="S181" s="33" t="str">
        <f>IFERROR(__xludf.DUMMYFUNCTION("IF(IF(S$1="""","""",REGEXMATCH(LOWER($E181),XLOOKUP(S$1,Metadata!$A$2:$A1000,Metadata!$B$2:$B1000))),S$1,"""")"),"")</f>
        <v/>
      </c>
      <c r="T181" s="33" t="str">
        <f>IFERROR(__xludf.DUMMYFUNCTION("IF(IF(T$1="""","""",REGEXMATCH(LOWER($E181),XLOOKUP(T$1,Metadata!$A$2:$A1000,Metadata!$B$2:$B1000))),T$1,"""")"),"")</f>
        <v/>
      </c>
      <c r="U181" s="33" t="str">
        <f>IFERROR(__xludf.DUMMYFUNCTION("IF(IF(U$1="""","""",REGEXMATCH(LOWER($E181),XLOOKUP(U$1,Metadata!$A$2:$A1000,Metadata!$B$2:$B1000))),U$1,"""")"),"Aggro")</f>
        <v>Aggro</v>
      </c>
      <c r="V181" s="33" t="str">
        <f>IFERROR(__xludf.DUMMYFUNCTION("IF(IF(V$1="""","""",REGEXMATCH(LOWER($E181),XLOOKUP(V$1,Metadata!$A$2:$A1000,Metadata!$B$2:$B1000))),V$1,"""")"),"")</f>
        <v/>
      </c>
      <c r="W181" s="33" t="str">
        <f>IFERROR(__xludf.DUMMYFUNCTION("IF(IF(W$1="""","""",REGEXMATCH(LOWER($E181),XLOOKUP(W$1,Metadata!$A$2:$A1000,Metadata!$B$2:$B1000))),W$1,"""")"),"")</f>
        <v/>
      </c>
      <c r="X181" s="33" t="str">
        <f>IFERROR(__xludf.DUMMYFUNCTION("IF(IF(X$1="""","""",REGEXMATCH(LOWER($E181),XLOOKUP(X$1,Metadata!$A$2:$A1000,Metadata!$B$2:$B1000))),X$1,"""")"),"")</f>
        <v/>
      </c>
      <c r="Y181" s="33" t="str">
        <f>IFERROR(__xludf.DUMMYFUNCTION("IF(IF(Y$1="""","""",REGEXMATCH(LOWER($E181),XLOOKUP(Y$1,Metadata!$A$2:$A1000,Metadata!$B$2:$B1000))),Y$1,"""")"),"")</f>
        <v/>
      </c>
      <c r="Z181" s="33" t="str">
        <f>IFERROR(__xludf.DUMMYFUNCTION("IF(IF(Z$1="""","""",REGEXMATCH(LOWER($E181),XLOOKUP(Z$1,Metadata!$A$2:$A1000,Metadata!$B$2:$B1000))),Z$1,"""")"),"")</f>
        <v/>
      </c>
      <c r="AA181" s="33" t="str">
        <f>IFERROR(__xludf.DUMMYFUNCTION("IF(AA$1="""","""",REGEXMATCH(LOWER($E181),XLOOKUP(AA$1,Metadata!$A$2:$A1000,Metadata!$B$2:$B1000)))"),"")</f>
        <v/>
      </c>
    </row>
    <row r="182">
      <c r="A182" s="33" t="str">
        <f>IFERROR(__xludf.DUMMYFUNCTION("""COMPUTED_VALUE"""),"Ambrosia Bee")</f>
        <v>Ambrosia Bee</v>
      </c>
      <c r="B182" s="33" t="str">
        <f t="array" ref="B182:I182">XLOOKUP($A182,Cards!$A$2:$A1000,Cards!$B$2:$I1000,"")</f>
        <v>Mortal</v>
      </c>
      <c r="C182" s="33">
        <v>1.0</v>
      </c>
      <c r="D182" s="33" t="s">
        <v>609</v>
      </c>
      <c r="E182" s="33" t="s">
        <v>1170</v>
      </c>
      <c r="F182" s="33" t="s">
        <v>1171</v>
      </c>
      <c r="G182" s="33">
        <v>1.0</v>
      </c>
      <c r="H182" s="33" t="s">
        <v>995</v>
      </c>
      <c r="I182" s="33" t="s">
        <v>26</v>
      </c>
      <c r="J182" s="33">
        <f>IFERROR(__xludf.DUMMYFUNCTION("LEN(REGEXREPLACE(XLOOKUP($A182,Cards!$A$2:$A1000,Cards!$H$2:$H1000,""""),"",\s"",""""))"),2.0)</f>
        <v>2</v>
      </c>
      <c r="K182" s="33" t="str">
        <f t="shared" si="1"/>
        <v>  Mortal             </v>
      </c>
      <c r="L182" s="33" t="str">
        <f>IFERROR(__xludf.DUMMYFUNCTION("IF(IF(L$1="""","""",REGEXMATCH(LOWER($E182),XLOOKUP(L$1,Metadata!$A$2:$A1000,Metadata!$B$2:$B1000))),L$1,"""")"),"")</f>
        <v/>
      </c>
      <c r="M182" s="33" t="str">
        <f>IFERROR(__xludf.DUMMYFUNCTION("IF(IF(M$1="""","""",REGEXMATCH(LOWER($E182),XLOOKUP(M$1,Metadata!$A$2:$A1000,Metadata!$B$2:$B1000))),M$1,"""")"),"")</f>
        <v/>
      </c>
      <c r="N182" s="33" t="str">
        <f>IFERROR(__xludf.DUMMYFUNCTION("IF(IF(N$1="""","""",REGEXMATCH(LOWER($E182),XLOOKUP(N$1,Metadata!$A$2:$A1000,Metadata!$B$2:$B1000))),N$1,"""")"),"Mortal")</f>
        <v>Mortal</v>
      </c>
      <c r="O182" s="33" t="str">
        <f>IFERROR(__xludf.DUMMYFUNCTION("IF(IF(O$1="""","""",REGEXMATCH(LOWER($E182),XLOOKUP(O$1,Metadata!$A$2:$A1000,Metadata!$B$2:$B1000))),O$1,"""")"),"")</f>
        <v/>
      </c>
      <c r="P182" s="33" t="str">
        <f>IFERROR(__xludf.DUMMYFUNCTION("IF(IF(P$1="""","""",REGEXMATCH(LOWER($E182),XLOOKUP(P$1,Metadata!$A$2:$A1000,Metadata!$B$2:$B1000))),P$1,"""")"),"")</f>
        <v/>
      </c>
      <c r="Q182" s="33" t="str">
        <f>IFERROR(__xludf.DUMMYFUNCTION("IF(IF(Q$1="""","""",REGEXMATCH(LOWER($E182),XLOOKUP(Q$1,Metadata!$A$2:$A1000,Metadata!$B$2:$B1000))),Q$1,"""")"),"")</f>
        <v/>
      </c>
      <c r="R182" s="33" t="str">
        <f>IFERROR(__xludf.DUMMYFUNCTION("IF(IF(R$1="""","""",REGEXMATCH(LOWER($E182),XLOOKUP(R$1,Metadata!$A$2:$A1000,Metadata!$B$2:$B1000))),R$1,"""")"),"")</f>
        <v/>
      </c>
      <c r="S182" s="33" t="str">
        <f>IFERROR(__xludf.DUMMYFUNCTION("IF(IF(S$1="""","""",REGEXMATCH(LOWER($E182),XLOOKUP(S$1,Metadata!$A$2:$A1000,Metadata!$B$2:$B1000))),S$1,"""")"),"")</f>
        <v/>
      </c>
      <c r="T182" s="33" t="str">
        <f>IFERROR(__xludf.DUMMYFUNCTION("IF(IF(T$1="""","""",REGEXMATCH(LOWER($E182),XLOOKUP(T$1,Metadata!$A$2:$A1000,Metadata!$B$2:$B1000))),T$1,"""")"),"")</f>
        <v/>
      </c>
      <c r="U182" s="33" t="str">
        <f>IFERROR(__xludf.DUMMYFUNCTION("IF(IF(U$1="""","""",REGEXMATCH(LOWER($E182),XLOOKUP(U$1,Metadata!$A$2:$A1000,Metadata!$B$2:$B1000))),U$1,"""")"),"")</f>
        <v/>
      </c>
      <c r="V182" s="33" t="str">
        <f>IFERROR(__xludf.DUMMYFUNCTION("IF(IF(V$1="""","""",REGEXMATCH(LOWER($E182),XLOOKUP(V$1,Metadata!$A$2:$A1000,Metadata!$B$2:$B1000))),V$1,"""")"),"")</f>
        <v/>
      </c>
      <c r="W182" s="33" t="str">
        <f>IFERROR(__xludf.DUMMYFUNCTION("IF(IF(W$1="""","""",REGEXMATCH(LOWER($E182),XLOOKUP(W$1,Metadata!$A$2:$A1000,Metadata!$B$2:$B1000))),W$1,"""")"),"")</f>
        <v/>
      </c>
      <c r="X182" s="33" t="str">
        <f>IFERROR(__xludf.DUMMYFUNCTION("IF(IF(X$1="""","""",REGEXMATCH(LOWER($E182),XLOOKUP(X$1,Metadata!$A$2:$A1000,Metadata!$B$2:$B1000))),X$1,"""")"),"")</f>
        <v/>
      </c>
      <c r="Y182" s="33" t="str">
        <f>IFERROR(__xludf.DUMMYFUNCTION("IF(IF(Y$1="""","""",REGEXMATCH(LOWER($E182),XLOOKUP(Y$1,Metadata!$A$2:$A1000,Metadata!$B$2:$B1000))),Y$1,"""")"),"")</f>
        <v/>
      </c>
      <c r="Z182" s="33" t="str">
        <f>IFERROR(__xludf.DUMMYFUNCTION("IF(IF(Z$1="""","""",REGEXMATCH(LOWER($E182),XLOOKUP(Z$1,Metadata!$A$2:$A1000,Metadata!$B$2:$B1000))),Z$1,"""")"),"")</f>
        <v/>
      </c>
      <c r="AA182" s="33" t="str">
        <f>IFERROR(__xludf.DUMMYFUNCTION("IF(AA$1="""","""",REGEXMATCH(LOWER($E182),XLOOKUP(AA$1,Metadata!$A$2:$A1000,Metadata!$B$2:$B1000)))"),"")</f>
        <v/>
      </c>
    </row>
    <row r="183">
      <c r="A183" s="33" t="str">
        <f>IFERROR(__xludf.DUMMYFUNCTION("""COMPUTED_VALUE"""),"Recruiting Officer")</f>
        <v>Recruiting Officer</v>
      </c>
      <c r="B183" s="33" t="str">
        <f t="array" ref="B183:I183">XLOOKUP($A183,Cards!$A$2:$A1000,Cards!$B$2:$I1000,"")</f>
        <v>Mortal</v>
      </c>
      <c r="C183" s="33">
        <v>2.0</v>
      </c>
      <c r="D183" s="33" t="s">
        <v>37</v>
      </c>
      <c r="E183" s="33" t="s">
        <v>1181</v>
      </c>
      <c r="F183" s="33" t="s">
        <v>1182</v>
      </c>
      <c r="G183" s="33">
        <v>3.0</v>
      </c>
      <c r="H183" s="33" t="s">
        <v>1038</v>
      </c>
      <c r="I183" s="33" t="s">
        <v>62</v>
      </c>
      <c r="J183" s="33">
        <f>IFERROR(__xludf.DUMMYFUNCTION("LEN(REGEXREPLACE(XLOOKUP($A183,Cards!$A$2:$A1000,Cards!$H$2:$H1000,""""),"",\s"",""""))"),4.0)</f>
        <v>4</v>
      </c>
      <c r="K183" s="33" t="str">
        <f t="shared" si="1"/>
        <v>               </v>
      </c>
      <c r="L183" s="33" t="str">
        <f>IFERROR(__xludf.DUMMYFUNCTION("IF(IF(L$1="""","""",REGEXMATCH(LOWER($E183),XLOOKUP(L$1,Metadata!$A$2:$A1000,Metadata!$B$2:$B1000))),L$1,"""")"),"")</f>
        <v/>
      </c>
      <c r="M183" s="33" t="str">
        <f>IFERROR(__xludf.DUMMYFUNCTION("IF(IF(M$1="""","""",REGEXMATCH(LOWER($E183),XLOOKUP(M$1,Metadata!$A$2:$A1000,Metadata!$B$2:$B1000))),M$1,"""")"),"")</f>
        <v/>
      </c>
      <c r="N183" s="33" t="str">
        <f>IFERROR(__xludf.DUMMYFUNCTION("IF(IF(N$1="""","""",REGEXMATCH(LOWER($E183),XLOOKUP(N$1,Metadata!$A$2:$A1000,Metadata!$B$2:$B1000))),N$1,"""")"),"")</f>
        <v/>
      </c>
      <c r="O183" s="33" t="str">
        <f>IFERROR(__xludf.DUMMYFUNCTION("IF(IF(O$1="""","""",REGEXMATCH(LOWER($E183),XLOOKUP(O$1,Metadata!$A$2:$A1000,Metadata!$B$2:$B1000))),O$1,"""")"),"")</f>
        <v/>
      </c>
      <c r="P183" s="33" t="str">
        <f>IFERROR(__xludf.DUMMYFUNCTION("IF(IF(P$1="""","""",REGEXMATCH(LOWER($E183),XLOOKUP(P$1,Metadata!$A$2:$A1000,Metadata!$B$2:$B1000))),P$1,"""")"),"")</f>
        <v/>
      </c>
      <c r="Q183" s="33" t="str">
        <f>IFERROR(__xludf.DUMMYFUNCTION("IF(IF(Q$1="""","""",REGEXMATCH(LOWER($E183),XLOOKUP(Q$1,Metadata!$A$2:$A1000,Metadata!$B$2:$B1000))),Q$1,"""")"),"")</f>
        <v/>
      </c>
      <c r="R183" s="33" t="str">
        <f>IFERROR(__xludf.DUMMYFUNCTION("IF(IF(R$1="""","""",REGEXMATCH(LOWER($E183),XLOOKUP(R$1,Metadata!$A$2:$A1000,Metadata!$B$2:$B1000))),R$1,"""")"),"")</f>
        <v/>
      </c>
      <c r="S183" s="33" t="str">
        <f>IFERROR(__xludf.DUMMYFUNCTION("IF(IF(S$1="""","""",REGEXMATCH(LOWER($E183),XLOOKUP(S$1,Metadata!$A$2:$A1000,Metadata!$B$2:$B1000))),S$1,"""")"),"")</f>
        <v/>
      </c>
      <c r="T183" s="33" t="str">
        <f>IFERROR(__xludf.DUMMYFUNCTION("IF(IF(T$1="""","""",REGEXMATCH(LOWER($E183),XLOOKUP(T$1,Metadata!$A$2:$A1000,Metadata!$B$2:$B1000))),T$1,"""")"),"")</f>
        <v/>
      </c>
      <c r="U183" s="33" t="str">
        <f>IFERROR(__xludf.DUMMYFUNCTION("IF(IF(U$1="""","""",REGEXMATCH(LOWER($E183),XLOOKUP(U$1,Metadata!$A$2:$A1000,Metadata!$B$2:$B1000))),U$1,"""")"),"")</f>
        <v/>
      </c>
      <c r="V183" s="33" t="str">
        <f>IFERROR(__xludf.DUMMYFUNCTION("IF(IF(V$1="""","""",REGEXMATCH(LOWER($E183),XLOOKUP(V$1,Metadata!$A$2:$A1000,Metadata!$B$2:$B1000))),V$1,"""")"),"")</f>
        <v/>
      </c>
      <c r="W183" s="33" t="str">
        <f>IFERROR(__xludf.DUMMYFUNCTION("IF(IF(W$1="""","""",REGEXMATCH(LOWER($E183),XLOOKUP(W$1,Metadata!$A$2:$A1000,Metadata!$B$2:$B1000))),W$1,"""")"),"")</f>
        <v/>
      </c>
      <c r="X183" s="33" t="str">
        <f>IFERROR(__xludf.DUMMYFUNCTION("IF(IF(X$1="""","""",REGEXMATCH(LOWER($E183),XLOOKUP(X$1,Metadata!$A$2:$A1000,Metadata!$B$2:$B1000))),X$1,"""")"),"")</f>
        <v/>
      </c>
      <c r="Y183" s="33" t="str">
        <f>IFERROR(__xludf.DUMMYFUNCTION("IF(IF(Y$1="""","""",REGEXMATCH(LOWER($E183),XLOOKUP(Y$1,Metadata!$A$2:$A1000,Metadata!$B$2:$B1000))),Y$1,"""")"),"")</f>
        <v/>
      </c>
      <c r="Z183" s="33" t="str">
        <f>IFERROR(__xludf.DUMMYFUNCTION("IF(IF(Z$1="""","""",REGEXMATCH(LOWER($E183),XLOOKUP(Z$1,Metadata!$A$2:$A1000,Metadata!$B$2:$B1000))),Z$1,"""")"),"")</f>
        <v/>
      </c>
      <c r="AA183" s="33" t="str">
        <f>IFERROR(__xludf.DUMMYFUNCTION("IF(AA$1="""","""",REGEXMATCH(LOWER($E183),XLOOKUP(AA$1,Metadata!$A$2:$A1000,Metadata!$B$2:$B1000)))"),"")</f>
        <v/>
      </c>
    </row>
    <row r="184">
      <c r="A184" s="33" t="str">
        <f>IFERROR(__xludf.DUMMYFUNCTION("""COMPUTED_VALUE"""),"Remnant of the Quiet Springs")</f>
        <v>Remnant of the Quiet Springs</v>
      </c>
      <c r="B184" s="33" t="str">
        <f t="array" ref="B184:I184">XLOOKUP($A184,Cards!$A$2:$A1000,Cards!$B$2:$I1000,"")</f>
        <v>Mortal</v>
      </c>
      <c r="C184" s="33">
        <v>0.0</v>
      </c>
      <c r="D184" s="33" t="s">
        <v>217</v>
      </c>
      <c r="E184" s="33" t="s">
        <v>1184</v>
      </c>
      <c r="F184" s="33" t="s">
        <v>1185</v>
      </c>
      <c r="G184" s="33">
        <v>4.0</v>
      </c>
      <c r="H184" s="33" t="s">
        <v>1110</v>
      </c>
      <c r="I184" s="33" t="s">
        <v>62</v>
      </c>
      <c r="J184" s="33">
        <f>IFERROR(__xludf.DUMMYFUNCTION("LEN(REGEXREPLACE(XLOOKUP($A184,Cards!$A$2:$A1000,Cards!$H$2:$H1000,""""),"",\s"",""""))"),5.0)</f>
        <v>5</v>
      </c>
      <c r="K184" s="33" t="str">
        <f t="shared" si="1"/>
        <v>      Ramp         </v>
      </c>
      <c r="L184" s="33" t="str">
        <f>IFERROR(__xludf.DUMMYFUNCTION("IF(IF(L$1="""","""",REGEXMATCH(LOWER($E184),XLOOKUP(L$1,Metadata!$A$2:$A1000,Metadata!$B$2:$B1000))),L$1,"""")"),"")</f>
        <v/>
      </c>
      <c r="M184" s="33" t="str">
        <f>IFERROR(__xludf.DUMMYFUNCTION("IF(IF(M$1="""","""",REGEXMATCH(LOWER($E184),XLOOKUP(M$1,Metadata!$A$2:$A1000,Metadata!$B$2:$B1000))),M$1,"""")"),"")</f>
        <v/>
      </c>
      <c r="N184" s="33" t="str">
        <f>IFERROR(__xludf.DUMMYFUNCTION("IF(IF(N$1="""","""",REGEXMATCH(LOWER($E184),XLOOKUP(N$1,Metadata!$A$2:$A1000,Metadata!$B$2:$B1000))),N$1,"""")"),"")</f>
        <v/>
      </c>
      <c r="O184" s="33" t="str">
        <f>IFERROR(__xludf.DUMMYFUNCTION("IF(IF(O$1="""","""",REGEXMATCH(LOWER($E184),XLOOKUP(O$1,Metadata!$A$2:$A1000,Metadata!$B$2:$B1000))),O$1,"""")"),"")</f>
        <v/>
      </c>
      <c r="P184" s="33" t="str">
        <f>IFERROR(__xludf.DUMMYFUNCTION("IF(IF(P$1="""","""",REGEXMATCH(LOWER($E184),XLOOKUP(P$1,Metadata!$A$2:$A1000,Metadata!$B$2:$B1000))),P$1,"""")"),"")</f>
        <v/>
      </c>
      <c r="Q184" s="33" t="str">
        <f>IFERROR(__xludf.DUMMYFUNCTION("IF(IF(Q$1="""","""",REGEXMATCH(LOWER($E184),XLOOKUP(Q$1,Metadata!$A$2:$A1000,Metadata!$B$2:$B1000))),Q$1,"""")"),"")</f>
        <v/>
      </c>
      <c r="R184" s="33" t="str">
        <f>IFERROR(__xludf.DUMMYFUNCTION("IF(IF(R$1="""","""",REGEXMATCH(LOWER($E184),XLOOKUP(R$1,Metadata!$A$2:$A1000,Metadata!$B$2:$B1000))),R$1,"""")"),"Ramp")</f>
        <v>Ramp</v>
      </c>
      <c r="S184" s="33" t="str">
        <f>IFERROR(__xludf.DUMMYFUNCTION("IF(IF(S$1="""","""",REGEXMATCH(LOWER($E184),XLOOKUP(S$1,Metadata!$A$2:$A1000,Metadata!$B$2:$B1000))),S$1,"""")"),"")</f>
        <v/>
      </c>
      <c r="T184" s="33" t="str">
        <f>IFERROR(__xludf.DUMMYFUNCTION("IF(IF(T$1="""","""",REGEXMATCH(LOWER($E184),XLOOKUP(T$1,Metadata!$A$2:$A1000,Metadata!$B$2:$B1000))),T$1,"""")"),"")</f>
        <v/>
      </c>
      <c r="U184" s="33" t="str">
        <f>IFERROR(__xludf.DUMMYFUNCTION("IF(IF(U$1="""","""",REGEXMATCH(LOWER($E184),XLOOKUP(U$1,Metadata!$A$2:$A1000,Metadata!$B$2:$B1000))),U$1,"""")"),"")</f>
        <v/>
      </c>
      <c r="V184" s="33" t="str">
        <f>IFERROR(__xludf.DUMMYFUNCTION("IF(IF(V$1="""","""",REGEXMATCH(LOWER($E184),XLOOKUP(V$1,Metadata!$A$2:$A1000,Metadata!$B$2:$B1000))),V$1,"""")"),"")</f>
        <v/>
      </c>
      <c r="W184" s="33" t="str">
        <f>IFERROR(__xludf.DUMMYFUNCTION("IF(IF(W$1="""","""",REGEXMATCH(LOWER($E184),XLOOKUP(W$1,Metadata!$A$2:$A1000,Metadata!$B$2:$B1000))),W$1,"""")"),"")</f>
        <v/>
      </c>
      <c r="X184" s="33" t="str">
        <f>IFERROR(__xludf.DUMMYFUNCTION("IF(IF(X$1="""","""",REGEXMATCH(LOWER($E184),XLOOKUP(X$1,Metadata!$A$2:$A1000,Metadata!$B$2:$B1000))),X$1,"""")"),"")</f>
        <v/>
      </c>
      <c r="Y184" s="33" t="str">
        <f>IFERROR(__xludf.DUMMYFUNCTION("IF(IF(Y$1="""","""",REGEXMATCH(LOWER($E184),XLOOKUP(Y$1,Metadata!$A$2:$A1000,Metadata!$B$2:$B1000))),Y$1,"""")"),"")</f>
        <v/>
      </c>
      <c r="Z184" s="33" t="str">
        <f>IFERROR(__xludf.DUMMYFUNCTION("IF(IF(Z$1="""","""",REGEXMATCH(LOWER($E184),XLOOKUP(Z$1,Metadata!$A$2:$A1000,Metadata!$B$2:$B1000))),Z$1,"""")"),"")</f>
        <v/>
      </c>
      <c r="AA184" s="33" t="str">
        <f>IFERROR(__xludf.DUMMYFUNCTION("IF(AA$1="""","""",REGEXMATCH(LOWER($E184),XLOOKUP(AA$1,Metadata!$A$2:$A1000,Metadata!$B$2:$B1000)))"),"")</f>
        <v/>
      </c>
    </row>
    <row r="185">
      <c r="A185" s="33" t="str">
        <f>IFERROR(__xludf.DUMMYFUNCTION("""COMPUTED_VALUE"""),"Sandring Pridemane")</f>
        <v>Sandring Pridemane</v>
      </c>
      <c r="B185" s="33" t="str">
        <f t="array" ref="B185:I185">XLOOKUP($A185,Cards!$A$2:$A1000,Cards!$B$2:$I1000,"")</f>
        <v>Mortal</v>
      </c>
      <c r="C185" s="33">
        <v>2.0</v>
      </c>
      <c r="D185" s="33" t="s">
        <v>946</v>
      </c>
      <c r="E185" s="33" t="s">
        <v>1187</v>
      </c>
      <c r="F185" s="33" t="s">
        <v>607</v>
      </c>
      <c r="G185" s="33">
        <v>2.0</v>
      </c>
      <c r="H185" s="33" t="s">
        <v>1188</v>
      </c>
      <c r="I185" s="33" t="s">
        <v>62</v>
      </c>
      <c r="J185" s="33">
        <f>IFERROR(__xludf.DUMMYFUNCTION("LEN(REGEXREPLACE(XLOOKUP($A185,Cards!$A$2:$A1000,Cards!$H$2:$H1000,""""),"",\s"",""""))"),3.0)</f>
        <v>3</v>
      </c>
      <c r="K185" s="33" t="str">
        <f t="shared" si="1"/>
        <v>               </v>
      </c>
      <c r="L185" s="33" t="str">
        <f>IFERROR(__xludf.DUMMYFUNCTION("IF(IF(L$1="""","""",REGEXMATCH(LOWER($E185),XLOOKUP(L$1,Metadata!$A$2:$A1000,Metadata!$B$2:$B1000))),L$1,"""")"),"")</f>
        <v/>
      </c>
      <c r="M185" s="33" t="str">
        <f>IFERROR(__xludf.DUMMYFUNCTION("IF(IF(M$1="""","""",REGEXMATCH(LOWER($E185),XLOOKUP(M$1,Metadata!$A$2:$A1000,Metadata!$B$2:$B1000))),M$1,"""")"),"")</f>
        <v/>
      </c>
      <c r="N185" s="33" t="str">
        <f>IFERROR(__xludf.DUMMYFUNCTION("IF(IF(N$1="""","""",REGEXMATCH(LOWER($E185),XLOOKUP(N$1,Metadata!$A$2:$A1000,Metadata!$B$2:$B1000))),N$1,"""")"),"")</f>
        <v/>
      </c>
      <c r="O185" s="33" t="str">
        <f>IFERROR(__xludf.DUMMYFUNCTION("IF(IF(O$1="""","""",REGEXMATCH(LOWER($E185),XLOOKUP(O$1,Metadata!$A$2:$A1000,Metadata!$B$2:$B1000))),O$1,"""")"),"")</f>
        <v/>
      </c>
      <c r="P185" s="33" t="str">
        <f>IFERROR(__xludf.DUMMYFUNCTION("IF(IF(P$1="""","""",REGEXMATCH(LOWER($E185),XLOOKUP(P$1,Metadata!$A$2:$A1000,Metadata!$B$2:$B1000))),P$1,"""")"),"")</f>
        <v/>
      </c>
      <c r="Q185" s="33" t="str">
        <f>IFERROR(__xludf.DUMMYFUNCTION("IF(IF(Q$1="""","""",REGEXMATCH(LOWER($E185),XLOOKUP(Q$1,Metadata!$A$2:$A1000,Metadata!$B$2:$B1000))),Q$1,"""")"),"")</f>
        <v/>
      </c>
      <c r="R185" s="33" t="str">
        <f>IFERROR(__xludf.DUMMYFUNCTION("IF(IF(R$1="""","""",REGEXMATCH(LOWER($E185),XLOOKUP(R$1,Metadata!$A$2:$A1000,Metadata!$B$2:$B1000))),R$1,"""")"),"")</f>
        <v/>
      </c>
      <c r="S185" s="33" t="str">
        <f>IFERROR(__xludf.DUMMYFUNCTION("IF(IF(S$1="""","""",REGEXMATCH(LOWER($E185),XLOOKUP(S$1,Metadata!$A$2:$A1000,Metadata!$B$2:$B1000))),S$1,"""")"),"")</f>
        <v/>
      </c>
      <c r="T185" s="33" t="str">
        <f>IFERROR(__xludf.DUMMYFUNCTION("IF(IF(T$1="""","""",REGEXMATCH(LOWER($E185),XLOOKUP(T$1,Metadata!$A$2:$A1000,Metadata!$B$2:$B1000))),T$1,"""")"),"")</f>
        <v/>
      </c>
      <c r="U185" s="33" t="str">
        <f>IFERROR(__xludf.DUMMYFUNCTION("IF(IF(U$1="""","""",REGEXMATCH(LOWER($E185),XLOOKUP(U$1,Metadata!$A$2:$A1000,Metadata!$B$2:$B1000))),U$1,"""")"),"")</f>
        <v/>
      </c>
      <c r="V185" s="33" t="str">
        <f>IFERROR(__xludf.DUMMYFUNCTION("IF(IF(V$1="""","""",REGEXMATCH(LOWER($E185),XLOOKUP(V$1,Metadata!$A$2:$A1000,Metadata!$B$2:$B1000))),V$1,"""")"),"")</f>
        <v/>
      </c>
      <c r="W185" s="33" t="str">
        <f>IFERROR(__xludf.DUMMYFUNCTION("IF(IF(W$1="""","""",REGEXMATCH(LOWER($E185),XLOOKUP(W$1,Metadata!$A$2:$A1000,Metadata!$B$2:$B1000))),W$1,"""")"),"")</f>
        <v/>
      </c>
      <c r="X185" s="33" t="str">
        <f>IFERROR(__xludf.DUMMYFUNCTION("IF(IF(X$1="""","""",REGEXMATCH(LOWER($E185),XLOOKUP(X$1,Metadata!$A$2:$A1000,Metadata!$B$2:$B1000))),X$1,"""")"),"")</f>
        <v/>
      </c>
      <c r="Y185" s="33" t="str">
        <f>IFERROR(__xludf.DUMMYFUNCTION("IF(IF(Y$1="""","""",REGEXMATCH(LOWER($E185),XLOOKUP(Y$1,Metadata!$A$2:$A1000,Metadata!$B$2:$B1000))),Y$1,"""")"),"")</f>
        <v/>
      </c>
      <c r="Z185" s="33" t="str">
        <f>IFERROR(__xludf.DUMMYFUNCTION("IF(IF(Z$1="""","""",REGEXMATCH(LOWER($E185),XLOOKUP(Z$1,Metadata!$A$2:$A1000,Metadata!$B$2:$B1000))),Z$1,"""")"),"")</f>
        <v/>
      </c>
      <c r="AA185" s="33" t="str">
        <f>IFERROR(__xludf.DUMMYFUNCTION("IF(AA$1="""","""",REGEXMATCH(LOWER($E185),XLOOKUP(AA$1,Metadata!$A$2:$A1000,Metadata!$B$2:$B1000)))"),"")</f>
        <v/>
      </c>
    </row>
    <row r="186">
      <c r="A186" s="33" t="str">
        <f>IFERROR(__xludf.DUMMYFUNCTION("""COMPUTED_VALUE"""),"Filthy Peasant")</f>
        <v>Filthy Peasant</v>
      </c>
      <c r="B186" s="33" t="str">
        <f t="array" ref="B186:I186">XLOOKUP($A186,Cards!$A$2:$A1000,Cards!$B$2:$I1000,"")</f>
        <v>Mortal</v>
      </c>
      <c r="C186" s="33">
        <v>1.0</v>
      </c>
      <c r="D186" s="33" t="s">
        <v>37</v>
      </c>
      <c r="E186" s="33" t="s">
        <v>54</v>
      </c>
      <c r="F186" s="33" t="s">
        <v>1190</v>
      </c>
      <c r="G186" s="33">
        <v>1.0</v>
      </c>
      <c r="H186" s="33" t="s">
        <v>1107</v>
      </c>
      <c r="I186" s="33" t="s">
        <v>26</v>
      </c>
      <c r="J186" s="33">
        <f>IFERROR(__xludf.DUMMYFUNCTION("LEN(REGEXREPLACE(XLOOKUP($A186,Cards!$A$2:$A1000,Cards!$H$2:$H1000,""""),"",\s"",""""))"),1.0)</f>
        <v>1</v>
      </c>
      <c r="K186" s="33" t="str">
        <f t="shared" si="1"/>
        <v>               </v>
      </c>
      <c r="L186" s="33" t="str">
        <f>IFERROR(__xludf.DUMMYFUNCTION("IF(IF(L$1="""","""",REGEXMATCH(LOWER($E186),XLOOKUP(L$1,Metadata!$A$2:$A1000,Metadata!$B$2:$B1000))),L$1,"""")"),"")</f>
        <v/>
      </c>
      <c r="M186" s="33" t="str">
        <f>IFERROR(__xludf.DUMMYFUNCTION("IF(IF(M$1="""","""",REGEXMATCH(LOWER($E186),XLOOKUP(M$1,Metadata!$A$2:$A1000,Metadata!$B$2:$B1000))),M$1,"""")"),"")</f>
        <v/>
      </c>
      <c r="N186" s="33" t="str">
        <f>IFERROR(__xludf.DUMMYFUNCTION("IF(IF(N$1="""","""",REGEXMATCH(LOWER($E186),XLOOKUP(N$1,Metadata!$A$2:$A1000,Metadata!$B$2:$B1000))),N$1,"""")"),"")</f>
        <v/>
      </c>
      <c r="O186" s="33" t="str">
        <f>IFERROR(__xludf.DUMMYFUNCTION("IF(IF(O$1="""","""",REGEXMATCH(LOWER($E186),XLOOKUP(O$1,Metadata!$A$2:$A1000,Metadata!$B$2:$B1000))),O$1,"""")"),"")</f>
        <v/>
      </c>
      <c r="P186" s="33" t="str">
        <f>IFERROR(__xludf.DUMMYFUNCTION("IF(IF(P$1="""","""",REGEXMATCH(LOWER($E186),XLOOKUP(P$1,Metadata!$A$2:$A1000,Metadata!$B$2:$B1000))),P$1,"""")"),"")</f>
        <v/>
      </c>
      <c r="Q186" s="33" t="str">
        <f>IFERROR(__xludf.DUMMYFUNCTION("IF(IF(Q$1="""","""",REGEXMATCH(LOWER($E186),XLOOKUP(Q$1,Metadata!$A$2:$A1000,Metadata!$B$2:$B1000))),Q$1,"""")"),"")</f>
        <v/>
      </c>
      <c r="R186" s="33" t="str">
        <f>IFERROR(__xludf.DUMMYFUNCTION("IF(IF(R$1="""","""",REGEXMATCH(LOWER($E186),XLOOKUP(R$1,Metadata!$A$2:$A1000,Metadata!$B$2:$B1000))),R$1,"""")"),"")</f>
        <v/>
      </c>
      <c r="S186" s="33" t="str">
        <f>IFERROR(__xludf.DUMMYFUNCTION("IF(IF(S$1="""","""",REGEXMATCH(LOWER($E186),XLOOKUP(S$1,Metadata!$A$2:$A1000,Metadata!$B$2:$B1000))),S$1,"""")"),"")</f>
        <v/>
      </c>
      <c r="T186" s="33" t="str">
        <f>IFERROR(__xludf.DUMMYFUNCTION("IF(IF(T$1="""","""",REGEXMATCH(LOWER($E186),XLOOKUP(T$1,Metadata!$A$2:$A1000,Metadata!$B$2:$B1000))),T$1,"""")"),"")</f>
        <v/>
      </c>
      <c r="U186" s="33" t="str">
        <f>IFERROR(__xludf.DUMMYFUNCTION("IF(IF(U$1="""","""",REGEXMATCH(LOWER($E186),XLOOKUP(U$1,Metadata!$A$2:$A1000,Metadata!$B$2:$B1000))),U$1,"""")"),"")</f>
        <v/>
      </c>
      <c r="V186" s="33" t="str">
        <f>IFERROR(__xludf.DUMMYFUNCTION("IF(IF(V$1="""","""",REGEXMATCH(LOWER($E186),XLOOKUP(V$1,Metadata!$A$2:$A1000,Metadata!$B$2:$B1000))),V$1,"""")"),"")</f>
        <v/>
      </c>
      <c r="W186" s="33" t="str">
        <f>IFERROR(__xludf.DUMMYFUNCTION("IF(IF(W$1="""","""",REGEXMATCH(LOWER($E186),XLOOKUP(W$1,Metadata!$A$2:$A1000,Metadata!$B$2:$B1000))),W$1,"""")"),"")</f>
        <v/>
      </c>
      <c r="X186" s="33" t="str">
        <f>IFERROR(__xludf.DUMMYFUNCTION("IF(IF(X$1="""","""",REGEXMATCH(LOWER($E186),XLOOKUP(X$1,Metadata!$A$2:$A1000,Metadata!$B$2:$B1000))),X$1,"""")"),"")</f>
        <v/>
      </c>
      <c r="Y186" s="33" t="str">
        <f>IFERROR(__xludf.DUMMYFUNCTION("IF(IF(Y$1="""","""",REGEXMATCH(LOWER($E186),XLOOKUP(Y$1,Metadata!$A$2:$A1000,Metadata!$B$2:$B1000))),Y$1,"""")"),"")</f>
        <v/>
      </c>
      <c r="Z186" s="33" t="str">
        <f>IFERROR(__xludf.DUMMYFUNCTION("IF(IF(Z$1="""","""",REGEXMATCH(LOWER($E186),XLOOKUP(Z$1,Metadata!$A$2:$A1000,Metadata!$B$2:$B1000))),Z$1,"""")"),"")</f>
        <v/>
      </c>
      <c r="AA186" s="33" t="str">
        <f>IFERROR(__xludf.DUMMYFUNCTION("IF(AA$1="""","""",REGEXMATCH(LOWER($E186),XLOOKUP(AA$1,Metadata!$A$2:$A1000,Metadata!$B$2:$B1000)))"),"")</f>
        <v/>
      </c>
    </row>
    <row r="187">
      <c r="A187" s="33" t="str">
        <f>IFERROR(__xludf.DUMMYFUNCTION("""COMPUTED_VALUE"""),"Scapegoat")</f>
        <v>Scapegoat</v>
      </c>
      <c r="B187" s="33" t="str">
        <f t="array" ref="B187:I187">XLOOKUP($A187,Cards!$A$2:$A1000,Cards!$B$2:$I1000,"")</f>
        <v>Mortal</v>
      </c>
      <c r="C187" s="33">
        <v>2.0</v>
      </c>
      <c r="D187" s="33" t="s">
        <v>97</v>
      </c>
      <c r="E187" s="33" t="s">
        <v>1202</v>
      </c>
      <c r="F187" s="33" t="s">
        <v>1203</v>
      </c>
      <c r="G187" s="33">
        <v>1.0</v>
      </c>
      <c r="H187" s="33" t="s">
        <v>1107</v>
      </c>
      <c r="I187" s="33" t="s">
        <v>26</v>
      </c>
      <c r="J187" s="33">
        <f>IFERROR(__xludf.DUMMYFUNCTION("LEN(REGEXREPLACE(XLOOKUP($A187,Cards!$A$2:$A1000,Cards!$H$2:$H1000,""""),"",\s"",""""))"),1.0)</f>
        <v>1</v>
      </c>
      <c r="K187" s="33" t="str">
        <f t="shared" si="1"/>
        <v>       Control Copy    Ambush   </v>
      </c>
      <c r="L187" s="33" t="str">
        <f>IFERROR(__xludf.DUMMYFUNCTION("IF(IF(L$1="""","""",REGEXMATCH(LOWER($E187),XLOOKUP(L$1,Metadata!$A$2:$A1000,Metadata!$B$2:$B1000))),L$1,"""")"),"")</f>
        <v/>
      </c>
      <c r="M187" s="33" t="str">
        <f>IFERROR(__xludf.DUMMYFUNCTION("IF(IF(M$1="""","""",REGEXMATCH(LOWER($E187),XLOOKUP(M$1,Metadata!$A$2:$A1000,Metadata!$B$2:$B1000))),M$1,"""")"),"")</f>
        <v/>
      </c>
      <c r="N187" s="33" t="str">
        <f>IFERROR(__xludf.DUMMYFUNCTION("IF(IF(N$1="""","""",REGEXMATCH(LOWER($E187),XLOOKUP(N$1,Metadata!$A$2:$A1000,Metadata!$B$2:$B1000))),N$1,"""")"),"")</f>
        <v/>
      </c>
      <c r="O187" s="33" t="str">
        <f>IFERROR(__xludf.DUMMYFUNCTION("IF(IF(O$1="""","""",REGEXMATCH(LOWER($E187),XLOOKUP(O$1,Metadata!$A$2:$A1000,Metadata!$B$2:$B1000))),O$1,"""")"),"")</f>
        <v/>
      </c>
      <c r="P187" s="33" t="str">
        <f>IFERROR(__xludf.DUMMYFUNCTION("IF(IF(P$1="""","""",REGEXMATCH(LOWER($E187),XLOOKUP(P$1,Metadata!$A$2:$A1000,Metadata!$B$2:$B1000))),P$1,"""")"),"")</f>
        <v/>
      </c>
      <c r="Q187" s="33" t="str">
        <f>IFERROR(__xludf.DUMMYFUNCTION("IF(IF(Q$1="""","""",REGEXMATCH(LOWER($E187),XLOOKUP(Q$1,Metadata!$A$2:$A1000,Metadata!$B$2:$B1000))),Q$1,"""")"),"")</f>
        <v/>
      </c>
      <c r="R187" s="33" t="str">
        <f>IFERROR(__xludf.DUMMYFUNCTION("IF(IF(R$1="""","""",REGEXMATCH(LOWER($E187),XLOOKUP(R$1,Metadata!$A$2:$A1000,Metadata!$B$2:$B1000))),R$1,"""")"),"")</f>
        <v/>
      </c>
      <c r="S187" s="33" t="str">
        <f>IFERROR(__xludf.DUMMYFUNCTION("IF(IF(S$1="""","""",REGEXMATCH(LOWER($E187),XLOOKUP(S$1,Metadata!$A$2:$A1000,Metadata!$B$2:$B1000))),S$1,"""")"),"Control")</f>
        <v>Control</v>
      </c>
      <c r="T187" s="33" t="str">
        <f>IFERROR(__xludf.DUMMYFUNCTION("IF(IF(T$1="""","""",REGEXMATCH(LOWER($E187),XLOOKUP(T$1,Metadata!$A$2:$A1000,Metadata!$B$2:$B1000))),T$1,"""")"),"Copy")</f>
        <v>Copy</v>
      </c>
      <c r="U187" s="33" t="str">
        <f>IFERROR(__xludf.DUMMYFUNCTION("IF(IF(U$1="""","""",REGEXMATCH(LOWER($E187),XLOOKUP(U$1,Metadata!$A$2:$A1000,Metadata!$B$2:$B1000))),U$1,"""")"),"")</f>
        <v/>
      </c>
      <c r="V187" s="33" t="str">
        <f>IFERROR(__xludf.DUMMYFUNCTION("IF(IF(V$1="""","""",REGEXMATCH(LOWER($E187),XLOOKUP(V$1,Metadata!$A$2:$A1000,Metadata!$B$2:$B1000))),V$1,"""")"),"")</f>
        <v/>
      </c>
      <c r="W187" s="33" t="str">
        <f>IFERROR(__xludf.DUMMYFUNCTION("IF(IF(W$1="""","""",REGEXMATCH(LOWER($E187),XLOOKUP(W$1,Metadata!$A$2:$A1000,Metadata!$B$2:$B1000))),W$1,"""")"),"")</f>
        <v/>
      </c>
      <c r="X187" s="33" t="str">
        <f>IFERROR(__xludf.DUMMYFUNCTION("IF(IF(X$1="""","""",REGEXMATCH(LOWER($E187),XLOOKUP(X$1,Metadata!$A$2:$A1000,Metadata!$B$2:$B1000))),X$1,"""")"),"Ambush")</f>
        <v>Ambush</v>
      </c>
      <c r="Y187" s="33" t="str">
        <f>IFERROR(__xludf.DUMMYFUNCTION("IF(IF(Y$1="""","""",REGEXMATCH(LOWER($E187),XLOOKUP(Y$1,Metadata!$A$2:$A1000,Metadata!$B$2:$B1000))),Y$1,"""")"),"")</f>
        <v/>
      </c>
      <c r="Z187" s="33" t="str">
        <f>IFERROR(__xludf.DUMMYFUNCTION("IF(IF(Z$1="""","""",REGEXMATCH(LOWER($E187),XLOOKUP(Z$1,Metadata!$A$2:$A1000,Metadata!$B$2:$B1000))),Z$1,"""")"),"")</f>
        <v/>
      </c>
      <c r="AA187" s="33" t="str">
        <f>IFERROR(__xludf.DUMMYFUNCTION("IF(AA$1="""","""",REGEXMATCH(LOWER($E187),XLOOKUP(AA$1,Metadata!$A$2:$A1000,Metadata!$B$2:$B1000)))"),"")</f>
        <v/>
      </c>
    </row>
    <row r="188">
      <c r="A188" s="33" t="str">
        <f>IFERROR(__xludf.DUMMYFUNCTION("""COMPUTED_VALUE"""),"Ironstride Courser")</f>
        <v>Ironstride Courser</v>
      </c>
      <c r="B188" s="33" t="str">
        <f t="array" ref="B188:I188">XLOOKUP($A188,Cards!$A$2:$A1000,Cards!$B$2:$I1000,"")</f>
        <v>Mortal</v>
      </c>
      <c r="C188" s="33">
        <v>1.0</v>
      </c>
      <c r="D188" s="33" t="s">
        <v>114</v>
      </c>
      <c r="E188" s="33" t="s">
        <v>1205</v>
      </c>
      <c r="F188" s="33" t="s">
        <v>1206</v>
      </c>
      <c r="G188" s="33">
        <v>3.0</v>
      </c>
      <c r="H188" s="33" t="s">
        <v>1207</v>
      </c>
      <c r="I188" s="33" t="s">
        <v>26</v>
      </c>
      <c r="J188" s="33">
        <f>IFERROR(__xludf.DUMMYFUNCTION("LEN(REGEXREPLACE(XLOOKUP($A188,Cards!$A$2:$A1000,Cards!$H$2:$H1000,""""),"",\s"",""""))"),6.0)</f>
        <v>6</v>
      </c>
      <c r="K188" s="33" t="str">
        <f t="shared" si="1"/>
        <v>               </v>
      </c>
      <c r="L188" s="33" t="str">
        <f>IFERROR(__xludf.DUMMYFUNCTION("IF(IF(L$1="""","""",REGEXMATCH(LOWER($E188),XLOOKUP(L$1,Metadata!$A$2:$A1000,Metadata!$B$2:$B1000))),L$1,"""")"),"")</f>
        <v/>
      </c>
      <c r="M188" s="33" t="str">
        <f>IFERROR(__xludf.DUMMYFUNCTION("IF(IF(M$1="""","""",REGEXMATCH(LOWER($E188),XLOOKUP(M$1,Metadata!$A$2:$A1000,Metadata!$B$2:$B1000))),M$1,"""")"),"")</f>
        <v/>
      </c>
      <c r="N188" s="33" t="str">
        <f>IFERROR(__xludf.DUMMYFUNCTION("IF(IF(N$1="""","""",REGEXMATCH(LOWER($E188),XLOOKUP(N$1,Metadata!$A$2:$A1000,Metadata!$B$2:$B1000))),N$1,"""")"),"")</f>
        <v/>
      </c>
      <c r="O188" s="33" t="str">
        <f>IFERROR(__xludf.DUMMYFUNCTION("IF(IF(O$1="""","""",REGEXMATCH(LOWER($E188),XLOOKUP(O$1,Metadata!$A$2:$A1000,Metadata!$B$2:$B1000))),O$1,"""")"),"")</f>
        <v/>
      </c>
      <c r="P188" s="33" t="str">
        <f>IFERROR(__xludf.DUMMYFUNCTION("IF(IF(P$1="""","""",REGEXMATCH(LOWER($E188),XLOOKUP(P$1,Metadata!$A$2:$A1000,Metadata!$B$2:$B1000))),P$1,"""")"),"")</f>
        <v/>
      </c>
      <c r="Q188" s="33" t="str">
        <f>IFERROR(__xludf.DUMMYFUNCTION("IF(IF(Q$1="""","""",REGEXMATCH(LOWER($E188),XLOOKUP(Q$1,Metadata!$A$2:$A1000,Metadata!$B$2:$B1000))),Q$1,"""")"),"")</f>
        <v/>
      </c>
      <c r="R188" s="33" t="str">
        <f>IFERROR(__xludf.DUMMYFUNCTION("IF(IF(R$1="""","""",REGEXMATCH(LOWER($E188),XLOOKUP(R$1,Metadata!$A$2:$A1000,Metadata!$B$2:$B1000))),R$1,"""")"),"")</f>
        <v/>
      </c>
      <c r="S188" s="33" t="str">
        <f>IFERROR(__xludf.DUMMYFUNCTION("IF(IF(S$1="""","""",REGEXMATCH(LOWER($E188),XLOOKUP(S$1,Metadata!$A$2:$A1000,Metadata!$B$2:$B1000))),S$1,"""")"),"")</f>
        <v/>
      </c>
      <c r="T188" s="33" t="str">
        <f>IFERROR(__xludf.DUMMYFUNCTION("IF(IF(T$1="""","""",REGEXMATCH(LOWER($E188),XLOOKUP(T$1,Metadata!$A$2:$A1000,Metadata!$B$2:$B1000))),T$1,"""")"),"")</f>
        <v/>
      </c>
      <c r="U188" s="33" t="str">
        <f>IFERROR(__xludf.DUMMYFUNCTION("IF(IF(U$1="""","""",REGEXMATCH(LOWER($E188),XLOOKUP(U$1,Metadata!$A$2:$A1000,Metadata!$B$2:$B1000))),U$1,"""")"),"")</f>
        <v/>
      </c>
      <c r="V188" s="33" t="str">
        <f>IFERROR(__xludf.DUMMYFUNCTION("IF(IF(V$1="""","""",REGEXMATCH(LOWER($E188),XLOOKUP(V$1,Metadata!$A$2:$A1000,Metadata!$B$2:$B1000))),V$1,"""")"),"")</f>
        <v/>
      </c>
      <c r="W188" s="33" t="str">
        <f>IFERROR(__xludf.DUMMYFUNCTION("IF(IF(W$1="""","""",REGEXMATCH(LOWER($E188),XLOOKUP(W$1,Metadata!$A$2:$A1000,Metadata!$B$2:$B1000))),W$1,"""")"),"")</f>
        <v/>
      </c>
      <c r="X188" s="33" t="str">
        <f>IFERROR(__xludf.DUMMYFUNCTION("IF(IF(X$1="""","""",REGEXMATCH(LOWER($E188),XLOOKUP(X$1,Metadata!$A$2:$A1000,Metadata!$B$2:$B1000))),X$1,"""")"),"")</f>
        <v/>
      </c>
      <c r="Y188" s="33" t="str">
        <f>IFERROR(__xludf.DUMMYFUNCTION("IF(IF(Y$1="""","""",REGEXMATCH(LOWER($E188),XLOOKUP(Y$1,Metadata!$A$2:$A1000,Metadata!$B$2:$B1000))),Y$1,"""")"),"")</f>
        <v/>
      </c>
      <c r="Z188" s="33" t="str">
        <f>IFERROR(__xludf.DUMMYFUNCTION("IF(IF(Z$1="""","""",REGEXMATCH(LOWER($E188),XLOOKUP(Z$1,Metadata!$A$2:$A1000,Metadata!$B$2:$B1000))),Z$1,"""")"),"")</f>
        <v/>
      </c>
      <c r="AA188" s="33" t="str">
        <f>IFERROR(__xludf.DUMMYFUNCTION("IF(AA$1="""","""",REGEXMATCH(LOWER($E188),XLOOKUP(AA$1,Metadata!$A$2:$A1000,Metadata!$B$2:$B1000)))"),"")</f>
        <v/>
      </c>
    </row>
    <row r="189">
      <c r="A189" s="33" t="str">
        <f>IFERROR(__xludf.DUMMYFUNCTION("""COMPUTED_VALUE"""),"Pocket Dragon")</f>
        <v>Pocket Dragon</v>
      </c>
      <c r="B189" s="33" t="str">
        <f t="array" ref="B189:I189">XLOOKUP($A189,Cards!$A$2:$A1000,Cards!$B$2:$I1000,"")</f>
        <v>Mortal</v>
      </c>
      <c r="C189" s="33">
        <v>1.0</v>
      </c>
      <c r="D189" s="33" t="s">
        <v>380</v>
      </c>
      <c r="E189" s="33" t="s">
        <v>1215</v>
      </c>
      <c r="F189" s="33" t="s">
        <v>1216</v>
      </c>
      <c r="G189" s="33">
        <v>2.0</v>
      </c>
      <c r="H189" s="33" t="s">
        <v>1038</v>
      </c>
      <c r="I189" s="33" t="s">
        <v>26</v>
      </c>
      <c r="J189" s="33">
        <f>IFERROR(__xludf.DUMMYFUNCTION("LEN(REGEXREPLACE(XLOOKUP($A189,Cards!$A$2:$A1000,Cards!$H$2:$H1000,""""),"",\s"",""""))"),4.0)</f>
        <v>4</v>
      </c>
      <c r="K189" s="33" t="str">
        <f t="shared" si="1"/>
        <v>           Move    </v>
      </c>
      <c r="L189" s="33" t="str">
        <f>IFERROR(__xludf.DUMMYFUNCTION("IF(IF(L$1="""","""",REGEXMATCH(LOWER($E189),XLOOKUP(L$1,Metadata!$A$2:$A1000,Metadata!$B$2:$B1000))),L$1,"""")"),"")</f>
        <v/>
      </c>
      <c r="M189" s="33" t="str">
        <f>IFERROR(__xludf.DUMMYFUNCTION("IF(IF(M$1="""","""",REGEXMATCH(LOWER($E189),XLOOKUP(M$1,Metadata!$A$2:$A1000,Metadata!$B$2:$B1000))),M$1,"""")"),"")</f>
        <v/>
      </c>
      <c r="N189" s="33" t="str">
        <f>IFERROR(__xludf.DUMMYFUNCTION("IF(IF(N$1="""","""",REGEXMATCH(LOWER($E189),XLOOKUP(N$1,Metadata!$A$2:$A1000,Metadata!$B$2:$B1000))),N$1,"""")"),"")</f>
        <v/>
      </c>
      <c r="O189" s="33" t="str">
        <f>IFERROR(__xludf.DUMMYFUNCTION("IF(IF(O$1="""","""",REGEXMATCH(LOWER($E189),XLOOKUP(O$1,Metadata!$A$2:$A1000,Metadata!$B$2:$B1000))),O$1,"""")"),"")</f>
        <v/>
      </c>
      <c r="P189" s="33" t="str">
        <f>IFERROR(__xludf.DUMMYFUNCTION("IF(IF(P$1="""","""",REGEXMATCH(LOWER($E189),XLOOKUP(P$1,Metadata!$A$2:$A1000,Metadata!$B$2:$B1000))),P$1,"""")"),"")</f>
        <v/>
      </c>
      <c r="Q189" s="33" t="str">
        <f>IFERROR(__xludf.DUMMYFUNCTION("IF(IF(Q$1="""","""",REGEXMATCH(LOWER($E189),XLOOKUP(Q$1,Metadata!$A$2:$A1000,Metadata!$B$2:$B1000))),Q$1,"""")"),"")</f>
        <v/>
      </c>
      <c r="R189" s="33" t="str">
        <f>IFERROR(__xludf.DUMMYFUNCTION("IF(IF(R$1="""","""",REGEXMATCH(LOWER($E189),XLOOKUP(R$1,Metadata!$A$2:$A1000,Metadata!$B$2:$B1000))),R$1,"""")"),"")</f>
        <v/>
      </c>
      <c r="S189" s="33" t="str">
        <f>IFERROR(__xludf.DUMMYFUNCTION("IF(IF(S$1="""","""",REGEXMATCH(LOWER($E189),XLOOKUP(S$1,Metadata!$A$2:$A1000,Metadata!$B$2:$B1000))),S$1,"""")"),"")</f>
        <v/>
      </c>
      <c r="T189" s="33" t="str">
        <f>IFERROR(__xludf.DUMMYFUNCTION("IF(IF(T$1="""","""",REGEXMATCH(LOWER($E189),XLOOKUP(T$1,Metadata!$A$2:$A1000,Metadata!$B$2:$B1000))),T$1,"""")"),"")</f>
        <v/>
      </c>
      <c r="U189" s="33" t="str">
        <f>IFERROR(__xludf.DUMMYFUNCTION("IF(IF(U$1="""","""",REGEXMATCH(LOWER($E189),XLOOKUP(U$1,Metadata!$A$2:$A1000,Metadata!$B$2:$B1000))),U$1,"""")"),"")</f>
        <v/>
      </c>
      <c r="V189" s="33" t="str">
        <f>IFERROR(__xludf.DUMMYFUNCTION("IF(IF(V$1="""","""",REGEXMATCH(LOWER($E189),XLOOKUP(V$1,Metadata!$A$2:$A1000,Metadata!$B$2:$B1000))),V$1,"""")"),"")</f>
        <v/>
      </c>
      <c r="W189" s="33" t="str">
        <f>IFERROR(__xludf.DUMMYFUNCTION("IF(IF(W$1="""","""",REGEXMATCH(LOWER($E189),XLOOKUP(W$1,Metadata!$A$2:$A1000,Metadata!$B$2:$B1000))),W$1,"""")"),"Move")</f>
        <v>Move</v>
      </c>
      <c r="X189" s="33" t="str">
        <f>IFERROR(__xludf.DUMMYFUNCTION("IF(IF(X$1="""","""",REGEXMATCH(LOWER($E189),XLOOKUP(X$1,Metadata!$A$2:$A1000,Metadata!$B$2:$B1000))),X$1,"""")"),"")</f>
        <v/>
      </c>
      <c r="Y189" s="33" t="str">
        <f>IFERROR(__xludf.DUMMYFUNCTION("IF(IF(Y$1="""","""",REGEXMATCH(LOWER($E189),XLOOKUP(Y$1,Metadata!$A$2:$A1000,Metadata!$B$2:$B1000))),Y$1,"""")"),"")</f>
        <v/>
      </c>
      <c r="Z189" s="33" t="str">
        <f>IFERROR(__xludf.DUMMYFUNCTION("IF(IF(Z$1="""","""",REGEXMATCH(LOWER($E189),XLOOKUP(Z$1,Metadata!$A$2:$A1000,Metadata!$B$2:$B1000))),Z$1,"""")"),"")</f>
        <v/>
      </c>
      <c r="AA189" s="33" t="str">
        <f>IFERROR(__xludf.DUMMYFUNCTION("IF(AA$1="""","""",REGEXMATCH(LOWER($E189),XLOOKUP(AA$1,Metadata!$A$2:$A1000,Metadata!$B$2:$B1000)))"),"")</f>
        <v/>
      </c>
    </row>
    <row r="190">
      <c r="A190" s="33" t="str">
        <f>IFERROR(__xludf.DUMMYFUNCTION("""COMPUTED_VALUE"""),"Prime Golem")</f>
        <v>Prime Golem</v>
      </c>
      <c r="B190" s="33" t="str">
        <f t="array" ref="B190:I190">XLOOKUP($A190,Cards!$A$2:$A1000,Cards!$B$2:$I1000,"")</f>
        <v>Mortal</v>
      </c>
      <c r="C190" s="33">
        <v>1.0</v>
      </c>
      <c r="D190" s="33" t="s">
        <v>70</v>
      </c>
      <c r="E190" s="33" t="s">
        <v>1226</v>
      </c>
      <c r="F190" s="33" t="s">
        <v>1227</v>
      </c>
      <c r="G190" s="33">
        <v>4.0</v>
      </c>
      <c r="H190" s="33" t="s">
        <v>1228</v>
      </c>
      <c r="I190" s="33" t="s">
        <v>26</v>
      </c>
      <c r="J190" s="33">
        <f>IFERROR(__xludf.DUMMYFUNCTION("LEN(REGEXREPLACE(XLOOKUP($A190,Cards!$A$2:$A1000,Cards!$H$2:$H1000,""""),"",\s"",""""))"),4.0)</f>
        <v>4</v>
      </c>
      <c r="K190" s="33" t="str">
        <f t="shared" si="1"/>
        <v>           Move    </v>
      </c>
      <c r="L190" s="33" t="str">
        <f>IFERROR(__xludf.DUMMYFUNCTION("IF(IF(L$1="""","""",REGEXMATCH(LOWER($E190),XLOOKUP(L$1,Metadata!$A$2:$A1000,Metadata!$B$2:$B1000))),L$1,"""")"),"")</f>
        <v/>
      </c>
      <c r="M190" s="33" t="str">
        <f>IFERROR(__xludf.DUMMYFUNCTION("IF(IF(M$1="""","""",REGEXMATCH(LOWER($E190),XLOOKUP(M$1,Metadata!$A$2:$A1000,Metadata!$B$2:$B1000))),M$1,"""")"),"")</f>
        <v/>
      </c>
      <c r="N190" s="33" t="str">
        <f>IFERROR(__xludf.DUMMYFUNCTION("IF(IF(N$1="""","""",REGEXMATCH(LOWER($E190),XLOOKUP(N$1,Metadata!$A$2:$A1000,Metadata!$B$2:$B1000))),N$1,"""")"),"")</f>
        <v/>
      </c>
      <c r="O190" s="33" t="str">
        <f>IFERROR(__xludf.DUMMYFUNCTION("IF(IF(O$1="""","""",REGEXMATCH(LOWER($E190),XLOOKUP(O$1,Metadata!$A$2:$A1000,Metadata!$B$2:$B1000))),O$1,"""")"),"")</f>
        <v/>
      </c>
      <c r="P190" s="33" t="str">
        <f>IFERROR(__xludf.DUMMYFUNCTION("IF(IF(P$1="""","""",REGEXMATCH(LOWER($E190),XLOOKUP(P$1,Metadata!$A$2:$A1000,Metadata!$B$2:$B1000))),P$1,"""")"),"")</f>
        <v/>
      </c>
      <c r="Q190" s="33" t="str">
        <f>IFERROR(__xludf.DUMMYFUNCTION("IF(IF(Q$1="""","""",REGEXMATCH(LOWER($E190),XLOOKUP(Q$1,Metadata!$A$2:$A1000,Metadata!$B$2:$B1000))),Q$1,"""")"),"")</f>
        <v/>
      </c>
      <c r="R190" s="33" t="str">
        <f>IFERROR(__xludf.DUMMYFUNCTION("IF(IF(R$1="""","""",REGEXMATCH(LOWER($E190),XLOOKUP(R$1,Metadata!$A$2:$A1000,Metadata!$B$2:$B1000))),R$1,"""")"),"")</f>
        <v/>
      </c>
      <c r="S190" s="33" t="str">
        <f>IFERROR(__xludf.DUMMYFUNCTION("IF(IF(S$1="""","""",REGEXMATCH(LOWER($E190),XLOOKUP(S$1,Metadata!$A$2:$A1000,Metadata!$B$2:$B1000))),S$1,"""")"),"")</f>
        <v/>
      </c>
      <c r="T190" s="33" t="str">
        <f>IFERROR(__xludf.DUMMYFUNCTION("IF(IF(T$1="""","""",REGEXMATCH(LOWER($E190),XLOOKUP(T$1,Metadata!$A$2:$A1000,Metadata!$B$2:$B1000))),T$1,"""")"),"")</f>
        <v/>
      </c>
      <c r="U190" s="33" t="str">
        <f>IFERROR(__xludf.DUMMYFUNCTION("IF(IF(U$1="""","""",REGEXMATCH(LOWER($E190),XLOOKUP(U$1,Metadata!$A$2:$A1000,Metadata!$B$2:$B1000))),U$1,"""")"),"")</f>
        <v/>
      </c>
      <c r="V190" s="33" t="str">
        <f>IFERROR(__xludf.DUMMYFUNCTION("IF(IF(V$1="""","""",REGEXMATCH(LOWER($E190),XLOOKUP(V$1,Metadata!$A$2:$A1000,Metadata!$B$2:$B1000))),V$1,"""")"),"")</f>
        <v/>
      </c>
      <c r="W190" s="33" t="str">
        <f>IFERROR(__xludf.DUMMYFUNCTION("IF(IF(W$1="""","""",REGEXMATCH(LOWER($E190),XLOOKUP(W$1,Metadata!$A$2:$A1000,Metadata!$B$2:$B1000))),W$1,"""")"),"Move")</f>
        <v>Move</v>
      </c>
      <c r="X190" s="33" t="str">
        <f>IFERROR(__xludf.DUMMYFUNCTION("IF(IF(X$1="""","""",REGEXMATCH(LOWER($E190),XLOOKUP(X$1,Metadata!$A$2:$A1000,Metadata!$B$2:$B1000))),X$1,"""")"),"")</f>
        <v/>
      </c>
      <c r="Y190" s="33" t="str">
        <f>IFERROR(__xludf.DUMMYFUNCTION("IF(IF(Y$1="""","""",REGEXMATCH(LOWER($E190),XLOOKUP(Y$1,Metadata!$A$2:$A1000,Metadata!$B$2:$B1000))),Y$1,"""")"),"")</f>
        <v/>
      </c>
      <c r="Z190" s="33" t="str">
        <f>IFERROR(__xludf.DUMMYFUNCTION("IF(IF(Z$1="""","""",REGEXMATCH(LOWER($E190),XLOOKUP(Z$1,Metadata!$A$2:$A1000,Metadata!$B$2:$B1000))),Z$1,"""")"),"")</f>
        <v/>
      </c>
      <c r="AA190" s="33" t="str">
        <f>IFERROR(__xludf.DUMMYFUNCTION("IF(AA$1="""","""",REGEXMATCH(LOWER($E190),XLOOKUP(AA$1,Metadata!$A$2:$A1000,Metadata!$B$2:$B1000)))"),"")</f>
        <v/>
      </c>
    </row>
    <row r="191">
      <c r="A191" s="33" t="str">
        <f>IFERROR(__xludf.DUMMYFUNCTION("""COMPUTED_VALUE"""),"Siegebreaker")</f>
        <v>Siegebreaker</v>
      </c>
      <c r="B191" s="33" t="str">
        <f t="array" ref="B191:I191">XLOOKUP($A191,Cards!$A$2:$A1000,Cards!$B$2:$I1000,"")</f>
        <v>Mortal</v>
      </c>
      <c r="C191" s="33">
        <v>1.0</v>
      </c>
      <c r="D191" s="33" t="s">
        <v>946</v>
      </c>
      <c r="E191" s="33" t="s">
        <v>1236</v>
      </c>
      <c r="F191" s="33" t="s">
        <v>1237</v>
      </c>
      <c r="G191" s="33">
        <v>6.0</v>
      </c>
      <c r="H191" s="33" t="s">
        <v>1238</v>
      </c>
      <c r="I191" s="33" t="s">
        <v>26</v>
      </c>
      <c r="J191" s="33">
        <f>IFERROR(__xludf.DUMMYFUNCTION("LEN(REGEXREPLACE(XLOOKUP($A191,Cards!$A$2:$A1000,Cards!$H$2:$H1000,""""),"",\s"",""""))"),4.0)</f>
        <v>4</v>
      </c>
      <c r="K191" s="33" t="str">
        <f t="shared" si="1"/>
        <v>               </v>
      </c>
      <c r="L191" s="33" t="str">
        <f>IFERROR(__xludf.DUMMYFUNCTION("IF(IF(L$1="""","""",REGEXMATCH(LOWER($E191),XLOOKUP(L$1,Metadata!$A$2:$A1000,Metadata!$B$2:$B1000))),L$1,"""")"),"")</f>
        <v/>
      </c>
      <c r="M191" s="33" t="str">
        <f>IFERROR(__xludf.DUMMYFUNCTION("IF(IF(M$1="""","""",REGEXMATCH(LOWER($E191),XLOOKUP(M$1,Metadata!$A$2:$A1000,Metadata!$B$2:$B1000))),M$1,"""")"),"")</f>
        <v/>
      </c>
      <c r="N191" s="33" t="str">
        <f>IFERROR(__xludf.DUMMYFUNCTION("IF(IF(N$1="""","""",REGEXMATCH(LOWER($E191),XLOOKUP(N$1,Metadata!$A$2:$A1000,Metadata!$B$2:$B1000))),N$1,"""")"),"")</f>
        <v/>
      </c>
      <c r="O191" s="33" t="str">
        <f>IFERROR(__xludf.DUMMYFUNCTION("IF(IF(O$1="""","""",REGEXMATCH(LOWER($E191),XLOOKUP(O$1,Metadata!$A$2:$A1000,Metadata!$B$2:$B1000))),O$1,"""")"),"")</f>
        <v/>
      </c>
      <c r="P191" s="33" t="str">
        <f>IFERROR(__xludf.DUMMYFUNCTION("IF(IF(P$1="""","""",REGEXMATCH(LOWER($E191),XLOOKUP(P$1,Metadata!$A$2:$A1000,Metadata!$B$2:$B1000))),P$1,"""")"),"")</f>
        <v/>
      </c>
      <c r="Q191" s="33" t="str">
        <f>IFERROR(__xludf.DUMMYFUNCTION("IF(IF(Q$1="""","""",REGEXMATCH(LOWER($E191),XLOOKUP(Q$1,Metadata!$A$2:$A1000,Metadata!$B$2:$B1000))),Q$1,"""")"),"")</f>
        <v/>
      </c>
      <c r="R191" s="33" t="str">
        <f>IFERROR(__xludf.DUMMYFUNCTION("IF(IF(R$1="""","""",REGEXMATCH(LOWER($E191),XLOOKUP(R$1,Metadata!$A$2:$A1000,Metadata!$B$2:$B1000))),R$1,"""")"),"")</f>
        <v/>
      </c>
      <c r="S191" s="33" t="str">
        <f>IFERROR(__xludf.DUMMYFUNCTION("IF(IF(S$1="""","""",REGEXMATCH(LOWER($E191),XLOOKUP(S$1,Metadata!$A$2:$A1000,Metadata!$B$2:$B1000))),S$1,"""")"),"")</f>
        <v/>
      </c>
      <c r="T191" s="33" t="str">
        <f>IFERROR(__xludf.DUMMYFUNCTION("IF(IF(T$1="""","""",REGEXMATCH(LOWER($E191),XLOOKUP(T$1,Metadata!$A$2:$A1000,Metadata!$B$2:$B1000))),T$1,"""")"),"")</f>
        <v/>
      </c>
      <c r="U191" s="33" t="str">
        <f>IFERROR(__xludf.DUMMYFUNCTION("IF(IF(U$1="""","""",REGEXMATCH(LOWER($E191),XLOOKUP(U$1,Metadata!$A$2:$A1000,Metadata!$B$2:$B1000))),U$1,"""")"),"")</f>
        <v/>
      </c>
      <c r="V191" s="33" t="str">
        <f>IFERROR(__xludf.DUMMYFUNCTION("IF(IF(V$1="""","""",REGEXMATCH(LOWER($E191),XLOOKUP(V$1,Metadata!$A$2:$A1000,Metadata!$B$2:$B1000))),V$1,"""")"),"")</f>
        <v/>
      </c>
      <c r="W191" s="33" t="str">
        <f>IFERROR(__xludf.DUMMYFUNCTION("IF(IF(W$1="""","""",REGEXMATCH(LOWER($E191),XLOOKUP(W$1,Metadata!$A$2:$A1000,Metadata!$B$2:$B1000))),W$1,"""")"),"")</f>
        <v/>
      </c>
      <c r="X191" s="33" t="str">
        <f>IFERROR(__xludf.DUMMYFUNCTION("IF(IF(X$1="""","""",REGEXMATCH(LOWER($E191),XLOOKUP(X$1,Metadata!$A$2:$A1000,Metadata!$B$2:$B1000))),X$1,"""")"),"")</f>
        <v/>
      </c>
      <c r="Y191" s="33" t="str">
        <f>IFERROR(__xludf.DUMMYFUNCTION("IF(IF(Y$1="""","""",REGEXMATCH(LOWER($E191),XLOOKUP(Y$1,Metadata!$A$2:$A1000,Metadata!$B$2:$B1000))),Y$1,"""")"),"")</f>
        <v/>
      </c>
      <c r="Z191" s="33" t="str">
        <f>IFERROR(__xludf.DUMMYFUNCTION("IF(IF(Z$1="""","""",REGEXMATCH(LOWER($E191),XLOOKUP(Z$1,Metadata!$A$2:$A1000,Metadata!$B$2:$B1000))),Z$1,"""")"),"")</f>
        <v/>
      </c>
      <c r="AA191" s="33" t="str">
        <f>IFERROR(__xludf.DUMMYFUNCTION("IF(AA$1="""","""",REGEXMATCH(LOWER($E191),XLOOKUP(AA$1,Metadata!$A$2:$A1000,Metadata!$B$2:$B1000)))"),"")</f>
        <v/>
      </c>
    </row>
    <row r="192">
      <c r="A192" s="33" t="str">
        <f>IFERROR(__xludf.DUMMYFUNCTION("""COMPUTED_VALUE"""),"Surly Donkey")</f>
        <v>Surly Donkey</v>
      </c>
      <c r="B192" s="33" t="str">
        <f t="array" ref="B192:I192">XLOOKUP($A192,Cards!$A$2:$A1000,Cards!$B$2:$I1000,"")</f>
        <v>Mortal</v>
      </c>
      <c r="C192" s="33">
        <v>2.0</v>
      </c>
      <c r="D192" s="33" t="s">
        <v>97</v>
      </c>
      <c r="E192" s="33" t="s">
        <v>1247</v>
      </c>
      <c r="F192" s="33" t="s">
        <v>1248</v>
      </c>
      <c r="G192" s="33">
        <v>1.0</v>
      </c>
      <c r="H192" s="33" t="s">
        <v>995</v>
      </c>
      <c r="I192" s="33" t="s">
        <v>26</v>
      </c>
      <c r="J192" s="33">
        <f>IFERROR(__xludf.DUMMYFUNCTION("LEN(REGEXREPLACE(XLOOKUP($A192,Cards!$A$2:$A1000,Cards!$H$2:$H1000,""""),"",\s"",""""))"),2.0)</f>
        <v>2</v>
      </c>
      <c r="K192" s="33" t="str">
        <f t="shared" si="1"/>
        <v>  Mortal             </v>
      </c>
      <c r="L192" s="33" t="str">
        <f>IFERROR(__xludf.DUMMYFUNCTION("IF(IF(L$1="""","""",REGEXMATCH(LOWER($E192),XLOOKUP(L$1,Metadata!$A$2:$A1000,Metadata!$B$2:$B1000))),L$1,"""")"),"")</f>
        <v/>
      </c>
      <c r="M192" s="33" t="str">
        <f>IFERROR(__xludf.DUMMYFUNCTION("IF(IF(M$1="""","""",REGEXMATCH(LOWER($E192),XLOOKUP(M$1,Metadata!$A$2:$A1000,Metadata!$B$2:$B1000))),M$1,"""")"),"")</f>
        <v/>
      </c>
      <c r="N192" s="33" t="str">
        <f>IFERROR(__xludf.DUMMYFUNCTION("IF(IF(N$1="""","""",REGEXMATCH(LOWER($E192),XLOOKUP(N$1,Metadata!$A$2:$A1000,Metadata!$B$2:$B1000))),N$1,"""")"),"Mortal")</f>
        <v>Mortal</v>
      </c>
      <c r="O192" s="33" t="str">
        <f>IFERROR(__xludf.DUMMYFUNCTION("IF(IF(O$1="""","""",REGEXMATCH(LOWER($E192),XLOOKUP(O$1,Metadata!$A$2:$A1000,Metadata!$B$2:$B1000))),O$1,"""")"),"")</f>
        <v/>
      </c>
      <c r="P192" s="33" t="str">
        <f>IFERROR(__xludf.DUMMYFUNCTION("IF(IF(P$1="""","""",REGEXMATCH(LOWER($E192),XLOOKUP(P$1,Metadata!$A$2:$A1000,Metadata!$B$2:$B1000))),P$1,"""")"),"")</f>
        <v/>
      </c>
      <c r="Q192" s="33" t="str">
        <f>IFERROR(__xludf.DUMMYFUNCTION("IF(IF(Q$1="""","""",REGEXMATCH(LOWER($E192),XLOOKUP(Q$1,Metadata!$A$2:$A1000,Metadata!$B$2:$B1000))),Q$1,"""")"),"")</f>
        <v/>
      </c>
      <c r="R192" s="33" t="str">
        <f>IFERROR(__xludf.DUMMYFUNCTION("IF(IF(R$1="""","""",REGEXMATCH(LOWER($E192),XLOOKUP(R$1,Metadata!$A$2:$A1000,Metadata!$B$2:$B1000))),R$1,"""")"),"")</f>
        <v/>
      </c>
      <c r="S192" s="33" t="str">
        <f>IFERROR(__xludf.DUMMYFUNCTION("IF(IF(S$1="""","""",REGEXMATCH(LOWER($E192),XLOOKUP(S$1,Metadata!$A$2:$A1000,Metadata!$B$2:$B1000))),S$1,"""")"),"")</f>
        <v/>
      </c>
      <c r="T192" s="33" t="str">
        <f>IFERROR(__xludf.DUMMYFUNCTION("IF(IF(T$1="""","""",REGEXMATCH(LOWER($E192),XLOOKUP(T$1,Metadata!$A$2:$A1000,Metadata!$B$2:$B1000))),T$1,"""")"),"")</f>
        <v/>
      </c>
      <c r="U192" s="33" t="str">
        <f>IFERROR(__xludf.DUMMYFUNCTION("IF(IF(U$1="""","""",REGEXMATCH(LOWER($E192),XLOOKUP(U$1,Metadata!$A$2:$A1000,Metadata!$B$2:$B1000))),U$1,"""")"),"")</f>
        <v/>
      </c>
      <c r="V192" s="33" t="str">
        <f>IFERROR(__xludf.DUMMYFUNCTION("IF(IF(V$1="""","""",REGEXMATCH(LOWER($E192),XLOOKUP(V$1,Metadata!$A$2:$A1000,Metadata!$B$2:$B1000))),V$1,"""")"),"")</f>
        <v/>
      </c>
      <c r="W192" s="33" t="str">
        <f>IFERROR(__xludf.DUMMYFUNCTION("IF(IF(W$1="""","""",REGEXMATCH(LOWER($E192),XLOOKUP(W$1,Metadata!$A$2:$A1000,Metadata!$B$2:$B1000))),W$1,"""")"),"")</f>
        <v/>
      </c>
      <c r="X192" s="33" t="str">
        <f>IFERROR(__xludf.DUMMYFUNCTION("IF(IF(X$1="""","""",REGEXMATCH(LOWER($E192),XLOOKUP(X$1,Metadata!$A$2:$A1000,Metadata!$B$2:$B1000))),X$1,"""")"),"")</f>
        <v/>
      </c>
      <c r="Y192" s="33" t="str">
        <f>IFERROR(__xludf.DUMMYFUNCTION("IF(IF(Y$1="""","""",REGEXMATCH(LOWER($E192),XLOOKUP(Y$1,Metadata!$A$2:$A1000,Metadata!$B$2:$B1000))),Y$1,"""")"),"")</f>
        <v/>
      </c>
      <c r="Z192" s="33" t="str">
        <f>IFERROR(__xludf.DUMMYFUNCTION("IF(IF(Z$1="""","""",REGEXMATCH(LOWER($E192),XLOOKUP(Z$1,Metadata!$A$2:$A1000,Metadata!$B$2:$B1000))),Z$1,"""")"),"")</f>
        <v/>
      </c>
      <c r="AA192" s="33" t="str">
        <f>IFERROR(__xludf.DUMMYFUNCTION("IF(AA$1="""","""",REGEXMATCH(LOWER($E192),XLOOKUP(AA$1,Metadata!$A$2:$A1000,Metadata!$B$2:$B1000)))"),"")</f>
        <v/>
      </c>
    </row>
    <row r="193">
      <c r="A193" s="33" t="str">
        <f>IFERROR(__xludf.DUMMYFUNCTION("""COMPUTED_VALUE"""),"The Grand Ruiner")</f>
        <v>The Grand Ruiner</v>
      </c>
      <c r="B193" s="33" t="str">
        <f t="array" ref="B193:I193">XLOOKUP($A193,Cards!$A$2:$A1000,Cards!$B$2:$I1000,"")</f>
        <v>Mortal</v>
      </c>
      <c r="C193" s="33">
        <v>2.0</v>
      </c>
      <c r="D193" s="33" t="s">
        <v>229</v>
      </c>
      <c r="E193" s="33" t="s">
        <v>1250</v>
      </c>
      <c r="F193" s="33" t="s">
        <v>24</v>
      </c>
      <c r="G193" s="33">
        <v>6.0</v>
      </c>
      <c r="H193" s="33" t="s">
        <v>1207</v>
      </c>
      <c r="I193" s="33" t="s">
        <v>32</v>
      </c>
      <c r="J193" s="33">
        <f>IFERROR(__xludf.DUMMYFUNCTION("LEN(REGEXREPLACE(XLOOKUP($A193,Cards!$A$2:$A1000,Cards!$H$2:$H1000,""""),"",\s"",""""))"),6.0)</f>
        <v>6</v>
      </c>
      <c r="K193" s="33" t="str">
        <f t="shared" si="1"/>
        <v>               </v>
      </c>
      <c r="L193" s="33" t="str">
        <f>IFERROR(__xludf.DUMMYFUNCTION("IF(IF(L$1="""","""",REGEXMATCH(LOWER($E193),XLOOKUP(L$1,Metadata!$A$2:$A1000,Metadata!$B$2:$B1000))),L$1,"""")"),"")</f>
        <v/>
      </c>
      <c r="M193" s="33" t="str">
        <f>IFERROR(__xludf.DUMMYFUNCTION("IF(IF(M$1="""","""",REGEXMATCH(LOWER($E193),XLOOKUP(M$1,Metadata!$A$2:$A1000,Metadata!$B$2:$B1000))),M$1,"""")"),"")</f>
        <v/>
      </c>
      <c r="N193" s="33" t="str">
        <f>IFERROR(__xludf.DUMMYFUNCTION("IF(IF(N$1="""","""",REGEXMATCH(LOWER($E193),XLOOKUP(N$1,Metadata!$A$2:$A1000,Metadata!$B$2:$B1000))),N$1,"""")"),"")</f>
        <v/>
      </c>
      <c r="O193" s="33" t="str">
        <f>IFERROR(__xludf.DUMMYFUNCTION("IF(IF(O$1="""","""",REGEXMATCH(LOWER($E193),XLOOKUP(O$1,Metadata!$A$2:$A1000,Metadata!$B$2:$B1000))),O$1,"""")"),"")</f>
        <v/>
      </c>
      <c r="P193" s="33" t="str">
        <f>IFERROR(__xludf.DUMMYFUNCTION("IF(IF(P$1="""","""",REGEXMATCH(LOWER($E193),XLOOKUP(P$1,Metadata!$A$2:$A1000,Metadata!$B$2:$B1000))),P$1,"""")"),"")</f>
        <v/>
      </c>
      <c r="Q193" s="33" t="str">
        <f>IFERROR(__xludf.DUMMYFUNCTION("IF(IF(Q$1="""","""",REGEXMATCH(LOWER($E193),XLOOKUP(Q$1,Metadata!$A$2:$A1000,Metadata!$B$2:$B1000))),Q$1,"""")"),"")</f>
        <v/>
      </c>
      <c r="R193" s="33" t="str">
        <f>IFERROR(__xludf.DUMMYFUNCTION("IF(IF(R$1="""","""",REGEXMATCH(LOWER($E193),XLOOKUP(R$1,Metadata!$A$2:$A1000,Metadata!$B$2:$B1000))),R$1,"""")"),"")</f>
        <v/>
      </c>
      <c r="S193" s="33" t="str">
        <f>IFERROR(__xludf.DUMMYFUNCTION("IF(IF(S$1="""","""",REGEXMATCH(LOWER($E193),XLOOKUP(S$1,Metadata!$A$2:$A1000,Metadata!$B$2:$B1000))),S$1,"""")"),"")</f>
        <v/>
      </c>
      <c r="T193" s="33" t="str">
        <f>IFERROR(__xludf.DUMMYFUNCTION("IF(IF(T$1="""","""",REGEXMATCH(LOWER($E193),XLOOKUP(T$1,Metadata!$A$2:$A1000,Metadata!$B$2:$B1000))),T$1,"""")"),"")</f>
        <v/>
      </c>
      <c r="U193" s="33" t="str">
        <f>IFERROR(__xludf.DUMMYFUNCTION("IF(IF(U$1="""","""",REGEXMATCH(LOWER($E193),XLOOKUP(U$1,Metadata!$A$2:$A1000,Metadata!$B$2:$B1000))),U$1,"""")"),"")</f>
        <v/>
      </c>
      <c r="V193" s="33" t="str">
        <f>IFERROR(__xludf.DUMMYFUNCTION("IF(IF(V$1="""","""",REGEXMATCH(LOWER($E193),XLOOKUP(V$1,Metadata!$A$2:$A1000,Metadata!$B$2:$B1000))),V$1,"""")"),"")</f>
        <v/>
      </c>
      <c r="W193" s="33" t="str">
        <f>IFERROR(__xludf.DUMMYFUNCTION("IF(IF(W$1="""","""",REGEXMATCH(LOWER($E193),XLOOKUP(W$1,Metadata!$A$2:$A1000,Metadata!$B$2:$B1000))),W$1,"""")"),"")</f>
        <v/>
      </c>
      <c r="X193" s="33" t="str">
        <f>IFERROR(__xludf.DUMMYFUNCTION("IF(IF(X$1="""","""",REGEXMATCH(LOWER($E193),XLOOKUP(X$1,Metadata!$A$2:$A1000,Metadata!$B$2:$B1000))),X$1,"""")"),"")</f>
        <v/>
      </c>
      <c r="Y193" s="33" t="str">
        <f>IFERROR(__xludf.DUMMYFUNCTION("IF(IF(Y$1="""","""",REGEXMATCH(LOWER($E193),XLOOKUP(Y$1,Metadata!$A$2:$A1000,Metadata!$B$2:$B1000))),Y$1,"""")"),"")</f>
        <v/>
      </c>
      <c r="Z193" s="33" t="str">
        <f>IFERROR(__xludf.DUMMYFUNCTION("IF(IF(Z$1="""","""",REGEXMATCH(LOWER($E193),XLOOKUP(Z$1,Metadata!$A$2:$A1000,Metadata!$B$2:$B1000))),Z$1,"""")"),"")</f>
        <v/>
      </c>
      <c r="AA193" s="33" t="str">
        <f>IFERROR(__xludf.DUMMYFUNCTION("IF(AA$1="""","""",REGEXMATCH(LOWER($E193),XLOOKUP(AA$1,Metadata!$A$2:$A1000,Metadata!$B$2:$B1000)))"),"")</f>
        <v/>
      </c>
    </row>
    <row r="194">
      <c r="A194" s="33" t="str">
        <f>IFERROR(__xludf.DUMMYFUNCTION("""COMPUTED_VALUE"""),"Snow Crane")</f>
        <v>Snow Crane</v>
      </c>
      <c r="B194" s="33" t="str">
        <f t="array" ref="B194:I194">XLOOKUP($A194,Cards!$A$2:$A1000,Cards!$B$2:$I1000,"")</f>
        <v>Mortal</v>
      </c>
      <c r="C194" s="33">
        <v>1.0</v>
      </c>
      <c r="D194" s="33" t="s">
        <v>97</v>
      </c>
      <c r="E194" s="33" t="s">
        <v>1252</v>
      </c>
      <c r="F194" s="33" t="s">
        <v>1253</v>
      </c>
      <c r="G194" s="33">
        <v>2.0</v>
      </c>
      <c r="H194" s="33" t="s">
        <v>1254</v>
      </c>
      <c r="I194" s="33" t="s">
        <v>26</v>
      </c>
      <c r="J194" s="33">
        <f>IFERROR(__xludf.DUMMYFUNCTION("LEN(REGEXREPLACE(XLOOKUP($A194,Cards!$A$2:$A1000,Cards!$H$2:$H1000,""""),"",\s"",""""))"),2.0)</f>
        <v>2</v>
      </c>
      <c r="K194" s="33" t="str">
        <f t="shared" si="1"/>
        <v>               </v>
      </c>
      <c r="L194" s="33" t="str">
        <f>IFERROR(__xludf.DUMMYFUNCTION("IF(IF(L$1="""","""",REGEXMATCH(LOWER($E194),XLOOKUP(L$1,Metadata!$A$2:$A1000,Metadata!$B$2:$B1000))),L$1,"""")"),"")</f>
        <v/>
      </c>
      <c r="M194" s="33" t="str">
        <f>IFERROR(__xludf.DUMMYFUNCTION("IF(IF(M$1="""","""",REGEXMATCH(LOWER($E194),XLOOKUP(M$1,Metadata!$A$2:$A1000,Metadata!$B$2:$B1000))),M$1,"""")"),"")</f>
        <v/>
      </c>
      <c r="N194" s="33" t="str">
        <f>IFERROR(__xludf.DUMMYFUNCTION("IF(IF(N$1="""","""",REGEXMATCH(LOWER($E194),XLOOKUP(N$1,Metadata!$A$2:$A1000,Metadata!$B$2:$B1000))),N$1,"""")"),"")</f>
        <v/>
      </c>
      <c r="O194" s="33" t="str">
        <f>IFERROR(__xludf.DUMMYFUNCTION("IF(IF(O$1="""","""",REGEXMATCH(LOWER($E194),XLOOKUP(O$1,Metadata!$A$2:$A1000,Metadata!$B$2:$B1000))),O$1,"""")"),"")</f>
        <v/>
      </c>
      <c r="P194" s="33" t="str">
        <f>IFERROR(__xludf.DUMMYFUNCTION("IF(IF(P$1="""","""",REGEXMATCH(LOWER($E194),XLOOKUP(P$1,Metadata!$A$2:$A1000,Metadata!$B$2:$B1000))),P$1,"""")"),"")</f>
        <v/>
      </c>
      <c r="Q194" s="33" t="str">
        <f>IFERROR(__xludf.DUMMYFUNCTION("IF(IF(Q$1="""","""",REGEXMATCH(LOWER($E194),XLOOKUP(Q$1,Metadata!$A$2:$A1000,Metadata!$B$2:$B1000))),Q$1,"""")"),"")</f>
        <v/>
      </c>
      <c r="R194" s="33" t="str">
        <f>IFERROR(__xludf.DUMMYFUNCTION("IF(IF(R$1="""","""",REGEXMATCH(LOWER($E194),XLOOKUP(R$1,Metadata!$A$2:$A1000,Metadata!$B$2:$B1000))),R$1,"""")"),"")</f>
        <v/>
      </c>
      <c r="S194" s="33" t="str">
        <f>IFERROR(__xludf.DUMMYFUNCTION("IF(IF(S$1="""","""",REGEXMATCH(LOWER($E194),XLOOKUP(S$1,Metadata!$A$2:$A1000,Metadata!$B$2:$B1000))),S$1,"""")"),"")</f>
        <v/>
      </c>
      <c r="T194" s="33" t="str">
        <f>IFERROR(__xludf.DUMMYFUNCTION("IF(IF(T$1="""","""",REGEXMATCH(LOWER($E194),XLOOKUP(T$1,Metadata!$A$2:$A1000,Metadata!$B$2:$B1000))),T$1,"""")"),"")</f>
        <v/>
      </c>
      <c r="U194" s="33" t="str">
        <f>IFERROR(__xludf.DUMMYFUNCTION("IF(IF(U$1="""","""",REGEXMATCH(LOWER($E194),XLOOKUP(U$1,Metadata!$A$2:$A1000,Metadata!$B$2:$B1000))),U$1,"""")"),"")</f>
        <v/>
      </c>
      <c r="V194" s="33" t="str">
        <f>IFERROR(__xludf.DUMMYFUNCTION("IF(IF(V$1="""","""",REGEXMATCH(LOWER($E194),XLOOKUP(V$1,Metadata!$A$2:$A1000,Metadata!$B$2:$B1000))),V$1,"""")"),"")</f>
        <v/>
      </c>
      <c r="W194" s="33" t="str">
        <f>IFERROR(__xludf.DUMMYFUNCTION("IF(IF(W$1="""","""",REGEXMATCH(LOWER($E194),XLOOKUP(W$1,Metadata!$A$2:$A1000,Metadata!$B$2:$B1000))),W$1,"""")"),"")</f>
        <v/>
      </c>
      <c r="X194" s="33" t="str">
        <f>IFERROR(__xludf.DUMMYFUNCTION("IF(IF(X$1="""","""",REGEXMATCH(LOWER($E194),XLOOKUP(X$1,Metadata!$A$2:$A1000,Metadata!$B$2:$B1000))),X$1,"""")"),"")</f>
        <v/>
      </c>
      <c r="Y194" s="33" t="str">
        <f>IFERROR(__xludf.DUMMYFUNCTION("IF(IF(Y$1="""","""",REGEXMATCH(LOWER($E194),XLOOKUP(Y$1,Metadata!$A$2:$A1000,Metadata!$B$2:$B1000))),Y$1,"""")"),"")</f>
        <v/>
      </c>
      <c r="Z194" s="33" t="str">
        <f>IFERROR(__xludf.DUMMYFUNCTION("IF(IF(Z$1="""","""",REGEXMATCH(LOWER($E194),XLOOKUP(Z$1,Metadata!$A$2:$A1000,Metadata!$B$2:$B1000))),Z$1,"""")"),"")</f>
        <v/>
      </c>
      <c r="AA194" s="33" t="str">
        <f>IFERROR(__xludf.DUMMYFUNCTION("IF(AA$1="""","""",REGEXMATCH(LOWER($E194),XLOOKUP(AA$1,Metadata!$A$2:$A1000,Metadata!$B$2:$B1000)))"),"")</f>
        <v/>
      </c>
    </row>
    <row r="195">
      <c r="A195" s="33" t="str">
        <f>IFERROR(__xludf.DUMMYFUNCTION("""COMPUTED_VALUE"""),"Trading Post Camel")</f>
        <v>Trading Post Camel</v>
      </c>
      <c r="B195" s="33" t="str">
        <f t="array" ref="B195:I195">XLOOKUP($A195,Cards!$A$2:$A1000,Cards!$B$2:$I1000,"")</f>
        <v>Mortal</v>
      </c>
      <c r="C195" s="33">
        <v>2.0</v>
      </c>
      <c r="D195" s="33" t="s">
        <v>946</v>
      </c>
      <c r="E195" s="33" t="s">
        <v>1262</v>
      </c>
      <c r="F195" s="33" t="s">
        <v>24</v>
      </c>
      <c r="G195" s="33">
        <v>1.0</v>
      </c>
      <c r="H195" s="33" t="s">
        <v>1107</v>
      </c>
      <c r="I195" s="33" t="s">
        <v>26</v>
      </c>
      <c r="J195" s="33">
        <f>IFERROR(__xludf.DUMMYFUNCTION("LEN(REGEXREPLACE(XLOOKUP($A195,Cards!$A$2:$A1000,Cards!$H$2:$H1000,""""),"",\s"",""""))"),1.0)</f>
        <v>1</v>
      </c>
      <c r="K195" s="33" t="str">
        <f t="shared" si="1"/>
        <v>  Mortal             </v>
      </c>
      <c r="L195" s="33" t="str">
        <f>IFERROR(__xludf.DUMMYFUNCTION("IF(IF(L$1="""","""",REGEXMATCH(LOWER($E195),XLOOKUP(L$1,Metadata!$A$2:$A1000,Metadata!$B$2:$B1000))),L$1,"""")"),"")</f>
        <v/>
      </c>
      <c r="M195" s="33" t="str">
        <f>IFERROR(__xludf.DUMMYFUNCTION("IF(IF(M$1="""","""",REGEXMATCH(LOWER($E195),XLOOKUP(M$1,Metadata!$A$2:$A1000,Metadata!$B$2:$B1000))),M$1,"""")"),"")</f>
        <v/>
      </c>
      <c r="N195" s="33" t="str">
        <f>IFERROR(__xludf.DUMMYFUNCTION("IF(IF(N$1="""","""",REGEXMATCH(LOWER($E195),XLOOKUP(N$1,Metadata!$A$2:$A1000,Metadata!$B$2:$B1000))),N$1,"""")"),"Mortal")</f>
        <v>Mortal</v>
      </c>
      <c r="O195" s="33" t="str">
        <f>IFERROR(__xludf.DUMMYFUNCTION("IF(IF(O$1="""","""",REGEXMATCH(LOWER($E195),XLOOKUP(O$1,Metadata!$A$2:$A1000,Metadata!$B$2:$B1000))),O$1,"""")"),"")</f>
        <v/>
      </c>
      <c r="P195" s="33" t="str">
        <f>IFERROR(__xludf.DUMMYFUNCTION("IF(IF(P$1="""","""",REGEXMATCH(LOWER($E195),XLOOKUP(P$1,Metadata!$A$2:$A1000,Metadata!$B$2:$B1000))),P$1,"""")"),"")</f>
        <v/>
      </c>
      <c r="Q195" s="33" t="str">
        <f>IFERROR(__xludf.DUMMYFUNCTION("IF(IF(Q$1="""","""",REGEXMATCH(LOWER($E195),XLOOKUP(Q$1,Metadata!$A$2:$A1000,Metadata!$B$2:$B1000))),Q$1,"""")"),"")</f>
        <v/>
      </c>
      <c r="R195" s="33" t="str">
        <f>IFERROR(__xludf.DUMMYFUNCTION("IF(IF(R$1="""","""",REGEXMATCH(LOWER($E195),XLOOKUP(R$1,Metadata!$A$2:$A1000,Metadata!$B$2:$B1000))),R$1,"""")"),"")</f>
        <v/>
      </c>
      <c r="S195" s="33" t="str">
        <f>IFERROR(__xludf.DUMMYFUNCTION("IF(IF(S$1="""","""",REGEXMATCH(LOWER($E195),XLOOKUP(S$1,Metadata!$A$2:$A1000,Metadata!$B$2:$B1000))),S$1,"""")"),"")</f>
        <v/>
      </c>
      <c r="T195" s="33" t="str">
        <f>IFERROR(__xludf.DUMMYFUNCTION("IF(IF(T$1="""","""",REGEXMATCH(LOWER($E195),XLOOKUP(T$1,Metadata!$A$2:$A1000,Metadata!$B$2:$B1000))),T$1,"""")"),"")</f>
        <v/>
      </c>
      <c r="U195" s="33" t="str">
        <f>IFERROR(__xludf.DUMMYFUNCTION("IF(IF(U$1="""","""",REGEXMATCH(LOWER($E195),XLOOKUP(U$1,Metadata!$A$2:$A1000,Metadata!$B$2:$B1000))),U$1,"""")"),"")</f>
        <v/>
      </c>
      <c r="V195" s="33" t="str">
        <f>IFERROR(__xludf.DUMMYFUNCTION("IF(IF(V$1="""","""",REGEXMATCH(LOWER($E195),XLOOKUP(V$1,Metadata!$A$2:$A1000,Metadata!$B$2:$B1000))),V$1,"""")"),"")</f>
        <v/>
      </c>
      <c r="W195" s="33" t="str">
        <f>IFERROR(__xludf.DUMMYFUNCTION("IF(IF(W$1="""","""",REGEXMATCH(LOWER($E195),XLOOKUP(W$1,Metadata!$A$2:$A1000,Metadata!$B$2:$B1000))),W$1,"""")"),"")</f>
        <v/>
      </c>
      <c r="X195" s="33" t="str">
        <f>IFERROR(__xludf.DUMMYFUNCTION("IF(IF(X$1="""","""",REGEXMATCH(LOWER($E195),XLOOKUP(X$1,Metadata!$A$2:$A1000,Metadata!$B$2:$B1000))),X$1,"""")"),"")</f>
        <v/>
      </c>
      <c r="Y195" s="33" t="str">
        <f>IFERROR(__xludf.DUMMYFUNCTION("IF(IF(Y$1="""","""",REGEXMATCH(LOWER($E195),XLOOKUP(Y$1,Metadata!$A$2:$A1000,Metadata!$B$2:$B1000))),Y$1,"""")"),"")</f>
        <v/>
      </c>
      <c r="Z195" s="33" t="str">
        <f>IFERROR(__xludf.DUMMYFUNCTION("IF(IF(Z$1="""","""",REGEXMATCH(LOWER($E195),XLOOKUP(Z$1,Metadata!$A$2:$A1000,Metadata!$B$2:$B1000))),Z$1,"""")"),"")</f>
        <v/>
      </c>
      <c r="AA195" s="33" t="str">
        <f>IFERROR(__xludf.DUMMYFUNCTION("IF(AA$1="""","""",REGEXMATCH(LOWER($E195),XLOOKUP(AA$1,Metadata!$A$2:$A1000,Metadata!$B$2:$B1000)))"),"")</f>
        <v/>
      </c>
    </row>
    <row r="196">
      <c r="A196" s="33" t="str">
        <f>IFERROR(__xludf.DUMMYFUNCTION("""COMPUTED_VALUE"""),"Stormforged Recruit")</f>
        <v>Stormforged Recruit</v>
      </c>
      <c r="B196" s="33" t="str">
        <f t="array" ref="B196:I196">XLOOKUP($A196,Cards!$A$2:$A1000,Cards!$B$2:$I1000,"")</f>
        <v>Mortal</v>
      </c>
      <c r="C196" s="33">
        <v>1.0</v>
      </c>
      <c r="D196" s="33" t="s">
        <v>394</v>
      </c>
      <c r="E196" s="33" t="s">
        <v>1264</v>
      </c>
      <c r="F196" s="33" t="s">
        <v>1265</v>
      </c>
      <c r="G196" s="33">
        <v>1.0</v>
      </c>
      <c r="H196" s="33" t="s">
        <v>995</v>
      </c>
      <c r="I196" s="33" t="s">
        <v>26</v>
      </c>
      <c r="J196" s="33">
        <f>IFERROR(__xludf.DUMMYFUNCTION("LEN(REGEXREPLACE(XLOOKUP($A196,Cards!$A$2:$A1000,Cards!$H$2:$H1000,""""),"",\s"",""""))"),2.0)</f>
        <v>2</v>
      </c>
      <c r="K196" s="33" t="str">
        <f t="shared" si="1"/>
        <v>  Mortal             </v>
      </c>
      <c r="L196" s="33" t="str">
        <f>IFERROR(__xludf.DUMMYFUNCTION("IF(IF(L$1="""","""",REGEXMATCH(LOWER($E196),XLOOKUP(L$1,Metadata!$A$2:$A1000,Metadata!$B$2:$B1000))),L$1,"""")"),"")</f>
        <v/>
      </c>
      <c r="M196" s="33" t="str">
        <f>IFERROR(__xludf.DUMMYFUNCTION("IF(IF(M$1="""","""",REGEXMATCH(LOWER($E196),XLOOKUP(M$1,Metadata!$A$2:$A1000,Metadata!$B$2:$B1000))),M$1,"""")"),"")</f>
        <v/>
      </c>
      <c r="N196" s="33" t="str">
        <f>IFERROR(__xludf.DUMMYFUNCTION("IF(IF(N$1="""","""",REGEXMATCH(LOWER($E196),XLOOKUP(N$1,Metadata!$A$2:$A1000,Metadata!$B$2:$B1000))),N$1,"""")"),"Mortal")</f>
        <v>Mortal</v>
      </c>
      <c r="O196" s="33" t="str">
        <f>IFERROR(__xludf.DUMMYFUNCTION("IF(IF(O$1="""","""",REGEXMATCH(LOWER($E196),XLOOKUP(O$1,Metadata!$A$2:$A1000,Metadata!$B$2:$B1000))),O$1,"""")"),"")</f>
        <v/>
      </c>
      <c r="P196" s="33" t="str">
        <f>IFERROR(__xludf.DUMMYFUNCTION("IF(IF(P$1="""","""",REGEXMATCH(LOWER($E196),XLOOKUP(P$1,Metadata!$A$2:$A1000,Metadata!$B$2:$B1000))),P$1,"""")"),"")</f>
        <v/>
      </c>
      <c r="Q196" s="33" t="str">
        <f>IFERROR(__xludf.DUMMYFUNCTION("IF(IF(Q$1="""","""",REGEXMATCH(LOWER($E196),XLOOKUP(Q$1,Metadata!$A$2:$A1000,Metadata!$B$2:$B1000))),Q$1,"""")"),"")</f>
        <v/>
      </c>
      <c r="R196" s="33" t="str">
        <f>IFERROR(__xludf.DUMMYFUNCTION("IF(IF(R$1="""","""",REGEXMATCH(LOWER($E196),XLOOKUP(R$1,Metadata!$A$2:$A1000,Metadata!$B$2:$B1000))),R$1,"""")"),"")</f>
        <v/>
      </c>
      <c r="S196" s="33" t="str">
        <f>IFERROR(__xludf.DUMMYFUNCTION("IF(IF(S$1="""","""",REGEXMATCH(LOWER($E196),XLOOKUP(S$1,Metadata!$A$2:$A1000,Metadata!$B$2:$B1000))),S$1,"""")"),"")</f>
        <v/>
      </c>
      <c r="T196" s="33" t="str">
        <f>IFERROR(__xludf.DUMMYFUNCTION("IF(IF(T$1="""","""",REGEXMATCH(LOWER($E196),XLOOKUP(T$1,Metadata!$A$2:$A1000,Metadata!$B$2:$B1000))),T$1,"""")"),"")</f>
        <v/>
      </c>
      <c r="U196" s="33" t="str">
        <f>IFERROR(__xludf.DUMMYFUNCTION("IF(IF(U$1="""","""",REGEXMATCH(LOWER($E196),XLOOKUP(U$1,Metadata!$A$2:$A1000,Metadata!$B$2:$B1000))),U$1,"""")"),"")</f>
        <v/>
      </c>
      <c r="V196" s="33" t="str">
        <f>IFERROR(__xludf.DUMMYFUNCTION("IF(IF(V$1="""","""",REGEXMATCH(LOWER($E196),XLOOKUP(V$1,Metadata!$A$2:$A1000,Metadata!$B$2:$B1000))),V$1,"""")"),"")</f>
        <v/>
      </c>
      <c r="W196" s="33" t="str">
        <f>IFERROR(__xludf.DUMMYFUNCTION("IF(IF(W$1="""","""",REGEXMATCH(LOWER($E196),XLOOKUP(W$1,Metadata!$A$2:$A1000,Metadata!$B$2:$B1000))),W$1,"""")"),"")</f>
        <v/>
      </c>
      <c r="X196" s="33" t="str">
        <f>IFERROR(__xludf.DUMMYFUNCTION("IF(IF(X$1="""","""",REGEXMATCH(LOWER($E196),XLOOKUP(X$1,Metadata!$A$2:$A1000,Metadata!$B$2:$B1000))),X$1,"""")"),"")</f>
        <v/>
      </c>
      <c r="Y196" s="33" t="str">
        <f>IFERROR(__xludf.DUMMYFUNCTION("IF(IF(Y$1="""","""",REGEXMATCH(LOWER($E196),XLOOKUP(Y$1,Metadata!$A$2:$A1000,Metadata!$B$2:$B1000))),Y$1,"""")"),"")</f>
        <v/>
      </c>
      <c r="Z196" s="33" t="str">
        <f>IFERROR(__xludf.DUMMYFUNCTION("IF(IF(Z$1="""","""",REGEXMATCH(LOWER($E196),XLOOKUP(Z$1,Metadata!$A$2:$A1000,Metadata!$B$2:$B1000))),Z$1,"""")"),"")</f>
        <v/>
      </c>
      <c r="AA196" s="33" t="str">
        <f>IFERROR(__xludf.DUMMYFUNCTION("IF(AA$1="""","""",REGEXMATCH(LOWER($E196),XLOOKUP(AA$1,Metadata!$A$2:$A1000,Metadata!$B$2:$B1000)))"),"")</f>
        <v/>
      </c>
    </row>
    <row r="197">
      <c r="A197" s="33" t="str">
        <f>IFERROR(__xludf.DUMMYFUNCTION("""COMPUTED_VALUE"""),"Supply Camel")</f>
        <v>Supply Camel</v>
      </c>
      <c r="B197" s="33" t="str">
        <f t="array" ref="B197:I197">XLOOKUP($A197,Cards!$A$2:$A1000,Cards!$B$2:$I1000,"")</f>
        <v>Mortal</v>
      </c>
      <c r="C197" s="33">
        <v>1.0</v>
      </c>
      <c r="D197" s="33" t="s">
        <v>946</v>
      </c>
      <c r="E197" s="33" t="s">
        <v>1275</v>
      </c>
      <c r="F197" s="33" t="s">
        <v>1276</v>
      </c>
      <c r="G197" s="33">
        <v>0.0</v>
      </c>
      <c r="H197" s="33" t="s">
        <v>1228</v>
      </c>
      <c r="I197" s="33" t="s">
        <v>26</v>
      </c>
      <c r="J197" s="33">
        <f>IFERROR(__xludf.DUMMYFUNCTION("LEN(REGEXREPLACE(XLOOKUP($A197,Cards!$A$2:$A1000,Cards!$H$2:$H1000,""""),"",\s"",""""))"),4.0)</f>
        <v>4</v>
      </c>
      <c r="K197" s="33" t="str">
        <f t="shared" si="1"/>
        <v>               </v>
      </c>
      <c r="L197" s="33" t="str">
        <f>IFERROR(__xludf.DUMMYFUNCTION("IF(IF(L$1="""","""",REGEXMATCH(LOWER($E197),XLOOKUP(L$1,Metadata!$A$2:$A1000,Metadata!$B$2:$B1000))),L$1,"""")"),"")</f>
        <v/>
      </c>
      <c r="M197" s="33" t="str">
        <f>IFERROR(__xludf.DUMMYFUNCTION("IF(IF(M$1="""","""",REGEXMATCH(LOWER($E197),XLOOKUP(M$1,Metadata!$A$2:$A1000,Metadata!$B$2:$B1000))),M$1,"""")"),"")</f>
        <v/>
      </c>
      <c r="N197" s="33" t="str">
        <f>IFERROR(__xludf.DUMMYFUNCTION("IF(IF(N$1="""","""",REGEXMATCH(LOWER($E197),XLOOKUP(N$1,Metadata!$A$2:$A1000,Metadata!$B$2:$B1000))),N$1,"""")"),"")</f>
        <v/>
      </c>
      <c r="O197" s="33" t="str">
        <f>IFERROR(__xludf.DUMMYFUNCTION("IF(IF(O$1="""","""",REGEXMATCH(LOWER($E197),XLOOKUP(O$1,Metadata!$A$2:$A1000,Metadata!$B$2:$B1000))),O$1,"""")"),"")</f>
        <v/>
      </c>
      <c r="P197" s="33" t="str">
        <f>IFERROR(__xludf.DUMMYFUNCTION("IF(IF(P$1="""","""",REGEXMATCH(LOWER($E197),XLOOKUP(P$1,Metadata!$A$2:$A1000,Metadata!$B$2:$B1000))),P$1,"""")"),"")</f>
        <v/>
      </c>
      <c r="Q197" s="33" t="str">
        <f>IFERROR(__xludf.DUMMYFUNCTION("IF(IF(Q$1="""","""",REGEXMATCH(LOWER($E197),XLOOKUP(Q$1,Metadata!$A$2:$A1000,Metadata!$B$2:$B1000))),Q$1,"""")"),"")</f>
        <v/>
      </c>
      <c r="R197" s="33" t="str">
        <f>IFERROR(__xludf.DUMMYFUNCTION("IF(IF(R$1="""","""",REGEXMATCH(LOWER($E197),XLOOKUP(R$1,Metadata!$A$2:$A1000,Metadata!$B$2:$B1000))),R$1,"""")"),"")</f>
        <v/>
      </c>
      <c r="S197" s="33" t="str">
        <f>IFERROR(__xludf.DUMMYFUNCTION("IF(IF(S$1="""","""",REGEXMATCH(LOWER($E197),XLOOKUP(S$1,Metadata!$A$2:$A1000,Metadata!$B$2:$B1000))),S$1,"""")"),"")</f>
        <v/>
      </c>
      <c r="T197" s="33" t="str">
        <f>IFERROR(__xludf.DUMMYFUNCTION("IF(IF(T$1="""","""",REGEXMATCH(LOWER($E197),XLOOKUP(T$1,Metadata!$A$2:$A1000,Metadata!$B$2:$B1000))),T$1,"""")"),"")</f>
        <v/>
      </c>
      <c r="U197" s="33" t="str">
        <f>IFERROR(__xludf.DUMMYFUNCTION("IF(IF(U$1="""","""",REGEXMATCH(LOWER($E197),XLOOKUP(U$1,Metadata!$A$2:$A1000,Metadata!$B$2:$B1000))),U$1,"""")"),"")</f>
        <v/>
      </c>
      <c r="V197" s="33" t="str">
        <f>IFERROR(__xludf.DUMMYFUNCTION("IF(IF(V$1="""","""",REGEXMATCH(LOWER($E197),XLOOKUP(V$1,Metadata!$A$2:$A1000,Metadata!$B$2:$B1000))),V$1,"""")"),"")</f>
        <v/>
      </c>
      <c r="W197" s="33" t="str">
        <f>IFERROR(__xludf.DUMMYFUNCTION("IF(IF(W$1="""","""",REGEXMATCH(LOWER($E197),XLOOKUP(W$1,Metadata!$A$2:$A1000,Metadata!$B$2:$B1000))),W$1,"""")"),"")</f>
        <v/>
      </c>
      <c r="X197" s="33" t="str">
        <f>IFERROR(__xludf.DUMMYFUNCTION("IF(IF(X$1="""","""",REGEXMATCH(LOWER($E197),XLOOKUP(X$1,Metadata!$A$2:$A1000,Metadata!$B$2:$B1000))),X$1,"""")"),"")</f>
        <v/>
      </c>
      <c r="Y197" s="33" t="str">
        <f>IFERROR(__xludf.DUMMYFUNCTION("IF(IF(Y$1="""","""",REGEXMATCH(LOWER($E197),XLOOKUP(Y$1,Metadata!$A$2:$A1000,Metadata!$B$2:$B1000))),Y$1,"""")"),"")</f>
        <v/>
      </c>
      <c r="Z197" s="33" t="str">
        <f>IFERROR(__xludf.DUMMYFUNCTION("IF(IF(Z$1="""","""",REGEXMATCH(LOWER($E197),XLOOKUP(Z$1,Metadata!$A$2:$A1000,Metadata!$B$2:$B1000))),Z$1,"""")"),"")</f>
        <v/>
      </c>
      <c r="AA197" s="33" t="str">
        <f>IFERROR(__xludf.DUMMYFUNCTION("IF(AA$1="""","""",REGEXMATCH(LOWER($E197),XLOOKUP(AA$1,Metadata!$A$2:$A1000,Metadata!$B$2:$B1000)))"),"")</f>
        <v/>
      </c>
    </row>
    <row r="198">
      <c r="A198" s="33" t="str">
        <f>IFERROR(__xludf.DUMMYFUNCTION("""COMPUTED_VALUE"""),"Trusty Companion")</f>
        <v>Trusty Companion</v>
      </c>
      <c r="B198" s="33" t="str">
        <f t="array" ref="B198:I198">XLOOKUP($A198,Cards!$A$2:$A1000,Cards!$B$2:$I1000,"")</f>
        <v>Mortal</v>
      </c>
      <c r="C198" s="33">
        <v>1.0</v>
      </c>
      <c r="D198" s="33" t="s">
        <v>97</v>
      </c>
      <c r="E198" s="33" t="s">
        <v>1284</v>
      </c>
      <c r="F198" s="33" t="s">
        <v>1285</v>
      </c>
      <c r="G198" s="33">
        <v>2.0</v>
      </c>
      <c r="H198" s="33" t="s">
        <v>989</v>
      </c>
      <c r="I198" s="33" t="s">
        <v>26</v>
      </c>
      <c r="J198" s="33">
        <f>IFERROR(__xludf.DUMMYFUNCTION("LEN(REGEXREPLACE(XLOOKUP($A198,Cards!$A$2:$A1000,Cards!$H$2:$H1000,""""),"",\s"",""""))"),3.0)</f>
        <v>3</v>
      </c>
      <c r="K198" s="33" t="str">
        <f t="shared" si="1"/>
        <v>               </v>
      </c>
      <c r="L198" s="33" t="str">
        <f>IFERROR(__xludf.DUMMYFUNCTION("IF(IF(L$1="""","""",REGEXMATCH(LOWER($E198),XLOOKUP(L$1,Metadata!$A$2:$A1000,Metadata!$B$2:$B1000))),L$1,"""")"),"")</f>
        <v/>
      </c>
      <c r="M198" s="33" t="str">
        <f>IFERROR(__xludf.DUMMYFUNCTION("IF(IF(M$1="""","""",REGEXMATCH(LOWER($E198),XLOOKUP(M$1,Metadata!$A$2:$A1000,Metadata!$B$2:$B1000))),M$1,"""")"),"")</f>
        <v/>
      </c>
      <c r="N198" s="33" t="str">
        <f>IFERROR(__xludf.DUMMYFUNCTION("IF(IF(N$1="""","""",REGEXMATCH(LOWER($E198),XLOOKUP(N$1,Metadata!$A$2:$A1000,Metadata!$B$2:$B1000))),N$1,"""")"),"")</f>
        <v/>
      </c>
      <c r="O198" s="33" t="str">
        <f>IFERROR(__xludf.DUMMYFUNCTION("IF(IF(O$1="""","""",REGEXMATCH(LOWER($E198),XLOOKUP(O$1,Metadata!$A$2:$A1000,Metadata!$B$2:$B1000))),O$1,"""")"),"")</f>
        <v/>
      </c>
      <c r="P198" s="33" t="str">
        <f>IFERROR(__xludf.DUMMYFUNCTION("IF(IF(P$1="""","""",REGEXMATCH(LOWER($E198),XLOOKUP(P$1,Metadata!$A$2:$A1000,Metadata!$B$2:$B1000))),P$1,"""")"),"")</f>
        <v/>
      </c>
      <c r="Q198" s="33" t="str">
        <f>IFERROR(__xludf.DUMMYFUNCTION("IF(IF(Q$1="""","""",REGEXMATCH(LOWER($E198),XLOOKUP(Q$1,Metadata!$A$2:$A1000,Metadata!$B$2:$B1000))),Q$1,"""")"),"")</f>
        <v/>
      </c>
      <c r="R198" s="33" t="str">
        <f>IFERROR(__xludf.DUMMYFUNCTION("IF(IF(R$1="""","""",REGEXMATCH(LOWER($E198),XLOOKUP(R$1,Metadata!$A$2:$A1000,Metadata!$B$2:$B1000))),R$1,"""")"),"")</f>
        <v/>
      </c>
      <c r="S198" s="33" t="str">
        <f>IFERROR(__xludf.DUMMYFUNCTION("IF(IF(S$1="""","""",REGEXMATCH(LOWER($E198),XLOOKUP(S$1,Metadata!$A$2:$A1000,Metadata!$B$2:$B1000))),S$1,"""")"),"")</f>
        <v/>
      </c>
      <c r="T198" s="33" t="str">
        <f>IFERROR(__xludf.DUMMYFUNCTION("IF(IF(T$1="""","""",REGEXMATCH(LOWER($E198),XLOOKUP(T$1,Metadata!$A$2:$A1000,Metadata!$B$2:$B1000))),T$1,"""")"),"")</f>
        <v/>
      </c>
      <c r="U198" s="33" t="str">
        <f>IFERROR(__xludf.DUMMYFUNCTION("IF(IF(U$1="""","""",REGEXMATCH(LOWER($E198),XLOOKUP(U$1,Metadata!$A$2:$A1000,Metadata!$B$2:$B1000))),U$1,"""")"),"")</f>
        <v/>
      </c>
      <c r="V198" s="33" t="str">
        <f>IFERROR(__xludf.DUMMYFUNCTION("IF(IF(V$1="""","""",REGEXMATCH(LOWER($E198),XLOOKUP(V$1,Metadata!$A$2:$A1000,Metadata!$B$2:$B1000))),V$1,"""")"),"")</f>
        <v/>
      </c>
      <c r="W198" s="33" t="str">
        <f>IFERROR(__xludf.DUMMYFUNCTION("IF(IF(W$1="""","""",REGEXMATCH(LOWER($E198),XLOOKUP(W$1,Metadata!$A$2:$A1000,Metadata!$B$2:$B1000))),W$1,"""")"),"")</f>
        <v/>
      </c>
      <c r="X198" s="33" t="str">
        <f>IFERROR(__xludf.DUMMYFUNCTION("IF(IF(X$1="""","""",REGEXMATCH(LOWER($E198),XLOOKUP(X$1,Metadata!$A$2:$A1000,Metadata!$B$2:$B1000))),X$1,"""")"),"")</f>
        <v/>
      </c>
      <c r="Y198" s="33" t="str">
        <f>IFERROR(__xludf.DUMMYFUNCTION("IF(IF(Y$1="""","""",REGEXMATCH(LOWER($E198),XLOOKUP(Y$1,Metadata!$A$2:$A1000,Metadata!$B$2:$B1000))),Y$1,"""")"),"")</f>
        <v/>
      </c>
      <c r="Z198" s="33" t="str">
        <f>IFERROR(__xludf.DUMMYFUNCTION("IF(IF(Z$1="""","""",REGEXMATCH(LOWER($E198),XLOOKUP(Z$1,Metadata!$A$2:$A1000,Metadata!$B$2:$B1000))),Z$1,"""")"),"")</f>
        <v/>
      </c>
      <c r="AA198" s="33" t="str">
        <f>IFERROR(__xludf.DUMMYFUNCTION("IF(AA$1="""","""",REGEXMATCH(LOWER($E198),XLOOKUP(AA$1,Metadata!$A$2:$A1000,Metadata!$B$2:$B1000)))"),"")</f>
        <v/>
      </c>
    </row>
    <row r="199">
      <c r="A199" s="33" t="str">
        <f>IFERROR(__xludf.DUMMYFUNCTION("""COMPUTED_VALUE"""),"Bloodfleet Raider")</f>
        <v>Bloodfleet Raider</v>
      </c>
      <c r="B199" s="33" t="str">
        <f t="array" ref="B199:I199">XLOOKUP($A199,Cards!$A$2:$A1000,Cards!$B$2:$I1000,"")</f>
        <v>Mortal</v>
      </c>
      <c r="C199" s="33">
        <v>1.0</v>
      </c>
      <c r="D199" s="33" t="s">
        <v>128</v>
      </c>
      <c r="E199" s="33" t="s">
        <v>1290</v>
      </c>
      <c r="F199" s="33" t="s">
        <v>1291</v>
      </c>
      <c r="G199" s="33">
        <v>4.0</v>
      </c>
      <c r="H199" s="33" t="s">
        <v>1038</v>
      </c>
      <c r="I199" s="33" t="s">
        <v>62</v>
      </c>
      <c r="J199" s="33">
        <f>IFERROR(__xludf.DUMMYFUNCTION("LEN(REGEXREPLACE(XLOOKUP($A199,Cards!$A$2:$A1000,Cards!$H$2:$H1000,""""),"",\s"",""""))"),4.0)</f>
        <v>4</v>
      </c>
      <c r="K199" s="33" t="str">
        <f t="shared" si="1"/>
        <v>               </v>
      </c>
      <c r="L199" s="33" t="str">
        <f>IFERROR(__xludf.DUMMYFUNCTION("IF(IF(L$1="""","""",REGEXMATCH(LOWER($E199),XLOOKUP(L$1,Metadata!$A$2:$A1000,Metadata!$B$2:$B1000))),L$1,"""")"),"")</f>
        <v/>
      </c>
      <c r="M199" s="33" t="str">
        <f>IFERROR(__xludf.DUMMYFUNCTION("IF(IF(M$1="""","""",REGEXMATCH(LOWER($E199),XLOOKUP(M$1,Metadata!$A$2:$A1000,Metadata!$B$2:$B1000))),M$1,"""")"),"")</f>
        <v/>
      </c>
      <c r="N199" s="33" t="str">
        <f>IFERROR(__xludf.DUMMYFUNCTION("IF(IF(N$1="""","""",REGEXMATCH(LOWER($E199),XLOOKUP(N$1,Metadata!$A$2:$A1000,Metadata!$B$2:$B1000))),N$1,"""")"),"")</f>
        <v/>
      </c>
      <c r="O199" s="33" t="str">
        <f>IFERROR(__xludf.DUMMYFUNCTION("IF(IF(O$1="""","""",REGEXMATCH(LOWER($E199),XLOOKUP(O$1,Metadata!$A$2:$A1000,Metadata!$B$2:$B1000))),O$1,"""")"),"")</f>
        <v/>
      </c>
      <c r="P199" s="33" t="str">
        <f>IFERROR(__xludf.DUMMYFUNCTION("IF(IF(P$1="""","""",REGEXMATCH(LOWER($E199),XLOOKUP(P$1,Metadata!$A$2:$A1000,Metadata!$B$2:$B1000))),P$1,"""")"),"")</f>
        <v/>
      </c>
      <c r="Q199" s="33" t="str">
        <f>IFERROR(__xludf.DUMMYFUNCTION("IF(IF(Q$1="""","""",REGEXMATCH(LOWER($E199),XLOOKUP(Q$1,Metadata!$A$2:$A1000,Metadata!$B$2:$B1000))),Q$1,"""")"),"")</f>
        <v/>
      </c>
      <c r="R199" s="33" t="str">
        <f>IFERROR(__xludf.DUMMYFUNCTION("IF(IF(R$1="""","""",REGEXMATCH(LOWER($E199),XLOOKUP(R$1,Metadata!$A$2:$A1000,Metadata!$B$2:$B1000))),R$1,"""")"),"")</f>
        <v/>
      </c>
      <c r="S199" s="33" t="str">
        <f>IFERROR(__xludf.DUMMYFUNCTION("IF(IF(S$1="""","""",REGEXMATCH(LOWER($E199),XLOOKUP(S$1,Metadata!$A$2:$A1000,Metadata!$B$2:$B1000))),S$1,"""")"),"")</f>
        <v/>
      </c>
      <c r="T199" s="33" t="str">
        <f>IFERROR(__xludf.DUMMYFUNCTION("IF(IF(T$1="""","""",REGEXMATCH(LOWER($E199),XLOOKUP(T$1,Metadata!$A$2:$A1000,Metadata!$B$2:$B1000))),T$1,"""")"),"")</f>
        <v/>
      </c>
      <c r="U199" s="33" t="str">
        <f>IFERROR(__xludf.DUMMYFUNCTION("IF(IF(U$1="""","""",REGEXMATCH(LOWER($E199),XLOOKUP(U$1,Metadata!$A$2:$A1000,Metadata!$B$2:$B1000))),U$1,"""")"),"")</f>
        <v/>
      </c>
      <c r="V199" s="33" t="str">
        <f>IFERROR(__xludf.DUMMYFUNCTION("IF(IF(V$1="""","""",REGEXMATCH(LOWER($E199),XLOOKUP(V$1,Metadata!$A$2:$A1000,Metadata!$B$2:$B1000))),V$1,"""")"),"")</f>
        <v/>
      </c>
      <c r="W199" s="33" t="str">
        <f>IFERROR(__xludf.DUMMYFUNCTION("IF(IF(W$1="""","""",REGEXMATCH(LOWER($E199),XLOOKUP(W$1,Metadata!$A$2:$A1000,Metadata!$B$2:$B1000))),W$1,"""")"),"")</f>
        <v/>
      </c>
      <c r="X199" s="33" t="str">
        <f>IFERROR(__xludf.DUMMYFUNCTION("IF(IF(X$1="""","""",REGEXMATCH(LOWER($E199),XLOOKUP(X$1,Metadata!$A$2:$A1000,Metadata!$B$2:$B1000))),X$1,"""")"),"")</f>
        <v/>
      </c>
      <c r="Y199" s="33" t="str">
        <f>IFERROR(__xludf.DUMMYFUNCTION("IF(IF(Y$1="""","""",REGEXMATCH(LOWER($E199),XLOOKUP(Y$1,Metadata!$A$2:$A1000,Metadata!$B$2:$B1000))),Y$1,"""")"),"")</f>
        <v/>
      </c>
      <c r="Z199" s="33" t="str">
        <f>IFERROR(__xludf.DUMMYFUNCTION("IF(IF(Z$1="""","""",REGEXMATCH(LOWER($E199),XLOOKUP(Z$1,Metadata!$A$2:$A1000,Metadata!$B$2:$B1000))),Z$1,"""")"),"")</f>
        <v/>
      </c>
      <c r="AA199" s="33" t="str">
        <f>IFERROR(__xludf.DUMMYFUNCTION("IF(AA$1="""","""",REGEXMATCH(LOWER($E199),XLOOKUP(AA$1,Metadata!$A$2:$A1000,Metadata!$B$2:$B1000)))"),"")</f>
        <v/>
      </c>
    </row>
    <row r="200">
      <c r="A200" s="33" t="str">
        <f>IFERROR(__xludf.DUMMYFUNCTION("""COMPUTED_VALUE"""),"Caring Mother")</f>
        <v>Caring Mother</v>
      </c>
      <c r="B200" s="33" t="str">
        <f t="array" ref="B200:I200">XLOOKUP($A200,Cards!$A$2:$A1000,Cards!$B$2:$I1000,"")</f>
        <v>Mortal</v>
      </c>
      <c r="C200" s="33">
        <v>1.0</v>
      </c>
      <c r="D200" s="33" t="s">
        <v>37</v>
      </c>
      <c r="E200" s="33" t="s">
        <v>1301</v>
      </c>
      <c r="F200" s="33" t="s">
        <v>1302</v>
      </c>
      <c r="G200" s="33">
        <v>1.0</v>
      </c>
      <c r="H200" s="33" t="s">
        <v>995</v>
      </c>
      <c r="I200" s="33" t="s">
        <v>62</v>
      </c>
      <c r="J200" s="33">
        <f>IFERROR(__xludf.DUMMYFUNCTION("LEN(REGEXREPLACE(XLOOKUP($A200,Cards!$A$2:$A1000,Cards!$H$2:$H1000,""""),"",\s"",""""))"),2.0)</f>
        <v>2</v>
      </c>
      <c r="K200" s="33" t="str">
        <f t="shared" si="1"/>
        <v>      Ramp         </v>
      </c>
      <c r="L200" s="33" t="str">
        <f>IFERROR(__xludf.DUMMYFUNCTION("IF(IF(L$1="""","""",REGEXMATCH(LOWER($E200),XLOOKUP(L$1,Metadata!$A$2:$A1000,Metadata!$B$2:$B1000))),L$1,"""")"),"")</f>
        <v/>
      </c>
      <c r="M200" s="33" t="str">
        <f>IFERROR(__xludf.DUMMYFUNCTION("IF(IF(M$1="""","""",REGEXMATCH(LOWER($E200),XLOOKUP(M$1,Metadata!$A$2:$A1000,Metadata!$B$2:$B1000))),M$1,"""")"),"")</f>
        <v/>
      </c>
      <c r="N200" s="33" t="str">
        <f>IFERROR(__xludf.DUMMYFUNCTION("IF(IF(N$1="""","""",REGEXMATCH(LOWER($E200),XLOOKUP(N$1,Metadata!$A$2:$A1000,Metadata!$B$2:$B1000))),N$1,"""")"),"")</f>
        <v/>
      </c>
      <c r="O200" s="33" t="str">
        <f>IFERROR(__xludf.DUMMYFUNCTION("IF(IF(O$1="""","""",REGEXMATCH(LOWER($E200),XLOOKUP(O$1,Metadata!$A$2:$A1000,Metadata!$B$2:$B1000))),O$1,"""")"),"")</f>
        <v/>
      </c>
      <c r="P200" s="33" t="str">
        <f>IFERROR(__xludf.DUMMYFUNCTION("IF(IF(P$1="""","""",REGEXMATCH(LOWER($E200),XLOOKUP(P$1,Metadata!$A$2:$A1000,Metadata!$B$2:$B1000))),P$1,"""")"),"")</f>
        <v/>
      </c>
      <c r="Q200" s="33" t="str">
        <f>IFERROR(__xludf.DUMMYFUNCTION("IF(IF(Q$1="""","""",REGEXMATCH(LOWER($E200),XLOOKUP(Q$1,Metadata!$A$2:$A1000,Metadata!$B$2:$B1000))),Q$1,"""")"),"")</f>
        <v/>
      </c>
      <c r="R200" s="33" t="str">
        <f>IFERROR(__xludf.DUMMYFUNCTION("IF(IF(R$1="""","""",REGEXMATCH(LOWER($E200),XLOOKUP(R$1,Metadata!$A$2:$A1000,Metadata!$B$2:$B1000))),R$1,"""")"),"Ramp")</f>
        <v>Ramp</v>
      </c>
      <c r="S200" s="33" t="str">
        <f>IFERROR(__xludf.DUMMYFUNCTION("IF(IF(S$1="""","""",REGEXMATCH(LOWER($E200),XLOOKUP(S$1,Metadata!$A$2:$A1000,Metadata!$B$2:$B1000))),S$1,"""")"),"")</f>
        <v/>
      </c>
      <c r="T200" s="33" t="str">
        <f>IFERROR(__xludf.DUMMYFUNCTION("IF(IF(T$1="""","""",REGEXMATCH(LOWER($E200),XLOOKUP(T$1,Metadata!$A$2:$A1000,Metadata!$B$2:$B1000))),T$1,"""")"),"")</f>
        <v/>
      </c>
      <c r="U200" s="33" t="str">
        <f>IFERROR(__xludf.DUMMYFUNCTION("IF(IF(U$1="""","""",REGEXMATCH(LOWER($E200),XLOOKUP(U$1,Metadata!$A$2:$A1000,Metadata!$B$2:$B1000))),U$1,"""")"),"")</f>
        <v/>
      </c>
      <c r="V200" s="33" t="str">
        <f>IFERROR(__xludf.DUMMYFUNCTION("IF(IF(V$1="""","""",REGEXMATCH(LOWER($E200),XLOOKUP(V$1,Metadata!$A$2:$A1000,Metadata!$B$2:$B1000))),V$1,"""")"),"")</f>
        <v/>
      </c>
      <c r="W200" s="33" t="str">
        <f>IFERROR(__xludf.DUMMYFUNCTION("IF(IF(W$1="""","""",REGEXMATCH(LOWER($E200),XLOOKUP(W$1,Metadata!$A$2:$A1000,Metadata!$B$2:$B1000))),W$1,"""")"),"")</f>
        <v/>
      </c>
      <c r="X200" s="33" t="str">
        <f>IFERROR(__xludf.DUMMYFUNCTION("IF(IF(X$1="""","""",REGEXMATCH(LOWER($E200),XLOOKUP(X$1,Metadata!$A$2:$A1000,Metadata!$B$2:$B1000))),X$1,"""")"),"")</f>
        <v/>
      </c>
      <c r="Y200" s="33" t="str">
        <f>IFERROR(__xludf.DUMMYFUNCTION("IF(IF(Y$1="""","""",REGEXMATCH(LOWER($E200),XLOOKUP(Y$1,Metadata!$A$2:$A1000,Metadata!$B$2:$B1000))),Y$1,"""")"),"")</f>
        <v/>
      </c>
      <c r="Z200" s="33" t="str">
        <f>IFERROR(__xludf.DUMMYFUNCTION("IF(IF(Z$1="""","""",REGEXMATCH(LOWER($E200),XLOOKUP(Z$1,Metadata!$A$2:$A1000,Metadata!$B$2:$B1000))),Z$1,"""")"),"")</f>
        <v/>
      </c>
      <c r="AA200" s="33" t="str">
        <f>IFERROR(__xludf.DUMMYFUNCTION("IF(AA$1="""","""",REGEXMATCH(LOWER($E200),XLOOKUP(AA$1,Metadata!$A$2:$A1000,Metadata!$B$2:$B1000)))"),"")</f>
        <v/>
      </c>
    </row>
    <row r="201">
      <c r="A201" s="33" t="str">
        <f>IFERROR(__xludf.DUMMYFUNCTION("""COMPUTED_VALUE"""),"Wayward Automaton")</f>
        <v>Wayward Automaton</v>
      </c>
      <c r="B201" s="33" t="str">
        <f t="array" ref="B201:I201">XLOOKUP($A201,Cards!$A$2:$A1000,Cards!$B$2:$I1000,"")</f>
        <v>Mortal</v>
      </c>
      <c r="C201" s="33">
        <v>2.0</v>
      </c>
      <c r="D201" s="33" t="s">
        <v>1308</v>
      </c>
      <c r="E201" s="33" t="s">
        <v>1309</v>
      </c>
      <c r="F201" s="33" t="s">
        <v>1310</v>
      </c>
      <c r="G201" s="33">
        <v>5.0</v>
      </c>
      <c r="H201" s="33" t="s">
        <v>390</v>
      </c>
      <c r="I201" s="33" t="s">
        <v>26</v>
      </c>
      <c r="J201" s="33">
        <f>IFERROR(__xludf.DUMMYFUNCTION("LEN(REGEXREPLACE(XLOOKUP($A201,Cards!$A$2:$A1000,Cards!$H$2:$H1000,""""),"",\s"",""""))"),5.0)</f>
        <v>5</v>
      </c>
      <c r="K201" s="33" t="str">
        <f t="shared" si="1"/>
        <v>            Ambush   </v>
      </c>
      <c r="L201" s="33" t="str">
        <f>IFERROR(__xludf.DUMMYFUNCTION("IF(IF(L$1="""","""",REGEXMATCH(LOWER($E201),XLOOKUP(L$1,Metadata!$A$2:$A1000,Metadata!$B$2:$B1000))),L$1,"""")"),"")</f>
        <v/>
      </c>
      <c r="M201" s="33" t="str">
        <f>IFERROR(__xludf.DUMMYFUNCTION("IF(IF(M$1="""","""",REGEXMATCH(LOWER($E201),XLOOKUP(M$1,Metadata!$A$2:$A1000,Metadata!$B$2:$B1000))),M$1,"""")"),"")</f>
        <v/>
      </c>
      <c r="N201" s="33" t="str">
        <f>IFERROR(__xludf.DUMMYFUNCTION("IF(IF(N$1="""","""",REGEXMATCH(LOWER($E201),XLOOKUP(N$1,Metadata!$A$2:$A1000,Metadata!$B$2:$B1000))),N$1,"""")"),"")</f>
        <v/>
      </c>
      <c r="O201" s="33" t="str">
        <f>IFERROR(__xludf.DUMMYFUNCTION("IF(IF(O$1="""","""",REGEXMATCH(LOWER($E201),XLOOKUP(O$1,Metadata!$A$2:$A1000,Metadata!$B$2:$B1000))),O$1,"""")"),"")</f>
        <v/>
      </c>
      <c r="P201" s="33" t="str">
        <f>IFERROR(__xludf.DUMMYFUNCTION("IF(IF(P$1="""","""",REGEXMATCH(LOWER($E201),XLOOKUP(P$1,Metadata!$A$2:$A1000,Metadata!$B$2:$B1000))),P$1,"""")"),"")</f>
        <v/>
      </c>
      <c r="Q201" s="33" t="str">
        <f>IFERROR(__xludf.DUMMYFUNCTION("IF(IF(Q$1="""","""",REGEXMATCH(LOWER($E201),XLOOKUP(Q$1,Metadata!$A$2:$A1000,Metadata!$B$2:$B1000))),Q$1,"""")"),"")</f>
        <v/>
      </c>
      <c r="R201" s="33" t="str">
        <f>IFERROR(__xludf.DUMMYFUNCTION("IF(IF(R$1="""","""",REGEXMATCH(LOWER($E201),XLOOKUP(R$1,Metadata!$A$2:$A1000,Metadata!$B$2:$B1000))),R$1,"""")"),"")</f>
        <v/>
      </c>
      <c r="S201" s="33" t="str">
        <f>IFERROR(__xludf.DUMMYFUNCTION("IF(IF(S$1="""","""",REGEXMATCH(LOWER($E201),XLOOKUP(S$1,Metadata!$A$2:$A1000,Metadata!$B$2:$B1000))),S$1,"""")"),"")</f>
        <v/>
      </c>
      <c r="T201" s="33" t="str">
        <f>IFERROR(__xludf.DUMMYFUNCTION("IF(IF(T$1="""","""",REGEXMATCH(LOWER($E201),XLOOKUP(T$1,Metadata!$A$2:$A1000,Metadata!$B$2:$B1000))),T$1,"""")"),"")</f>
        <v/>
      </c>
      <c r="U201" s="33" t="str">
        <f>IFERROR(__xludf.DUMMYFUNCTION("IF(IF(U$1="""","""",REGEXMATCH(LOWER($E201),XLOOKUP(U$1,Metadata!$A$2:$A1000,Metadata!$B$2:$B1000))),U$1,"""")"),"")</f>
        <v/>
      </c>
      <c r="V201" s="33" t="str">
        <f>IFERROR(__xludf.DUMMYFUNCTION("IF(IF(V$1="""","""",REGEXMATCH(LOWER($E201),XLOOKUP(V$1,Metadata!$A$2:$A1000,Metadata!$B$2:$B1000))),V$1,"""")"),"")</f>
        <v/>
      </c>
      <c r="W201" s="33" t="str">
        <f>IFERROR(__xludf.DUMMYFUNCTION("IF(IF(W$1="""","""",REGEXMATCH(LOWER($E201),XLOOKUP(W$1,Metadata!$A$2:$A1000,Metadata!$B$2:$B1000))),W$1,"""")"),"")</f>
        <v/>
      </c>
      <c r="X201" s="33" t="str">
        <f>IFERROR(__xludf.DUMMYFUNCTION("IF(IF(X$1="""","""",REGEXMATCH(LOWER($E201),XLOOKUP(X$1,Metadata!$A$2:$A1000,Metadata!$B$2:$B1000))),X$1,"""")"),"Ambush")</f>
        <v>Ambush</v>
      </c>
      <c r="Y201" s="33" t="str">
        <f>IFERROR(__xludf.DUMMYFUNCTION("IF(IF(Y$1="""","""",REGEXMATCH(LOWER($E201),XLOOKUP(Y$1,Metadata!$A$2:$A1000,Metadata!$B$2:$B1000))),Y$1,"""")"),"")</f>
        <v/>
      </c>
      <c r="Z201" s="33" t="str">
        <f>IFERROR(__xludf.DUMMYFUNCTION("IF(IF(Z$1="""","""",REGEXMATCH(LOWER($E201),XLOOKUP(Z$1,Metadata!$A$2:$A1000,Metadata!$B$2:$B1000))),Z$1,"""")"),"")</f>
        <v/>
      </c>
      <c r="AA201" s="33" t="str">
        <f>IFERROR(__xludf.DUMMYFUNCTION("IF(AA$1="""","""",REGEXMATCH(LOWER($E201),XLOOKUP(AA$1,Metadata!$A$2:$A1000,Metadata!$B$2:$B1000)))"),"")</f>
        <v/>
      </c>
    </row>
    <row r="202">
      <c r="A202" s="33" t="str">
        <f>IFERROR(__xludf.DUMMYFUNCTION("""COMPUTED_VALUE"""),"Battle Ant Dreadnought")</f>
        <v>Battle Ant Dreadnought</v>
      </c>
      <c r="B202" s="33" t="str">
        <f t="array" ref="B202:I202">XLOOKUP($A202,Cards!$A$2:$A1000,Cards!$B$2:$I1000,"")</f>
        <v>Mortal Nature</v>
      </c>
      <c r="C202" s="33">
        <v>2.0</v>
      </c>
      <c r="D202" s="33" t="s">
        <v>1313</v>
      </c>
      <c r="E202" s="33" t="s">
        <v>1314</v>
      </c>
      <c r="F202" s="33" t="s">
        <v>24</v>
      </c>
      <c r="G202" s="33">
        <v>7.0</v>
      </c>
      <c r="H202" s="33" t="s">
        <v>1315</v>
      </c>
      <c r="I202" s="33" t="s">
        <v>62</v>
      </c>
      <c r="J202" s="33">
        <f>IFERROR(__xludf.DUMMYFUNCTION("LEN(REGEXREPLACE(XLOOKUP($A202,Cards!$A$2:$A1000,Cards!$H$2:$H1000,""""),"",\s"",""""))"),6.0)</f>
        <v>6</v>
      </c>
      <c r="K202" s="33" t="str">
        <f t="shared" si="1"/>
        <v>         Aggro      </v>
      </c>
      <c r="L202" s="33" t="str">
        <f>IFERROR(__xludf.DUMMYFUNCTION("IF(IF(L$1="""","""",REGEXMATCH(LOWER($E202),XLOOKUP(L$1,Metadata!$A$2:$A1000,Metadata!$B$2:$B1000))),L$1,"""")"),"")</f>
        <v/>
      </c>
      <c r="M202" s="33" t="str">
        <f>IFERROR(__xludf.DUMMYFUNCTION("IF(IF(M$1="""","""",REGEXMATCH(LOWER($E202),XLOOKUP(M$1,Metadata!$A$2:$A1000,Metadata!$B$2:$B1000))),M$1,"""")"),"")</f>
        <v/>
      </c>
      <c r="N202" s="33" t="str">
        <f>IFERROR(__xludf.DUMMYFUNCTION("IF(IF(N$1="""","""",REGEXMATCH(LOWER($E202),XLOOKUP(N$1,Metadata!$A$2:$A1000,Metadata!$B$2:$B1000))),N$1,"""")"),"")</f>
        <v/>
      </c>
      <c r="O202" s="33" t="str">
        <f>IFERROR(__xludf.DUMMYFUNCTION("IF(IF(O$1="""","""",REGEXMATCH(LOWER($E202),XLOOKUP(O$1,Metadata!$A$2:$A1000,Metadata!$B$2:$B1000))),O$1,"""")"),"")</f>
        <v/>
      </c>
      <c r="P202" s="33" t="str">
        <f>IFERROR(__xludf.DUMMYFUNCTION("IF(IF(P$1="""","""",REGEXMATCH(LOWER($E202),XLOOKUP(P$1,Metadata!$A$2:$A1000,Metadata!$B$2:$B1000))),P$1,"""")"),"")</f>
        <v/>
      </c>
      <c r="Q202" s="33" t="str">
        <f>IFERROR(__xludf.DUMMYFUNCTION("IF(IF(Q$1="""","""",REGEXMATCH(LOWER($E202),XLOOKUP(Q$1,Metadata!$A$2:$A1000,Metadata!$B$2:$B1000))),Q$1,"""")"),"")</f>
        <v/>
      </c>
      <c r="R202" s="33" t="str">
        <f>IFERROR(__xludf.DUMMYFUNCTION("IF(IF(R$1="""","""",REGEXMATCH(LOWER($E202),XLOOKUP(R$1,Metadata!$A$2:$A1000,Metadata!$B$2:$B1000))),R$1,"""")"),"")</f>
        <v/>
      </c>
      <c r="S202" s="33" t="str">
        <f>IFERROR(__xludf.DUMMYFUNCTION("IF(IF(S$1="""","""",REGEXMATCH(LOWER($E202),XLOOKUP(S$1,Metadata!$A$2:$A1000,Metadata!$B$2:$B1000))),S$1,"""")"),"")</f>
        <v/>
      </c>
      <c r="T202" s="33" t="str">
        <f>IFERROR(__xludf.DUMMYFUNCTION("IF(IF(T$1="""","""",REGEXMATCH(LOWER($E202),XLOOKUP(T$1,Metadata!$A$2:$A1000,Metadata!$B$2:$B1000))),T$1,"""")"),"")</f>
        <v/>
      </c>
      <c r="U202" s="33" t="str">
        <f>IFERROR(__xludf.DUMMYFUNCTION("IF(IF(U$1="""","""",REGEXMATCH(LOWER($E202),XLOOKUP(U$1,Metadata!$A$2:$A1000,Metadata!$B$2:$B1000))),U$1,"""")"),"Aggro")</f>
        <v>Aggro</v>
      </c>
      <c r="V202" s="33" t="str">
        <f>IFERROR(__xludf.DUMMYFUNCTION("IF(IF(V$1="""","""",REGEXMATCH(LOWER($E202),XLOOKUP(V$1,Metadata!$A$2:$A1000,Metadata!$B$2:$B1000))),V$1,"""")"),"")</f>
        <v/>
      </c>
      <c r="W202" s="33" t="str">
        <f>IFERROR(__xludf.DUMMYFUNCTION("IF(IF(W$1="""","""",REGEXMATCH(LOWER($E202),XLOOKUP(W$1,Metadata!$A$2:$A1000,Metadata!$B$2:$B1000))),W$1,"""")"),"")</f>
        <v/>
      </c>
      <c r="X202" s="33" t="str">
        <f>IFERROR(__xludf.DUMMYFUNCTION("IF(IF(X$1="""","""",REGEXMATCH(LOWER($E202),XLOOKUP(X$1,Metadata!$A$2:$A1000,Metadata!$B$2:$B1000))),X$1,"""")"),"")</f>
        <v/>
      </c>
      <c r="Y202" s="33" t="str">
        <f>IFERROR(__xludf.DUMMYFUNCTION("IF(IF(Y$1="""","""",REGEXMATCH(LOWER($E202),XLOOKUP(Y$1,Metadata!$A$2:$A1000,Metadata!$B$2:$B1000))),Y$1,"""")"),"")</f>
        <v/>
      </c>
      <c r="Z202" s="33" t="str">
        <f>IFERROR(__xludf.DUMMYFUNCTION("IF(IF(Z$1="""","""",REGEXMATCH(LOWER($E202),XLOOKUP(Z$1,Metadata!$A$2:$A1000,Metadata!$B$2:$B1000))),Z$1,"""")"),"")</f>
        <v/>
      </c>
      <c r="AA202" s="33" t="str">
        <f>IFERROR(__xludf.DUMMYFUNCTION("IF(AA$1="""","""",REGEXMATCH(LOWER($E202),XLOOKUP(AA$1,Metadata!$A$2:$A1000,Metadata!$B$2:$B1000)))"),"")</f>
        <v/>
      </c>
    </row>
    <row r="203">
      <c r="A203" s="33" t="str">
        <f>IFERROR(__xludf.DUMMYFUNCTION("""COMPUTED_VALUE"""),"Dojo Drill Instructor")</f>
        <v>Dojo Drill Instructor</v>
      </c>
      <c r="B203" s="33" t="str">
        <f t="array" ref="B203:I203">XLOOKUP($A203,Cards!$A$2:$A1000,Cards!$B$2:$I1000,"")</f>
        <v>Mortal</v>
      </c>
      <c r="C203" s="33">
        <v>1.0</v>
      </c>
      <c r="D203" s="33" t="s">
        <v>229</v>
      </c>
      <c r="E203" s="33" t="s">
        <v>1317</v>
      </c>
      <c r="F203" s="33" t="s">
        <v>1318</v>
      </c>
      <c r="G203" s="33">
        <v>2.0</v>
      </c>
      <c r="H203" s="33" t="s">
        <v>989</v>
      </c>
      <c r="I203" s="33" t="s">
        <v>62</v>
      </c>
      <c r="J203" s="33">
        <f>IFERROR(__xludf.DUMMYFUNCTION("LEN(REGEXREPLACE(XLOOKUP($A203,Cards!$A$2:$A1000,Cards!$H$2:$H1000,""""),"",\s"",""""))"),3.0)</f>
        <v>3</v>
      </c>
      <c r="K203" s="33" t="str">
        <f t="shared" si="1"/>
        <v>               </v>
      </c>
      <c r="L203" s="33" t="str">
        <f>IFERROR(__xludf.DUMMYFUNCTION("IF(IF(L$1="""","""",REGEXMATCH(LOWER($E203),XLOOKUP(L$1,Metadata!$A$2:$A1000,Metadata!$B$2:$B1000))),L$1,"""")"),"")</f>
        <v/>
      </c>
      <c r="M203" s="33" t="str">
        <f>IFERROR(__xludf.DUMMYFUNCTION("IF(IF(M$1="""","""",REGEXMATCH(LOWER($E203),XLOOKUP(M$1,Metadata!$A$2:$A1000,Metadata!$B$2:$B1000))),M$1,"""")"),"")</f>
        <v/>
      </c>
      <c r="N203" s="33" t="str">
        <f>IFERROR(__xludf.DUMMYFUNCTION("IF(IF(N$1="""","""",REGEXMATCH(LOWER($E203),XLOOKUP(N$1,Metadata!$A$2:$A1000,Metadata!$B$2:$B1000))),N$1,"""")"),"")</f>
        <v/>
      </c>
      <c r="O203" s="33" t="str">
        <f>IFERROR(__xludf.DUMMYFUNCTION("IF(IF(O$1="""","""",REGEXMATCH(LOWER($E203),XLOOKUP(O$1,Metadata!$A$2:$A1000,Metadata!$B$2:$B1000))),O$1,"""")"),"")</f>
        <v/>
      </c>
      <c r="P203" s="33" t="str">
        <f>IFERROR(__xludf.DUMMYFUNCTION("IF(IF(P$1="""","""",REGEXMATCH(LOWER($E203),XLOOKUP(P$1,Metadata!$A$2:$A1000,Metadata!$B$2:$B1000))),P$1,"""")"),"")</f>
        <v/>
      </c>
      <c r="Q203" s="33" t="str">
        <f>IFERROR(__xludf.DUMMYFUNCTION("IF(IF(Q$1="""","""",REGEXMATCH(LOWER($E203),XLOOKUP(Q$1,Metadata!$A$2:$A1000,Metadata!$B$2:$B1000))),Q$1,"""")"),"")</f>
        <v/>
      </c>
      <c r="R203" s="33" t="str">
        <f>IFERROR(__xludf.DUMMYFUNCTION("IF(IF(R$1="""","""",REGEXMATCH(LOWER($E203),XLOOKUP(R$1,Metadata!$A$2:$A1000,Metadata!$B$2:$B1000))),R$1,"""")"),"")</f>
        <v/>
      </c>
      <c r="S203" s="33" t="str">
        <f>IFERROR(__xludf.DUMMYFUNCTION("IF(IF(S$1="""","""",REGEXMATCH(LOWER($E203),XLOOKUP(S$1,Metadata!$A$2:$A1000,Metadata!$B$2:$B1000))),S$1,"""")"),"")</f>
        <v/>
      </c>
      <c r="T203" s="33" t="str">
        <f>IFERROR(__xludf.DUMMYFUNCTION("IF(IF(T$1="""","""",REGEXMATCH(LOWER($E203),XLOOKUP(T$1,Metadata!$A$2:$A1000,Metadata!$B$2:$B1000))),T$1,"""")"),"")</f>
        <v/>
      </c>
      <c r="U203" s="33" t="str">
        <f>IFERROR(__xludf.DUMMYFUNCTION("IF(IF(U$1="""","""",REGEXMATCH(LOWER($E203),XLOOKUP(U$1,Metadata!$A$2:$A1000,Metadata!$B$2:$B1000))),U$1,"""")"),"")</f>
        <v/>
      </c>
      <c r="V203" s="33" t="str">
        <f>IFERROR(__xludf.DUMMYFUNCTION("IF(IF(V$1="""","""",REGEXMATCH(LOWER($E203),XLOOKUP(V$1,Metadata!$A$2:$A1000,Metadata!$B$2:$B1000))),V$1,"""")"),"")</f>
        <v/>
      </c>
      <c r="W203" s="33" t="str">
        <f>IFERROR(__xludf.DUMMYFUNCTION("IF(IF(W$1="""","""",REGEXMATCH(LOWER($E203),XLOOKUP(W$1,Metadata!$A$2:$A1000,Metadata!$B$2:$B1000))),W$1,"""")"),"")</f>
        <v/>
      </c>
      <c r="X203" s="33" t="str">
        <f>IFERROR(__xludf.DUMMYFUNCTION("IF(IF(X$1="""","""",REGEXMATCH(LOWER($E203),XLOOKUP(X$1,Metadata!$A$2:$A1000,Metadata!$B$2:$B1000))),X$1,"""")"),"")</f>
        <v/>
      </c>
      <c r="Y203" s="33" t="str">
        <f>IFERROR(__xludf.DUMMYFUNCTION("IF(IF(Y$1="""","""",REGEXMATCH(LOWER($E203),XLOOKUP(Y$1,Metadata!$A$2:$A1000,Metadata!$B$2:$B1000))),Y$1,"""")"),"")</f>
        <v/>
      </c>
      <c r="Z203" s="33" t="str">
        <f>IFERROR(__xludf.DUMMYFUNCTION("IF(IF(Z$1="""","""",REGEXMATCH(LOWER($E203),XLOOKUP(Z$1,Metadata!$A$2:$A1000,Metadata!$B$2:$B1000))),Z$1,"""")"),"")</f>
        <v/>
      </c>
      <c r="AA203" s="33" t="str">
        <f>IFERROR(__xludf.DUMMYFUNCTION("IF(AA$1="""","""",REGEXMATCH(LOWER($E203),XLOOKUP(AA$1,Metadata!$A$2:$A1000,Metadata!$B$2:$B1000)))"),"")</f>
        <v/>
      </c>
    </row>
    <row r="204">
      <c r="A204" s="33" t="str">
        <f>IFERROR(__xludf.DUMMYFUNCTION("""COMPUTED_VALUE"""),"Rune Whisperer")</f>
        <v>Rune Whisperer</v>
      </c>
      <c r="B204" s="33" t="str">
        <f t="array" ref="B204:I204">XLOOKUP($A204,Cards!$A$2:$A1000,Cards!$B$2:$I1000,"")</f>
        <v>Mortal Nature</v>
      </c>
      <c r="C204" s="33">
        <v>2.0</v>
      </c>
      <c r="D204" s="33" t="s">
        <v>355</v>
      </c>
      <c r="E204" s="33" t="s">
        <v>1324</v>
      </c>
      <c r="F204" s="33" t="s">
        <v>1325</v>
      </c>
      <c r="G204" s="33">
        <v>3.0</v>
      </c>
      <c r="H204" s="33" t="s">
        <v>1326</v>
      </c>
      <c r="I204" s="33" t="s">
        <v>62</v>
      </c>
      <c r="J204" s="33">
        <f>IFERROR(__xludf.DUMMYFUNCTION("LEN(REGEXREPLACE(XLOOKUP($A204,Cards!$A$2:$A1000,Cards!$H$2:$H1000,""""),"",\s"",""""))"),4.0)</f>
        <v>4</v>
      </c>
      <c r="K204" s="33" t="str">
        <f t="shared" si="1"/>
        <v>      Ramp         </v>
      </c>
      <c r="L204" s="33" t="str">
        <f>IFERROR(__xludf.DUMMYFUNCTION("IF(IF(L$1="""","""",REGEXMATCH(LOWER($E204),XLOOKUP(L$1,Metadata!$A$2:$A1000,Metadata!$B$2:$B1000))),L$1,"""")"),"")</f>
        <v/>
      </c>
      <c r="M204" s="33" t="str">
        <f>IFERROR(__xludf.DUMMYFUNCTION("IF(IF(M$1="""","""",REGEXMATCH(LOWER($E204),XLOOKUP(M$1,Metadata!$A$2:$A1000,Metadata!$B$2:$B1000))),M$1,"""")"),"")</f>
        <v/>
      </c>
      <c r="N204" s="33" t="str">
        <f>IFERROR(__xludf.DUMMYFUNCTION("IF(IF(N$1="""","""",REGEXMATCH(LOWER($E204),XLOOKUP(N$1,Metadata!$A$2:$A1000,Metadata!$B$2:$B1000))),N$1,"""")"),"")</f>
        <v/>
      </c>
      <c r="O204" s="33" t="str">
        <f>IFERROR(__xludf.DUMMYFUNCTION("IF(IF(O$1="""","""",REGEXMATCH(LOWER($E204),XLOOKUP(O$1,Metadata!$A$2:$A1000,Metadata!$B$2:$B1000))),O$1,"""")"),"")</f>
        <v/>
      </c>
      <c r="P204" s="33" t="str">
        <f>IFERROR(__xludf.DUMMYFUNCTION("IF(IF(P$1="""","""",REGEXMATCH(LOWER($E204),XLOOKUP(P$1,Metadata!$A$2:$A1000,Metadata!$B$2:$B1000))),P$1,"""")"),"")</f>
        <v/>
      </c>
      <c r="Q204" s="33" t="str">
        <f>IFERROR(__xludf.DUMMYFUNCTION("IF(IF(Q$1="""","""",REGEXMATCH(LOWER($E204),XLOOKUP(Q$1,Metadata!$A$2:$A1000,Metadata!$B$2:$B1000))),Q$1,"""")"),"")</f>
        <v/>
      </c>
      <c r="R204" s="33" t="str">
        <f>IFERROR(__xludf.DUMMYFUNCTION("IF(IF(R$1="""","""",REGEXMATCH(LOWER($E204),XLOOKUP(R$1,Metadata!$A$2:$A1000,Metadata!$B$2:$B1000))),R$1,"""")"),"Ramp")</f>
        <v>Ramp</v>
      </c>
      <c r="S204" s="33" t="str">
        <f>IFERROR(__xludf.DUMMYFUNCTION("IF(IF(S$1="""","""",REGEXMATCH(LOWER($E204),XLOOKUP(S$1,Metadata!$A$2:$A1000,Metadata!$B$2:$B1000))),S$1,"""")"),"")</f>
        <v/>
      </c>
      <c r="T204" s="33" t="str">
        <f>IFERROR(__xludf.DUMMYFUNCTION("IF(IF(T$1="""","""",REGEXMATCH(LOWER($E204),XLOOKUP(T$1,Metadata!$A$2:$A1000,Metadata!$B$2:$B1000))),T$1,"""")"),"")</f>
        <v/>
      </c>
      <c r="U204" s="33" t="str">
        <f>IFERROR(__xludf.DUMMYFUNCTION("IF(IF(U$1="""","""",REGEXMATCH(LOWER($E204),XLOOKUP(U$1,Metadata!$A$2:$A1000,Metadata!$B$2:$B1000))),U$1,"""")"),"")</f>
        <v/>
      </c>
      <c r="V204" s="33" t="str">
        <f>IFERROR(__xludf.DUMMYFUNCTION("IF(IF(V$1="""","""",REGEXMATCH(LOWER($E204),XLOOKUP(V$1,Metadata!$A$2:$A1000,Metadata!$B$2:$B1000))),V$1,"""")"),"")</f>
        <v/>
      </c>
      <c r="W204" s="33" t="str">
        <f>IFERROR(__xludf.DUMMYFUNCTION("IF(IF(W$1="""","""",REGEXMATCH(LOWER($E204),XLOOKUP(W$1,Metadata!$A$2:$A1000,Metadata!$B$2:$B1000))),W$1,"""")"),"")</f>
        <v/>
      </c>
      <c r="X204" s="33" t="str">
        <f>IFERROR(__xludf.DUMMYFUNCTION("IF(IF(X$1="""","""",REGEXMATCH(LOWER($E204),XLOOKUP(X$1,Metadata!$A$2:$A1000,Metadata!$B$2:$B1000))),X$1,"""")"),"")</f>
        <v/>
      </c>
      <c r="Y204" s="33" t="str">
        <f>IFERROR(__xludf.DUMMYFUNCTION("IF(IF(Y$1="""","""",REGEXMATCH(LOWER($E204),XLOOKUP(Y$1,Metadata!$A$2:$A1000,Metadata!$B$2:$B1000))),Y$1,"""")"),"")</f>
        <v/>
      </c>
      <c r="Z204" s="33" t="str">
        <f>IFERROR(__xludf.DUMMYFUNCTION("IF(IF(Z$1="""","""",REGEXMATCH(LOWER($E204),XLOOKUP(Z$1,Metadata!$A$2:$A1000,Metadata!$B$2:$B1000))),Z$1,"""")"),"")</f>
        <v/>
      </c>
      <c r="AA204" s="33" t="str">
        <f>IFERROR(__xludf.DUMMYFUNCTION("IF(AA$1="""","""",REGEXMATCH(LOWER($E204),XLOOKUP(AA$1,Metadata!$A$2:$A1000,Metadata!$B$2:$B1000)))"),"")</f>
        <v/>
      </c>
    </row>
    <row r="205">
      <c r="A205" s="33" t="str">
        <f>IFERROR(__xludf.DUMMYFUNCTION("""COMPUTED_VALUE"""),"Ironclad Jailwalker")</f>
        <v>Ironclad Jailwalker</v>
      </c>
      <c r="B205" s="33" t="str">
        <f t="array" ref="B205:I205">XLOOKUP($A205,Cards!$A$2:$A1000,Cards!$B$2:$I1000,"")</f>
        <v>Mortal</v>
      </c>
      <c r="C205" s="33">
        <v>1.0</v>
      </c>
      <c r="D205" s="33" t="s">
        <v>70</v>
      </c>
      <c r="E205" s="33" t="s">
        <v>1328</v>
      </c>
      <c r="F205" s="33" t="s">
        <v>1329</v>
      </c>
      <c r="G205" s="33">
        <v>2.0</v>
      </c>
      <c r="H205" s="33" t="s">
        <v>1038</v>
      </c>
      <c r="I205" s="33" t="s">
        <v>62</v>
      </c>
      <c r="J205" s="33">
        <f>IFERROR(__xludf.DUMMYFUNCTION("LEN(REGEXREPLACE(XLOOKUP($A205,Cards!$A$2:$A1000,Cards!$H$2:$H1000,""""),"",\s"",""""))"),4.0)</f>
        <v>4</v>
      </c>
      <c r="K205" s="33" t="str">
        <f t="shared" si="1"/>
        <v>         Aggro      </v>
      </c>
      <c r="L205" s="33" t="str">
        <f>IFERROR(__xludf.DUMMYFUNCTION("IF(IF(L$1="""","""",REGEXMATCH(LOWER($E205),XLOOKUP(L$1,Metadata!$A$2:$A1000,Metadata!$B$2:$B1000))),L$1,"""")"),"")</f>
        <v/>
      </c>
      <c r="M205" s="33" t="str">
        <f>IFERROR(__xludf.DUMMYFUNCTION("IF(IF(M$1="""","""",REGEXMATCH(LOWER($E205),XLOOKUP(M$1,Metadata!$A$2:$A1000,Metadata!$B$2:$B1000))),M$1,"""")"),"")</f>
        <v/>
      </c>
      <c r="N205" s="33" t="str">
        <f>IFERROR(__xludf.DUMMYFUNCTION("IF(IF(N$1="""","""",REGEXMATCH(LOWER($E205),XLOOKUP(N$1,Metadata!$A$2:$A1000,Metadata!$B$2:$B1000))),N$1,"""")"),"")</f>
        <v/>
      </c>
      <c r="O205" s="33" t="str">
        <f>IFERROR(__xludf.DUMMYFUNCTION("IF(IF(O$1="""","""",REGEXMATCH(LOWER($E205),XLOOKUP(O$1,Metadata!$A$2:$A1000,Metadata!$B$2:$B1000))),O$1,"""")"),"")</f>
        <v/>
      </c>
      <c r="P205" s="33" t="str">
        <f>IFERROR(__xludf.DUMMYFUNCTION("IF(IF(P$1="""","""",REGEXMATCH(LOWER($E205),XLOOKUP(P$1,Metadata!$A$2:$A1000,Metadata!$B$2:$B1000))),P$1,"""")"),"")</f>
        <v/>
      </c>
      <c r="Q205" s="33" t="str">
        <f>IFERROR(__xludf.DUMMYFUNCTION("IF(IF(Q$1="""","""",REGEXMATCH(LOWER($E205),XLOOKUP(Q$1,Metadata!$A$2:$A1000,Metadata!$B$2:$B1000))),Q$1,"""")"),"")</f>
        <v/>
      </c>
      <c r="R205" s="33" t="str">
        <f>IFERROR(__xludf.DUMMYFUNCTION("IF(IF(R$1="""","""",REGEXMATCH(LOWER($E205),XLOOKUP(R$1,Metadata!$A$2:$A1000,Metadata!$B$2:$B1000))),R$1,"""")"),"")</f>
        <v/>
      </c>
      <c r="S205" s="33" t="str">
        <f>IFERROR(__xludf.DUMMYFUNCTION("IF(IF(S$1="""","""",REGEXMATCH(LOWER($E205),XLOOKUP(S$1,Metadata!$A$2:$A1000,Metadata!$B$2:$B1000))),S$1,"""")"),"")</f>
        <v/>
      </c>
      <c r="T205" s="33" t="str">
        <f>IFERROR(__xludf.DUMMYFUNCTION("IF(IF(T$1="""","""",REGEXMATCH(LOWER($E205),XLOOKUP(T$1,Metadata!$A$2:$A1000,Metadata!$B$2:$B1000))),T$1,"""")"),"")</f>
        <v/>
      </c>
      <c r="U205" s="33" t="str">
        <f>IFERROR(__xludf.DUMMYFUNCTION("IF(IF(U$1="""","""",REGEXMATCH(LOWER($E205),XLOOKUP(U$1,Metadata!$A$2:$A1000,Metadata!$B$2:$B1000))),U$1,"""")"),"Aggro")</f>
        <v>Aggro</v>
      </c>
      <c r="V205" s="33" t="str">
        <f>IFERROR(__xludf.DUMMYFUNCTION("IF(IF(V$1="""","""",REGEXMATCH(LOWER($E205),XLOOKUP(V$1,Metadata!$A$2:$A1000,Metadata!$B$2:$B1000))),V$1,"""")"),"")</f>
        <v/>
      </c>
      <c r="W205" s="33" t="str">
        <f>IFERROR(__xludf.DUMMYFUNCTION("IF(IF(W$1="""","""",REGEXMATCH(LOWER($E205),XLOOKUP(W$1,Metadata!$A$2:$A1000,Metadata!$B$2:$B1000))),W$1,"""")"),"")</f>
        <v/>
      </c>
      <c r="X205" s="33" t="str">
        <f>IFERROR(__xludf.DUMMYFUNCTION("IF(IF(X$1="""","""",REGEXMATCH(LOWER($E205),XLOOKUP(X$1,Metadata!$A$2:$A1000,Metadata!$B$2:$B1000))),X$1,"""")"),"")</f>
        <v/>
      </c>
      <c r="Y205" s="33" t="str">
        <f>IFERROR(__xludf.DUMMYFUNCTION("IF(IF(Y$1="""","""",REGEXMATCH(LOWER($E205),XLOOKUP(Y$1,Metadata!$A$2:$A1000,Metadata!$B$2:$B1000))),Y$1,"""")"),"")</f>
        <v/>
      </c>
      <c r="Z205" s="33" t="str">
        <f>IFERROR(__xludf.DUMMYFUNCTION("IF(IF(Z$1="""","""",REGEXMATCH(LOWER($E205),XLOOKUP(Z$1,Metadata!$A$2:$A1000,Metadata!$B$2:$B1000))),Z$1,"""")"),"")</f>
        <v/>
      </c>
      <c r="AA205" s="33" t="str">
        <f>IFERROR(__xludf.DUMMYFUNCTION("IF(AA$1="""","""",REGEXMATCH(LOWER($E205),XLOOKUP(AA$1,Metadata!$A$2:$A1000,Metadata!$B$2:$B1000)))"),"")</f>
        <v/>
      </c>
    </row>
    <row r="206">
      <c r="A206" s="33" t="str">
        <f>IFERROR(__xludf.DUMMYFUNCTION("""COMPUTED_VALUE"""),"The Holy Chicken")</f>
        <v>The Holy Chicken</v>
      </c>
      <c r="B206" s="33" t="str">
        <f t="array" ref="B206:I206">XLOOKUP($A206,Cards!$A$2:$A1000,Cards!$B$2:$I1000,"")</f>
        <v>Mortal Nature</v>
      </c>
      <c r="C206" s="33">
        <v>2.0</v>
      </c>
      <c r="D206" s="33" t="s">
        <v>217</v>
      </c>
      <c r="E206" s="33" t="s">
        <v>1337</v>
      </c>
      <c r="F206" s="33" t="s">
        <v>147</v>
      </c>
      <c r="G206" s="33">
        <v>2.0</v>
      </c>
      <c r="H206" s="33" t="s">
        <v>1338</v>
      </c>
      <c r="I206" s="33" t="s">
        <v>62</v>
      </c>
      <c r="J206" s="33">
        <f>IFERROR(__xludf.DUMMYFUNCTION("LEN(REGEXREPLACE(XLOOKUP($A206,Cards!$A$2:$A1000,Cards!$H$2:$H1000,""""),"",\s"",""""))"),3.0)</f>
        <v>3</v>
      </c>
      <c r="K206" s="33" t="str">
        <f t="shared" si="1"/>
        <v>      Ramp         </v>
      </c>
      <c r="L206" s="33" t="str">
        <f>IFERROR(__xludf.DUMMYFUNCTION("IF(IF(L$1="""","""",REGEXMATCH(LOWER($E206),XLOOKUP(L$1,Metadata!$A$2:$A1000,Metadata!$B$2:$B1000))),L$1,"""")"),"")</f>
        <v/>
      </c>
      <c r="M206" s="33" t="str">
        <f>IFERROR(__xludf.DUMMYFUNCTION("IF(IF(M$1="""","""",REGEXMATCH(LOWER($E206),XLOOKUP(M$1,Metadata!$A$2:$A1000,Metadata!$B$2:$B1000))),M$1,"""")"),"")</f>
        <v/>
      </c>
      <c r="N206" s="33" t="str">
        <f>IFERROR(__xludf.DUMMYFUNCTION("IF(IF(N$1="""","""",REGEXMATCH(LOWER($E206),XLOOKUP(N$1,Metadata!$A$2:$A1000,Metadata!$B$2:$B1000))),N$1,"""")"),"")</f>
        <v/>
      </c>
      <c r="O206" s="33" t="str">
        <f>IFERROR(__xludf.DUMMYFUNCTION("IF(IF(O$1="""","""",REGEXMATCH(LOWER($E206),XLOOKUP(O$1,Metadata!$A$2:$A1000,Metadata!$B$2:$B1000))),O$1,"""")"),"")</f>
        <v/>
      </c>
      <c r="P206" s="33" t="str">
        <f>IFERROR(__xludf.DUMMYFUNCTION("IF(IF(P$1="""","""",REGEXMATCH(LOWER($E206),XLOOKUP(P$1,Metadata!$A$2:$A1000,Metadata!$B$2:$B1000))),P$1,"""")"),"")</f>
        <v/>
      </c>
      <c r="Q206" s="33" t="str">
        <f>IFERROR(__xludf.DUMMYFUNCTION("IF(IF(Q$1="""","""",REGEXMATCH(LOWER($E206),XLOOKUP(Q$1,Metadata!$A$2:$A1000,Metadata!$B$2:$B1000))),Q$1,"""")"),"")</f>
        <v/>
      </c>
      <c r="R206" s="33" t="str">
        <f>IFERROR(__xludf.DUMMYFUNCTION("IF(IF(R$1="""","""",REGEXMATCH(LOWER($E206),XLOOKUP(R$1,Metadata!$A$2:$A1000,Metadata!$B$2:$B1000))),R$1,"""")"),"Ramp")</f>
        <v>Ramp</v>
      </c>
      <c r="S206" s="33" t="str">
        <f>IFERROR(__xludf.DUMMYFUNCTION("IF(IF(S$1="""","""",REGEXMATCH(LOWER($E206),XLOOKUP(S$1,Metadata!$A$2:$A1000,Metadata!$B$2:$B1000))),S$1,"""")"),"")</f>
        <v/>
      </c>
      <c r="T206" s="33" t="str">
        <f>IFERROR(__xludf.DUMMYFUNCTION("IF(IF(T$1="""","""",REGEXMATCH(LOWER($E206),XLOOKUP(T$1,Metadata!$A$2:$A1000,Metadata!$B$2:$B1000))),T$1,"""")"),"")</f>
        <v/>
      </c>
      <c r="U206" s="33" t="str">
        <f>IFERROR(__xludf.DUMMYFUNCTION("IF(IF(U$1="""","""",REGEXMATCH(LOWER($E206),XLOOKUP(U$1,Metadata!$A$2:$A1000,Metadata!$B$2:$B1000))),U$1,"""")"),"")</f>
        <v/>
      </c>
      <c r="V206" s="33" t="str">
        <f>IFERROR(__xludf.DUMMYFUNCTION("IF(IF(V$1="""","""",REGEXMATCH(LOWER($E206),XLOOKUP(V$1,Metadata!$A$2:$A1000,Metadata!$B$2:$B1000))),V$1,"""")"),"")</f>
        <v/>
      </c>
      <c r="W206" s="33" t="str">
        <f>IFERROR(__xludf.DUMMYFUNCTION("IF(IF(W$1="""","""",REGEXMATCH(LOWER($E206),XLOOKUP(W$1,Metadata!$A$2:$A1000,Metadata!$B$2:$B1000))),W$1,"""")"),"")</f>
        <v/>
      </c>
      <c r="X206" s="33" t="str">
        <f>IFERROR(__xludf.DUMMYFUNCTION("IF(IF(X$1="""","""",REGEXMATCH(LOWER($E206),XLOOKUP(X$1,Metadata!$A$2:$A1000,Metadata!$B$2:$B1000))),X$1,"""")"),"")</f>
        <v/>
      </c>
      <c r="Y206" s="33" t="str">
        <f>IFERROR(__xludf.DUMMYFUNCTION("IF(IF(Y$1="""","""",REGEXMATCH(LOWER($E206),XLOOKUP(Y$1,Metadata!$A$2:$A1000,Metadata!$B$2:$B1000))),Y$1,"""")"),"")</f>
        <v/>
      </c>
      <c r="Z206" s="33" t="str">
        <f>IFERROR(__xludf.DUMMYFUNCTION("IF(IF(Z$1="""","""",REGEXMATCH(LOWER($E206),XLOOKUP(Z$1,Metadata!$A$2:$A1000,Metadata!$B$2:$B1000))),Z$1,"""")"),"")</f>
        <v/>
      </c>
      <c r="AA206" s="33" t="str">
        <f>IFERROR(__xludf.DUMMYFUNCTION("IF(AA$1="""","""",REGEXMATCH(LOWER($E206),XLOOKUP(AA$1,Metadata!$A$2:$A1000,Metadata!$B$2:$B1000)))"),"")</f>
        <v/>
      </c>
    </row>
    <row r="207">
      <c r="A207" s="33" t="str">
        <f>IFERROR(__xludf.DUMMYFUNCTION("""COMPUTED_VALUE"""),"The Life Tree")</f>
        <v>The Life Tree</v>
      </c>
      <c r="B207" s="33" t="str">
        <f t="array" ref="B207:I207">XLOOKUP($A207,Cards!$A$2:$A1000,Cards!$B$2:$I1000,"")</f>
        <v>Mortal Nature</v>
      </c>
      <c r="C207" s="33">
        <v>2.0</v>
      </c>
      <c r="D207" s="33" t="s">
        <v>1340</v>
      </c>
      <c r="E207" s="33" t="s">
        <v>1341</v>
      </c>
      <c r="F207" s="33"/>
      <c r="G207" s="33">
        <v>3.0</v>
      </c>
      <c r="H207" s="33" t="s">
        <v>1326</v>
      </c>
      <c r="I207" s="33" t="s">
        <v>62</v>
      </c>
      <c r="J207" s="33">
        <f>IFERROR(__xludf.DUMMYFUNCTION("LEN(REGEXREPLACE(XLOOKUP($A207,Cards!$A$2:$A1000,Cards!$H$2:$H1000,""""),"",\s"",""""))"),4.0)</f>
        <v>4</v>
      </c>
      <c r="K207" s="33" t="str">
        <f t="shared" si="1"/>
        <v>               </v>
      </c>
      <c r="L207" s="33" t="str">
        <f>IFERROR(__xludf.DUMMYFUNCTION("IF(IF(L$1="""","""",REGEXMATCH(LOWER($E207),XLOOKUP(L$1,Metadata!$A$2:$A1000,Metadata!$B$2:$B1000))),L$1,"""")"),"")</f>
        <v/>
      </c>
      <c r="M207" s="33" t="str">
        <f>IFERROR(__xludf.DUMMYFUNCTION("IF(IF(M$1="""","""",REGEXMATCH(LOWER($E207),XLOOKUP(M$1,Metadata!$A$2:$A1000,Metadata!$B$2:$B1000))),M$1,"""")"),"")</f>
        <v/>
      </c>
      <c r="N207" s="33" t="str">
        <f>IFERROR(__xludf.DUMMYFUNCTION("IF(IF(N$1="""","""",REGEXMATCH(LOWER($E207),XLOOKUP(N$1,Metadata!$A$2:$A1000,Metadata!$B$2:$B1000))),N$1,"""")"),"")</f>
        <v/>
      </c>
      <c r="O207" s="33" t="str">
        <f>IFERROR(__xludf.DUMMYFUNCTION("IF(IF(O$1="""","""",REGEXMATCH(LOWER($E207),XLOOKUP(O$1,Metadata!$A$2:$A1000,Metadata!$B$2:$B1000))),O$1,"""")"),"")</f>
        <v/>
      </c>
      <c r="P207" s="33" t="str">
        <f>IFERROR(__xludf.DUMMYFUNCTION("IF(IF(P$1="""","""",REGEXMATCH(LOWER($E207),XLOOKUP(P$1,Metadata!$A$2:$A1000,Metadata!$B$2:$B1000))),P$1,"""")"),"")</f>
        <v/>
      </c>
      <c r="Q207" s="33" t="str">
        <f>IFERROR(__xludf.DUMMYFUNCTION("IF(IF(Q$1="""","""",REGEXMATCH(LOWER($E207),XLOOKUP(Q$1,Metadata!$A$2:$A1000,Metadata!$B$2:$B1000))),Q$1,"""")"),"")</f>
        <v/>
      </c>
      <c r="R207" s="33" t="str">
        <f>IFERROR(__xludf.DUMMYFUNCTION("IF(IF(R$1="""","""",REGEXMATCH(LOWER($E207),XLOOKUP(R$1,Metadata!$A$2:$A1000,Metadata!$B$2:$B1000))),R$1,"""")"),"")</f>
        <v/>
      </c>
      <c r="S207" s="33" t="str">
        <f>IFERROR(__xludf.DUMMYFUNCTION("IF(IF(S$1="""","""",REGEXMATCH(LOWER($E207),XLOOKUP(S$1,Metadata!$A$2:$A1000,Metadata!$B$2:$B1000))),S$1,"""")"),"")</f>
        <v/>
      </c>
      <c r="T207" s="33" t="str">
        <f>IFERROR(__xludf.DUMMYFUNCTION("IF(IF(T$1="""","""",REGEXMATCH(LOWER($E207),XLOOKUP(T$1,Metadata!$A$2:$A1000,Metadata!$B$2:$B1000))),T$1,"""")"),"")</f>
        <v/>
      </c>
      <c r="U207" s="33" t="str">
        <f>IFERROR(__xludf.DUMMYFUNCTION("IF(IF(U$1="""","""",REGEXMATCH(LOWER($E207),XLOOKUP(U$1,Metadata!$A$2:$A1000,Metadata!$B$2:$B1000))),U$1,"""")"),"")</f>
        <v/>
      </c>
      <c r="V207" s="33" t="str">
        <f>IFERROR(__xludf.DUMMYFUNCTION("IF(IF(V$1="""","""",REGEXMATCH(LOWER($E207),XLOOKUP(V$1,Metadata!$A$2:$A1000,Metadata!$B$2:$B1000))),V$1,"""")"),"")</f>
        <v/>
      </c>
      <c r="W207" s="33" t="str">
        <f>IFERROR(__xludf.DUMMYFUNCTION("IF(IF(W$1="""","""",REGEXMATCH(LOWER($E207),XLOOKUP(W$1,Metadata!$A$2:$A1000,Metadata!$B$2:$B1000))),W$1,"""")"),"")</f>
        <v/>
      </c>
      <c r="X207" s="33" t="str">
        <f>IFERROR(__xludf.DUMMYFUNCTION("IF(IF(X$1="""","""",REGEXMATCH(LOWER($E207),XLOOKUP(X$1,Metadata!$A$2:$A1000,Metadata!$B$2:$B1000))),X$1,"""")"),"")</f>
        <v/>
      </c>
      <c r="Y207" s="33" t="str">
        <f>IFERROR(__xludf.DUMMYFUNCTION("IF(IF(Y$1="""","""",REGEXMATCH(LOWER($E207),XLOOKUP(Y$1,Metadata!$A$2:$A1000,Metadata!$B$2:$B1000))),Y$1,"""")"),"")</f>
        <v/>
      </c>
      <c r="Z207" s="33" t="str">
        <f>IFERROR(__xludf.DUMMYFUNCTION("IF(IF(Z$1="""","""",REGEXMATCH(LOWER($E207),XLOOKUP(Z$1,Metadata!$A$2:$A1000,Metadata!$B$2:$B1000))),Z$1,"""")"),"")</f>
        <v/>
      </c>
      <c r="AA207" s="33" t="str">
        <f>IFERROR(__xludf.DUMMYFUNCTION("IF(AA$1="""","""",REGEXMATCH(LOWER($E207),XLOOKUP(AA$1,Metadata!$A$2:$A1000,Metadata!$B$2:$B1000)))"),"")</f>
        <v/>
      </c>
    </row>
    <row r="208">
      <c r="A208" s="33" t="str">
        <f>IFERROR(__xludf.DUMMYFUNCTION("""COMPUTED_VALUE"""),"Rampart Shellback")</f>
        <v>Rampart Shellback</v>
      </c>
      <c r="B208" s="33" t="str">
        <f t="array" ref="B208:I208">XLOOKUP($A208,Cards!$A$2:$A1000,Cards!$B$2:$I1000,"")</f>
        <v>Mortal</v>
      </c>
      <c r="C208" s="33">
        <v>1.0</v>
      </c>
      <c r="D208" s="33" t="s">
        <v>886</v>
      </c>
      <c r="E208" s="33" t="s">
        <v>1343</v>
      </c>
      <c r="F208" s="33" t="s">
        <v>1344</v>
      </c>
      <c r="G208" s="33">
        <v>3.0</v>
      </c>
      <c r="H208" s="33" t="s">
        <v>1038</v>
      </c>
      <c r="I208" s="33" t="s">
        <v>62</v>
      </c>
      <c r="J208" s="33">
        <f>IFERROR(__xludf.DUMMYFUNCTION("LEN(REGEXREPLACE(XLOOKUP($A208,Cards!$A$2:$A1000,Cards!$H$2:$H1000,""""),"",\s"",""""))"),4.0)</f>
        <v>4</v>
      </c>
      <c r="K208" s="33" t="str">
        <f t="shared" si="1"/>
        <v>         Aggro      </v>
      </c>
      <c r="L208" s="33" t="str">
        <f>IFERROR(__xludf.DUMMYFUNCTION("IF(IF(L$1="""","""",REGEXMATCH(LOWER($E208),XLOOKUP(L$1,Metadata!$A$2:$A1000,Metadata!$B$2:$B1000))),L$1,"""")"),"")</f>
        <v/>
      </c>
      <c r="M208" s="33" t="str">
        <f>IFERROR(__xludf.DUMMYFUNCTION("IF(IF(M$1="""","""",REGEXMATCH(LOWER($E208),XLOOKUP(M$1,Metadata!$A$2:$A1000,Metadata!$B$2:$B1000))),M$1,"""")"),"")</f>
        <v/>
      </c>
      <c r="N208" s="33" t="str">
        <f>IFERROR(__xludf.DUMMYFUNCTION("IF(IF(N$1="""","""",REGEXMATCH(LOWER($E208),XLOOKUP(N$1,Metadata!$A$2:$A1000,Metadata!$B$2:$B1000))),N$1,"""")"),"")</f>
        <v/>
      </c>
      <c r="O208" s="33" t="str">
        <f>IFERROR(__xludf.DUMMYFUNCTION("IF(IF(O$1="""","""",REGEXMATCH(LOWER($E208),XLOOKUP(O$1,Metadata!$A$2:$A1000,Metadata!$B$2:$B1000))),O$1,"""")"),"")</f>
        <v/>
      </c>
      <c r="P208" s="33" t="str">
        <f>IFERROR(__xludf.DUMMYFUNCTION("IF(IF(P$1="""","""",REGEXMATCH(LOWER($E208),XLOOKUP(P$1,Metadata!$A$2:$A1000,Metadata!$B$2:$B1000))),P$1,"""")"),"")</f>
        <v/>
      </c>
      <c r="Q208" s="33" t="str">
        <f>IFERROR(__xludf.DUMMYFUNCTION("IF(IF(Q$1="""","""",REGEXMATCH(LOWER($E208),XLOOKUP(Q$1,Metadata!$A$2:$A1000,Metadata!$B$2:$B1000))),Q$1,"""")"),"")</f>
        <v/>
      </c>
      <c r="R208" s="33" t="str">
        <f>IFERROR(__xludf.DUMMYFUNCTION("IF(IF(R$1="""","""",REGEXMATCH(LOWER($E208),XLOOKUP(R$1,Metadata!$A$2:$A1000,Metadata!$B$2:$B1000))),R$1,"""")"),"")</f>
        <v/>
      </c>
      <c r="S208" s="33" t="str">
        <f>IFERROR(__xludf.DUMMYFUNCTION("IF(IF(S$1="""","""",REGEXMATCH(LOWER($E208),XLOOKUP(S$1,Metadata!$A$2:$A1000,Metadata!$B$2:$B1000))),S$1,"""")"),"")</f>
        <v/>
      </c>
      <c r="T208" s="33" t="str">
        <f>IFERROR(__xludf.DUMMYFUNCTION("IF(IF(T$1="""","""",REGEXMATCH(LOWER($E208),XLOOKUP(T$1,Metadata!$A$2:$A1000,Metadata!$B$2:$B1000))),T$1,"""")"),"")</f>
        <v/>
      </c>
      <c r="U208" s="33" t="str">
        <f>IFERROR(__xludf.DUMMYFUNCTION("IF(IF(U$1="""","""",REGEXMATCH(LOWER($E208),XLOOKUP(U$1,Metadata!$A$2:$A1000,Metadata!$B$2:$B1000))),U$1,"""")"),"Aggro")</f>
        <v>Aggro</v>
      </c>
      <c r="V208" s="33" t="str">
        <f>IFERROR(__xludf.DUMMYFUNCTION("IF(IF(V$1="""","""",REGEXMATCH(LOWER($E208),XLOOKUP(V$1,Metadata!$A$2:$A1000,Metadata!$B$2:$B1000))),V$1,"""")"),"")</f>
        <v/>
      </c>
      <c r="W208" s="33" t="str">
        <f>IFERROR(__xludf.DUMMYFUNCTION("IF(IF(W$1="""","""",REGEXMATCH(LOWER($E208),XLOOKUP(W$1,Metadata!$A$2:$A1000,Metadata!$B$2:$B1000))),W$1,"""")"),"")</f>
        <v/>
      </c>
      <c r="X208" s="33" t="str">
        <f>IFERROR(__xludf.DUMMYFUNCTION("IF(IF(X$1="""","""",REGEXMATCH(LOWER($E208),XLOOKUP(X$1,Metadata!$A$2:$A1000,Metadata!$B$2:$B1000))),X$1,"""")"),"")</f>
        <v/>
      </c>
      <c r="Y208" s="33" t="str">
        <f>IFERROR(__xludf.DUMMYFUNCTION("IF(IF(Y$1="""","""",REGEXMATCH(LOWER($E208),XLOOKUP(Y$1,Metadata!$A$2:$A1000,Metadata!$B$2:$B1000))),Y$1,"""")"),"")</f>
        <v/>
      </c>
      <c r="Z208" s="33" t="str">
        <f>IFERROR(__xludf.DUMMYFUNCTION("IF(IF(Z$1="""","""",REGEXMATCH(LOWER($E208),XLOOKUP(Z$1,Metadata!$A$2:$A1000,Metadata!$B$2:$B1000))),Z$1,"""")"),"")</f>
        <v/>
      </c>
      <c r="AA208" s="33" t="str">
        <f>IFERROR(__xludf.DUMMYFUNCTION("IF(AA$1="""","""",REGEXMATCH(LOWER($E208),XLOOKUP(AA$1,Metadata!$A$2:$A1000,Metadata!$B$2:$B1000)))"),"")</f>
        <v/>
      </c>
    </row>
    <row r="209">
      <c r="A209" s="33" t="str">
        <f>IFERROR(__xludf.DUMMYFUNCTION("""COMPUTED_VALUE"""),"Zodiac Samurai")</f>
        <v>Zodiac Samurai</v>
      </c>
      <c r="B209" s="33" t="str">
        <f t="array" ref="B209:I209">XLOOKUP($A209,Cards!$A$2:$A1000,Cards!$B$2:$I1000,"")</f>
        <v>Mortal Nature</v>
      </c>
      <c r="C209" s="33">
        <v>2.0</v>
      </c>
      <c r="D209" s="33" t="s">
        <v>394</v>
      </c>
      <c r="E209" s="33" t="s">
        <v>1355</v>
      </c>
      <c r="F209" s="33" t="s">
        <v>1356</v>
      </c>
      <c r="G209" s="33">
        <v>3.0</v>
      </c>
      <c r="H209" s="33" t="s">
        <v>1326</v>
      </c>
      <c r="I209" s="33" t="s">
        <v>62</v>
      </c>
      <c r="J209" s="33">
        <f>IFERROR(__xludf.DUMMYFUNCTION("LEN(REGEXREPLACE(XLOOKUP($A209,Cards!$A$2:$A1000,Cards!$H$2:$H1000,""""),"",\s"",""""))"),4.0)</f>
        <v>4</v>
      </c>
      <c r="K209" s="33" t="str">
        <f t="shared" si="1"/>
        <v>               </v>
      </c>
      <c r="L209" s="33" t="str">
        <f>IFERROR(__xludf.DUMMYFUNCTION("IF(IF(L$1="""","""",REGEXMATCH(LOWER($E209),XLOOKUP(L$1,Metadata!$A$2:$A1000,Metadata!$B$2:$B1000))),L$1,"""")"),"")</f>
        <v/>
      </c>
      <c r="M209" s="33" t="str">
        <f>IFERROR(__xludf.DUMMYFUNCTION("IF(IF(M$1="""","""",REGEXMATCH(LOWER($E209),XLOOKUP(M$1,Metadata!$A$2:$A1000,Metadata!$B$2:$B1000))),M$1,"""")"),"")</f>
        <v/>
      </c>
      <c r="N209" s="33" t="str">
        <f>IFERROR(__xludf.DUMMYFUNCTION("IF(IF(N$1="""","""",REGEXMATCH(LOWER($E209),XLOOKUP(N$1,Metadata!$A$2:$A1000,Metadata!$B$2:$B1000))),N$1,"""")"),"")</f>
        <v/>
      </c>
      <c r="O209" s="33" t="str">
        <f>IFERROR(__xludf.DUMMYFUNCTION("IF(IF(O$1="""","""",REGEXMATCH(LOWER($E209),XLOOKUP(O$1,Metadata!$A$2:$A1000,Metadata!$B$2:$B1000))),O$1,"""")"),"")</f>
        <v/>
      </c>
      <c r="P209" s="33" t="str">
        <f>IFERROR(__xludf.DUMMYFUNCTION("IF(IF(P$1="""","""",REGEXMATCH(LOWER($E209),XLOOKUP(P$1,Metadata!$A$2:$A1000,Metadata!$B$2:$B1000))),P$1,"""")"),"")</f>
        <v/>
      </c>
      <c r="Q209" s="33" t="str">
        <f>IFERROR(__xludf.DUMMYFUNCTION("IF(IF(Q$1="""","""",REGEXMATCH(LOWER($E209),XLOOKUP(Q$1,Metadata!$A$2:$A1000,Metadata!$B$2:$B1000))),Q$1,"""")"),"")</f>
        <v/>
      </c>
      <c r="R209" s="33" t="str">
        <f>IFERROR(__xludf.DUMMYFUNCTION("IF(IF(R$1="""","""",REGEXMATCH(LOWER($E209),XLOOKUP(R$1,Metadata!$A$2:$A1000,Metadata!$B$2:$B1000))),R$1,"""")"),"")</f>
        <v/>
      </c>
      <c r="S209" s="33" t="str">
        <f>IFERROR(__xludf.DUMMYFUNCTION("IF(IF(S$1="""","""",REGEXMATCH(LOWER($E209),XLOOKUP(S$1,Metadata!$A$2:$A1000,Metadata!$B$2:$B1000))),S$1,"""")"),"")</f>
        <v/>
      </c>
      <c r="T209" s="33" t="str">
        <f>IFERROR(__xludf.DUMMYFUNCTION("IF(IF(T$1="""","""",REGEXMATCH(LOWER($E209),XLOOKUP(T$1,Metadata!$A$2:$A1000,Metadata!$B$2:$B1000))),T$1,"""")"),"")</f>
        <v/>
      </c>
      <c r="U209" s="33" t="str">
        <f>IFERROR(__xludf.DUMMYFUNCTION("IF(IF(U$1="""","""",REGEXMATCH(LOWER($E209),XLOOKUP(U$1,Metadata!$A$2:$A1000,Metadata!$B$2:$B1000))),U$1,"""")"),"")</f>
        <v/>
      </c>
      <c r="V209" s="33" t="str">
        <f>IFERROR(__xludf.DUMMYFUNCTION("IF(IF(V$1="""","""",REGEXMATCH(LOWER($E209),XLOOKUP(V$1,Metadata!$A$2:$A1000,Metadata!$B$2:$B1000))),V$1,"""")"),"")</f>
        <v/>
      </c>
      <c r="W209" s="33" t="str">
        <f>IFERROR(__xludf.DUMMYFUNCTION("IF(IF(W$1="""","""",REGEXMATCH(LOWER($E209),XLOOKUP(W$1,Metadata!$A$2:$A1000,Metadata!$B$2:$B1000))),W$1,"""")"),"")</f>
        <v/>
      </c>
      <c r="X209" s="33" t="str">
        <f>IFERROR(__xludf.DUMMYFUNCTION("IF(IF(X$1="""","""",REGEXMATCH(LOWER($E209),XLOOKUP(X$1,Metadata!$A$2:$A1000,Metadata!$B$2:$B1000))),X$1,"""")"),"")</f>
        <v/>
      </c>
      <c r="Y209" s="33" t="str">
        <f>IFERROR(__xludf.DUMMYFUNCTION("IF(IF(Y$1="""","""",REGEXMATCH(LOWER($E209),XLOOKUP(Y$1,Metadata!$A$2:$A1000,Metadata!$B$2:$B1000))),Y$1,"""")"),"")</f>
        <v/>
      </c>
      <c r="Z209" s="33" t="str">
        <f>IFERROR(__xludf.DUMMYFUNCTION("IF(IF(Z$1="""","""",REGEXMATCH(LOWER($E209),XLOOKUP(Z$1,Metadata!$A$2:$A1000,Metadata!$B$2:$B1000))),Z$1,"""")"),"")</f>
        <v/>
      </c>
      <c r="AA209" s="33" t="str">
        <f>IFERROR(__xludf.DUMMYFUNCTION("IF(AA$1="""","""",REGEXMATCH(LOWER($E209),XLOOKUP(AA$1,Metadata!$A$2:$A1000,Metadata!$B$2:$B1000)))"),"")</f>
        <v/>
      </c>
    </row>
    <row r="210">
      <c r="A210" s="33" t="str">
        <f>IFERROR(__xludf.DUMMYFUNCTION("""COMPUTED_VALUE"""),"Scalehide Trapper")</f>
        <v>Scalehide Trapper</v>
      </c>
      <c r="B210" s="33" t="str">
        <f t="array" ref="B210:I210">XLOOKUP($A210,Cards!$A$2:$A1000,Cards!$B$2:$I1000,"")</f>
        <v>Mortal</v>
      </c>
      <c r="C210" s="33">
        <v>1.0</v>
      </c>
      <c r="D210" s="33" t="s">
        <v>128</v>
      </c>
      <c r="E210" s="33" t="s">
        <v>1358</v>
      </c>
      <c r="F210" s="33" t="s">
        <v>1359</v>
      </c>
      <c r="G210" s="33">
        <v>3.0</v>
      </c>
      <c r="H210" s="33" t="s">
        <v>1228</v>
      </c>
      <c r="I210" s="33" t="s">
        <v>62</v>
      </c>
      <c r="J210" s="33">
        <f>IFERROR(__xludf.DUMMYFUNCTION("LEN(REGEXREPLACE(XLOOKUP($A210,Cards!$A$2:$A1000,Cards!$H$2:$H1000,""""),"",\s"",""""))"),4.0)</f>
        <v>4</v>
      </c>
      <c r="K210" s="33" t="str">
        <f t="shared" si="1"/>
        <v>     Unearth  Control     Ambush   </v>
      </c>
      <c r="L210" s="33" t="str">
        <f>IFERROR(__xludf.DUMMYFUNCTION("IF(IF(L$1="""","""",REGEXMATCH(LOWER($E210),XLOOKUP(L$1,Metadata!$A$2:$A1000,Metadata!$B$2:$B1000))),L$1,"""")"),"")</f>
        <v/>
      </c>
      <c r="M210" s="33" t="str">
        <f>IFERROR(__xludf.DUMMYFUNCTION("IF(IF(M$1="""","""",REGEXMATCH(LOWER($E210),XLOOKUP(M$1,Metadata!$A$2:$A1000,Metadata!$B$2:$B1000))),M$1,"""")"),"")</f>
        <v/>
      </c>
      <c r="N210" s="33" t="str">
        <f>IFERROR(__xludf.DUMMYFUNCTION("IF(IF(N$1="""","""",REGEXMATCH(LOWER($E210),XLOOKUP(N$1,Metadata!$A$2:$A1000,Metadata!$B$2:$B1000))),N$1,"""")"),"")</f>
        <v/>
      </c>
      <c r="O210" s="33" t="str">
        <f>IFERROR(__xludf.DUMMYFUNCTION("IF(IF(O$1="""","""",REGEXMATCH(LOWER($E210),XLOOKUP(O$1,Metadata!$A$2:$A1000,Metadata!$B$2:$B1000))),O$1,"""")"),"")</f>
        <v/>
      </c>
      <c r="P210" s="33" t="str">
        <f>IFERROR(__xludf.DUMMYFUNCTION("IF(IF(P$1="""","""",REGEXMATCH(LOWER($E210),XLOOKUP(P$1,Metadata!$A$2:$A1000,Metadata!$B$2:$B1000))),P$1,"""")"),"")</f>
        <v/>
      </c>
      <c r="Q210" s="33" t="str">
        <f>IFERROR(__xludf.DUMMYFUNCTION("IF(IF(Q$1="""","""",REGEXMATCH(LOWER($E210),XLOOKUP(Q$1,Metadata!$A$2:$A1000,Metadata!$B$2:$B1000))),Q$1,"""")"),"Unearth")</f>
        <v>Unearth</v>
      </c>
      <c r="R210" s="33" t="str">
        <f>IFERROR(__xludf.DUMMYFUNCTION("IF(IF(R$1="""","""",REGEXMATCH(LOWER($E210),XLOOKUP(R$1,Metadata!$A$2:$A1000,Metadata!$B$2:$B1000))),R$1,"""")"),"")</f>
        <v/>
      </c>
      <c r="S210" s="33" t="str">
        <f>IFERROR(__xludf.DUMMYFUNCTION("IF(IF(S$1="""","""",REGEXMATCH(LOWER($E210),XLOOKUP(S$1,Metadata!$A$2:$A1000,Metadata!$B$2:$B1000))),S$1,"""")"),"Control")</f>
        <v>Control</v>
      </c>
      <c r="T210" s="33" t="str">
        <f>IFERROR(__xludf.DUMMYFUNCTION("IF(IF(T$1="""","""",REGEXMATCH(LOWER($E210),XLOOKUP(T$1,Metadata!$A$2:$A1000,Metadata!$B$2:$B1000))),T$1,"""")"),"")</f>
        <v/>
      </c>
      <c r="U210" s="33" t="str">
        <f>IFERROR(__xludf.DUMMYFUNCTION("IF(IF(U$1="""","""",REGEXMATCH(LOWER($E210),XLOOKUP(U$1,Metadata!$A$2:$A1000,Metadata!$B$2:$B1000))),U$1,"""")"),"")</f>
        <v/>
      </c>
      <c r="V210" s="33" t="str">
        <f>IFERROR(__xludf.DUMMYFUNCTION("IF(IF(V$1="""","""",REGEXMATCH(LOWER($E210),XLOOKUP(V$1,Metadata!$A$2:$A1000,Metadata!$B$2:$B1000))),V$1,"""")"),"")</f>
        <v/>
      </c>
      <c r="W210" s="33" t="str">
        <f>IFERROR(__xludf.DUMMYFUNCTION("IF(IF(W$1="""","""",REGEXMATCH(LOWER($E210),XLOOKUP(W$1,Metadata!$A$2:$A1000,Metadata!$B$2:$B1000))),W$1,"""")"),"")</f>
        <v/>
      </c>
      <c r="X210" s="33" t="str">
        <f>IFERROR(__xludf.DUMMYFUNCTION("IF(IF(X$1="""","""",REGEXMATCH(LOWER($E210),XLOOKUP(X$1,Metadata!$A$2:$A1000,Metadata!$B$2:$B1000))),X$1,"""")"),"Ambush")</f>
        <v>Ambush</v>
      </c>
      <c r="Y210" s="33" t="str">
        <f>IFERROR(__xludf.DUMMYFUNCTION("IF(IF(Y$1="""","""",REGEXMATCH(LOWER($E210),XLOOKUP(Y$1,Metadata!$A$2:$A1000,Metadata!$B$2:$B1000))),Y$1,"""")"),"")</f>
        <v/>
      </c>
      <c r="Z210" s="33" t="str">
        <f>IFERROR(__xludf.DUMMYFUNCTION("IF(IF(Z$1="""","""",REGEXMATCH(LOWER($E210),XLOOKUP(Z$1,Metadata!$A$2:$A1000,Metadata!$B$2:$B1000))),Z$1,"""")"),"")</f>
        <v/>
      </c>
      <c r="AA210" s="33" t="str">
        <f>IFERROR(__xludf.DUMMYFUNCTION("IF(AA$1="""","""",REGEXMATCH(LOWER($E210),XLOOKUP(AA$1,Metadata!$A$2:$A1000,Metadata!$B$2:$B1000)))"),"")</f>
        <v/>
      </c>
    </row>
    <row r="211">
      <c r="A211" s="33" t="str">
        <f>IFERROR(__xludf.DUMMYFUNCTION("""COMPUTED_VALUE"""),"Crescent Oracle")</f>
        <v>Crescent Oracle</v>
      </c>
      <c r="B211" s="33" t="str">
        <f t="array" ref="B211:I211">XLOOKUP($A211,Cards!$A$2:$A1000,Cards!$B$2:$I1000,"")</f>
        <v>Mortal Void</v>
      </c>
      <c r="C211" s="33">
        <v>2.0</v>
      </c>
      <c r="D211" s="33" t="s">
        <v>37</v>
      </c>
      <c r="E211" s="33" t="s">
        <v>1373</v>
      </c>
      <c r="F211" s="33" t="s">
        <v>786</v>
      </c>
      <c r="G211" s="33">
        <v>3.0</v>
      </c>
      <c r="H211" s="33" t="s">
        <v>1374</v>
      </c>
      <c r="I211" s="33" t="s">
        <v>62</v>
      </c>
      <c r="J211" s="33">
        <f>IFERROR(__xludf.DUMMYFUNCTION("LEN(REGEXREPLACE(XLOOKUP($A211,Cards!$A$2:$A1000,Cards!$H$2:$H1000,""""),"",\s"",""""))"),4.0)</f>
        <v>4</v>
      </c>
      <c r="K211" s="33" t="str">
        <f t="shared" si="1"/>
        <v>     Unearth  Control   Empty-Crystal  Ambush   </v>
      </c>
      <c r="L211" s="33" t="str">
        <f>IFERROR(__xludf.DUMMYFUNCTION("IF(IF(L$1="""","""",REGEXMATCH(LOWER($E211),XLOOKUP(L$1,Metadata!$A$2:$A1000,Metadata!$B$2:$B1000))),L$1,"""")"),"")</f>
        <v/>
      </c>
      <c r="M211" s="33" t="str">
        <f>IFERROR(__xludf.DUMMYFUNCTION("IF(IF(M$1="""","""",REGEXMATCH(LOWER($E211),XLOOKUP(M$1,Metadata!$A$2:$A1000,Metadata!$B$2:$B1000))),M$1,"""")"),"")</f>
        <v/>
      </c>
      <c r="N211" s="33" t="str">
        <f>IFERROR(__xludf.DUMMYFUNCTION("IF(IF(N$1="""","""",REGEXMATCH(LOWER($E211),XLOOKUP(N$1,Metadata!$A$2:$A1000,Metadata!$B$2:$B1000))),N$1,"""")"),"")</f>
        <v/>
      </c>
      <c r="O211" s="33" t="str">
        <f>IFERROR(__xludf.DUMMYFUNCTION("IF(IF(O$1="""","""",REGEXMATCH(LOWER($E211),XLOOKUP(O$1,Metadata!$A$2:$A1000,Metadata!$B$2:$B1000))),O$1,"""")"),"")</f>
        <v/>
      </c>
      <c r="P211" s="33" t="str">
        <f>IFERROR(__xludf.DUMMYFUNCTION("IF(IF(P$1="""","""",REGEXMATCH(LOWER($E211),XLOOKUP(P$1,Metadata!$A$2:$A1000,Metadata!$B$2:$B1000))),P$1,"""")"),"")</f>
        <v/>
      </c>
      <c r="Q211" s="33" t="str">
        <f>IFERROR(__xludf.DUMMYFUNCTION("IF(IF(Q$1="""","""",REGEXMATCH(LOWER($E211),XLOOKUP(Q$1,Metadata!$A$2:$A1000,Metadata!$B$2:$B1000))),Q$1,"""")"),"Unearth")</f>
        <v>Unearth</v>
      </c>
      <c r="R211" s="33" t="str">
        <f>IFERROR(__xludf.DUMMYFUNCTION("IF(IF(R$1="""","""",REGEXMATCH(LOWER($E211),XLOOKUP(R$1,Metadata!$A$2:$A1000,Metadata!$B$2:$B1000))),R$1,"""")"),"")</f>
        <v/>
      </c>
      <c r="S211" s="33" t="str">
        <f>IFERROR(__xludf.DUMMYFUNCTION("IF(IF(S$1="""","""",REGEXMATCH(LOWER($E211),XLOOKUP(S$1,Metadata!$A$2:$A1000,Metadata!$B$2:$B1000))),S$1,"""")"),"Control")</f>
        <v>Control</v>
      </c>
      <c r="T211" s="33" t="str">
        <f>IFERROR(__xludf.DUMMYFUNCTION("IF(IF(T$1="""","""",REGEXMATCH(LOWER($E211),XLOOKUP(T$1,Metadata!$A$2:$A1000,Metadata!$B$2:$B1000))),T$1,"""")"),"")</f>
        <v/>
      </c>
      <c r="U211" s="33" t="str">
        <f>IFERROR(__xludf.DUMMYFUNCTION("IF(IF(U$1="""","""",REGEXMATCH(LOWER($E211),XLOOKUP(U$1,Metadata!$A$2:$A1000,Metadata!$B$2:$B1000))),U$1,"""")"),"")</f>
        <v/>
      </c>
      <c r="V211" s="33" t="str">
        <f>IFERROR(__xludf.DUMMYFUNCTION("IF(IF(V$1="""","""",REGEXMATCH(LOWER($E211),XLOOKUP(V$1,Metadata!$A$2:$A1000,Metadata!$B$2:$B1000))),V$1,"""")"),"Empty-Crystal")</f>
        <v>Empty-Crystal</v>
      </c>
      <c r="W211" s="33" t="str">
        <f>IFERROR(__xludf.DUMMYFUNCTION("IF(IF(W$1="""","""",REGEXMATCH(LOWER($E211),XLOOKUP(W$1,Metadata!$A$2:$A1000,Metadata!$B$2:$B1000))),W$1,"""")"),"")</f>
        <v/>
      </c>
      <c r="X211" s="33" t="str">
        <f>IFERROR(__xludf.DUMMYFUNCTION("IF(IF(X$1="""","""",REGEXMATCH(LOWER($E211),XLOOKUP(X$1,Metadata!$A$2:$A1000,Metadata!$B$2:$B1000))),X$1,"""")"),"Ambush")</f>
        <v>Ambush</v>
      </c>
      <c r="Y211" s="33" t="str">
        <f>IFERROR(__xludf.DUMMYFUNCTION("IF(IF(Y$1="""","""",REGEXMATCH(LOWER($E211),XLOOKUP(Y$1,Metadata!$A$2:$A1000,Metadata!$B$2:$B1000))),Y$1,"""")"),"")</f>
        <v/>
      </c>
      <c r="Z211" s="33" t="str">
        <f>IFERROR(__xludf.DUMMYFUNCTION("IF(IF(Z$1="""","""",REGEXMATCH(LOWER($E211),XLOOKUP(Z$1,Metadata!$A$2:$A1000,Metadata!$B$2:$B1000))),Z$1,"""")"),"")</f>
        <v/>
      </c>
      <c r="AA211" s="33" t="str">
        <f>IFERROR(__xludf.DUMMYFUNCTION("IF(AA$1="""","""",REGEXMATCH(LOWER($E211),XLOOKUP(AA$1,Metadata!$A$2:$A1000,Metadata!$B$2:$B1000)))"),"")</f>
        <v/>
      </c>
    </row>
    <row r="212">
      <c r="A212" s="33" t="str">
        <f>IFERROR(__xludf.DUMMYFUNCTION("""COMPUTED_VALUE"""),"Trapmaster")</f>
        <v>Trapmaster</v>
      </c>
      <c r="B212" s="33" t="str">
        <f t="array" ref="B212:I212">XLOOKUP($A212,Cards!$A$2:$A1000,Cards!$B$2:$I1000,"")</f>
        <v>Mortal</v>
      </c>
      <c r="C212" s="33">
        <v>1.0</v>
      </c>
      <c r="D212" s="33" t="s">
        <v>128</v>
      </c>
      <c r="E212" s="33" t="s">
        <v>1376</v>
      </c>
      <c r="F212" s="33" t="s">
        <v>1377</v>
      </c>
      <c r="G212" s="33">
        <v>2.0</v>
      </c>
      <c r="H212" s="33" t="s">
        <v>1188</v>
      </c>
      <c r="I212" s="33" t="s">
        <v>62</v>
      </c>
      <c r="J212" s="33">
        <f>IFERROR(__xludf.DUMMYFUNCTION("LEN(REGEXREPLACE(XLOOKUP($A212,Cards!$A$2:$A1000,Cards!$H$2:$H1000,""""),"",\s"",""""))"),3.0)</f>
        <v>3</v>
      </c>
      <c r="K212" s="33" t="str">
        <f t="shared" si="1"/>
        <v>     Unearth   Copy       </v>
      </c>
      <c r="L212" s="33" t="str">
        <f>IFERROR(__xludf.DUMMYFUNCTION("IF(IF(L$1="""","""",REGEXMATCH(LOWER($E212),XLOOKUP(L$1,Metadata!$A$2:$A1000,Metadata!$B$2:$B1000))),L$1,"""")"),"")</f>
        <v/>
      </c>
      <c r="M212" s="33" t="str">
        <f>IFERROR(__xludf.DUMMYFUNCTION("IF(IF(M$1="""","""",REGEXMATCH(LOWER($E212),XLOOKUP(M$1,Metadata!$A$2:$A1000,Metadata!$B$2:$B1000))),M$1,"""")"),"")</f>
        <v/>
      </c>
      <c r="N212" s="33" t="str">
        <f>IFERROR(__xludf.DUMMYFUNCTION("IF(IF(N$1="""","""",REGEXMATCH(LOWER($E212),XLOOKUP(N$1,Metadata!$A$2:$A1000,Metadata!$B$2:$B1000))),N$1,"""")"),"")</f>
        <v/>
      </c>
      <c r="O212" s="33" t="str">
        <f>IFERROR(__xludf.DUMMYFUNCTION("IF(IF(O$1="""","""",REGEXMATCH(LOWER($E212),XLOOKUP(O$1,Metadata!$A$2:$A1000,Metadata!$B$2:$B1000))),O$1,"""")"),"")</f>
        <v/>
      </c>
      <c r="P212" s="33" t="str">
        <f>IFERROR(__xludf.DUMMYFUNCTION("IF(IF(P$1="""","""",REGEXMATCH(LOWER($E212),XLOOKUP(P$1,Metadata!$A$2:$A1000,Metadata!$B$2:$B1000))),P$1,"""")"),"")</f>
        <v/>
      </c>
      <c r="Q212" s="33" t="str">
        <f>IFERROR(__xludf.DUMMYFUNCTION("IF(IF(Q$1="""","""",REGEXMATCH(LOWER($E212),XLOOKUP(Q$1,Metadata!$A$2:$A1000,Metadata!$B$2:$B1000))),Q$1,"""")"),"Unearth")</f>
        <v>Unearth</v>
      </c>
      <c r="R212" s="33" t="str">
        <f>IFERROR(__xludf.DUMMYFUNCTION("IF(IF(R$1="""","""",REGEXMATCH(LOWER($E212),XLOOKUP(R$1,Metadata!$A$2:$A1000,Metadata!$B$2:$B1000))),R$1,"""")"),"")</f>
        <v/>
      </c>
      <c r="S212" s="33" t="str">
        <f>IFERROR(__xludf.DUMMYFUNCTION("IF(IF(S$1="""","""",REGEXMATCH(LOWER($E212),XLOOKUP(S$1,Metadata!$A$2:$A1000,Metadata!$B$2:$B1000))),S$1,"""")"),"")</f>
        <v/>
      </c>
      <c r="T212" s="33" t="str">
        <f>IFERROR(__xludf.DUMMYFUNCTION("IF(IF(T$1="""","""",REGEXMATCH(LOWER($E212),XLOOKUP(T$1,Metadata!$A$2:$A1000,Metadata!$B$2:$B1000))),T$1,"""")"),"Copy")</f>
        <v>Copy</v>
      </c>
      <c r="U212" s="33" t="str">
        <f>IFERROR(__xludf.DUMMYFUNCTION("IF(IF(U$1="""","""",REGEXMATCH(LOWER($E212),XLOOKUP(U$1,Metadata!$A$2:$A1000,Metadata!$B$2:$B1000))),U$1,"""")"),"")</f>
        <v/>
      </c>
      <c r="V212" s="33" t="str">
        <f>IFERROR(__xludf.DUMMYFUNCTION("IF(IF(V$1="""","""",REGEXMATCH(LOWER($E212),XLOOKUP(V$1,Metadata!$A$2:$A1000,Metadata!$B$2:$B1000))),V$1,"""")"),"")</f>
        <v/>
      </c>
      <c r="W212" s="33" t="str">
        <f>IFERROR(__xludf.DUMMYFUNCTION("IF(IF(W$1="""","""",REGEXMATCH(LOWER($E212),XLOOKUP(W$1,Metadata!$A$2:$A1000,Metadata!$B$2:$B1000))),W$1,"""")"),"")</f>
        <v/>
      </c>
      <c r="X212" s="33" t="str">
        <f>IFERROR(__xludf.DUMMYFUNCTION("IF(IF(X$1="""","""",REGEXMATCH(LOWER($E212),XLOOKUP(X$1,Metadata!$A$2:$A1000,Metadata!$B$2:$B1000))),X$1,"""")"),"")</f>
        <v/>
      </c>
      <c r="Y212" s="33" t="str">
        <f>IFERROR(__xludf.DUMMYFUNCTION("IF(IF(Y$1="""","""",REGEXMATCH(LOWER($E212),XLOOKUP(Y$1,Metadata!$A$2:$A1000,Metadata!$B$2:$B1000))),Y$1,"""")"),"")</f>
        <v/>
      </c>
      <c r="Z212" s="33" t="str">
        <f>IFERROR(__xludf.DUMMYFUNCTION("IF(IF(Z$1="""","""",REGEXMATCH(LOWER($E212),XLOOKUP(Z$1,Metadata!$A$2:$A1000,Metadata!$B$2:$B1000))),Z$1,"""")"),"")</f>
        <v/>
      </c>
      <c r="AA212" s="33" t="str">
        <f>IFERROR(__xludf.DUMMYFUNCTION("IF(AA$1="""","""",REGEXMATCH(LOWER($E212),XLOOKUP(AA$1,Metadata!$A$2:$A1000,Metadata!$B$2:$B1000)))"),"")</f>
        <v/>
      </c>
    </row>
    <row r="213">
      <c r="A213" s="33" t="str">
        <f>IFERROR(__xludf.DUMMYFUNCTION("""COMPUTED_VALUE"""),"Gemcrazed Clown")</f>
        <v>Gemcrazed Clown</v>
      </c>
      <c r="B213" s="33" t="str">
        <f t="array" ref="B213:I213">XLOOKUP($A213,Cards!$A$2:$A1000,Cards!$B$2:$I1000,"")</f>
        <v>Mortal Void</v>
      </c>
      <c r="C213" s="33">
        <v>2.0</v>
      </c>
      <c r="D213" s="33" t="s">
        <v>1389</v>
      </c>
      <c r="E213" s="33" t="s">
        <v>1390</v>
      </c>
      <c r="F213" s="33" t="s">
        <v>786</v>
      </c>
      <c r="G213" s="33">
        <v>3.0</v>
      </c>
      <c r="H213" s="33" t="s">
        <v>1391</v>
      </c>
      <c r="I213" s="33" t="s">
        <v>62</v>
      </c>
      <c r="J213" s="33">
        <f>IFERROR(__xludf.DUMMYFUNCTION("LEN(REGEXREPLACE(XLOOKUP($A213,Cards!$A$2:$A1000,Cards!$H$2:$H1000,""""),"",\s"",""""))"),3.0)</f>
        <v>3</v>
      </c>
      <c r="K213" s="33" t="str">
        <f t="shared" si="1"/>
        <v>     Unearth          </v>
      </c>
      <c r="L213" s="33" t="str">
        <f>IFERROR(__xludf.DUMMYFUNCTION("IF(IF(L$1="""","""",REGEXMATCH(LOWER($E213),XLOOKUP(L$1,Metadata!$A$2:$A1000,Metadata!$B$2:$B1000))),L$1,"""")"),"")</f>
        <v/>
      </c>
      <c r="M213" s="33" t="str">
        <f>IFERROR(__xludf.DUMMYFUNCTION("IF(IF(M$1="""","""",REGEXMATCH(LOWER($E213),XLOOKUP(M$1,Metadata!$A$2:$A1000,Metadata!$B$2:$B1000))),M$1,"""")"),"")</f>
        <v/>
      </c>
      <c r="N213" s="33" t="str">
        <f>IFERROR(__xludf.DUMMYFUNCTION("IF(IF(N$1="""","""",REGEXMATCH(LOWER($E213),XLOOKUP(N$1,Metadata!$A$2:$A1000,Metadata!$B$2:$B1000))),N$1,"""")"),"")</f>
        <v/>
      </c>
      <c r="O213" s="33" t="str">
        <f>IFERROR(__xludf.DUMMYFUNCTION("IF(IF(O$1="""","""",REGEXMATCH(LOWER($E213),XLOOKUP(O$1,Metadata!$A$2:$A1000,Metadata!$B$2:$B1000))),O$1,"""")"),"")</f>
        <v/>
      </c>
      <c r="P213" s="33" t="str">
        <f>IFERROR(__xludf.DUMMYFUNCTION("IF(IF(P$1="""","""",REGEXMATCH(LOWER($E213),XLOOKUP(P$1,Metadata!$A$2:$A1000,Metadata!$B$2:$B1000))),P$1,"""")"),"")</f>
        <v/>
      </c>
      <c r="Q213" s="33" t="str">
        <f>IFERROR(__xludf.DUMMYFUNCTION("IF(IF(Q$1="""","""",REGEXMATCH(LOWER($E213),XLOOKUP(Q$1,Metadata!$A$2:$A1000,Metadata!$B$2:$B1000))),Q$1,"""")"),"Unearth")</f>
        <v>Unearth</v>
      </c>
      <c r="R213" s="33" t="str">
        <f>IFERROR(__xludf.DUMMYFUNCTION("IF(IF(R$1="""","""",REGEXMATCH(LOWER($E213),XLOOKUP(R$1,Metadata!$A$2:$A1000,Metadata!$B$2:$B1000))),R$1,"""")"),"")</f>
        <v/>
      </c>
      <c r="S213" s="33" t="str">
        <f>IFERROR(__xludf.DUMMYFUNCTION("IF(IF(S$1="""","""",REGEXMATCH(LOWER($E213),XLOOKUP(S$1,Metadata!$A$2:$A1000,Metadata!$B$2:$B1000))),S$1,"""")"),"")</f>
        <v/>
      </c>
      <c r="T213" s="33" t="str">
        <f>IFERROR(__xludf.DUMMYFUNCTION("IF(IF(T$1="""","""",REGEXMATCH(LOWER($E213),XLOOKUP(T$1,Metadata!$A$2:$A1000,Metadata!$B$2:$B1000))),T$1,"""")"),"")</f>
        <v/>
      </c>
      <c r="U213" s="33" t="str">
        <f>IFERROR(__xludf.DUMMYFUNCTION("IF(IF(U$1="""","""",REGEXMATCH(LOWER($E213),XLOOKUP(U$1,Metadata!$A$2:$A1000,Metadata!$B$2:$B1000))),U$1,"""")"),"")</f>
        <v/>
      </c>
      <c r="V213" s="33" t="str">
        <f>IFERROR(__xludf.DUMMYFUNCTION("IF(IF(V$1="""","""",REGEXMATCH(LOWER($E213),XLOOKUP(V$1,Metadata!$A$2:$A1000,Metadata!$B$2:$B1000))),V$1,"""")"),"")</f>
        <v/>
      </c>
      <c r="W213" s="33" t="str">
        <f>IFERROR(__xludf.DUMMYFUNCTION("IF(IF(W$1="""","""",REGEXMATCH(LOWER($E213),XLOOKUP(W$1,Metadata!$A$2:$A1000,Metadata!$B$2:$B1000))),W$1,"""")"),"")</f>
        <v/>
      </c>
      <c r="X213" s="33" t="str">
        <f>IFERROR(__xludf.DUMMYFUNCTION("IF(IF(X$1="""","""",REGEXMATCH(LOWER($E213),XLOOKUP(X$1,Metadata!$A$2:$A1000,Metadata!$B$2:$B1000))),X$1,"""")"),"")</f>
        <v/>
      </c>
      <c r="Y213" s="33" t="str">
        <f>IFERROR(__xludf.DUMMYFUNCTION("IF(IF(Y$1="""","""",REGEXMATCH(LOWER($E213),XLOOKUP(Y$1,Metadata!$A$2:$A1000,Metadata!$B$2:$B1000))),Y$1,"""")"),"")</f>
        <v/>
      </c>
      <c r="Z213" s="33" t="str">
        <f>IFERROR(__xludf.DUMMYFUNCTION("IF(IF(Z$1="""","""",REGEXMATCH(LOWER($E213),XLOOKUP(Z$1,Metadata!$A$2:$A1000,Metadata!$B$2:$B1000))),Z$1,"""")"),"")</f>
        <v/>
      </c>
      <c r="AA213" s="33" t="str">
        <f>IFERROR(__xludf.DUMMYFUNCTION("IF(AA$1="""","""",REGEXMATCH(LOWER($E213),XLOOKUP(AA$1,Metadata!$A$2:$A1000,Metadata!$B$2:$B1000)))"),"")</f>
        <v/>
      </c>
    </row>
    <row r="214">
      <c r="A214" s="33" t="str">
        <f>IFERROR(__xludf.DUMMYFUNCTION("""COMPUTED_VALUE"""),"Augur of the Moonspear")</f>
        <v>Augur of the Moonspear</v>
      </c>
      <c r="B214" s="33" t="str">
        <f t="array" ref="B214:I214">XLOOKUP($A214,Cards!$A$2:$A1000,Cards!$B$2:$I1000,"")</f>
        <v>Mortal</v>
      </c>
      <c r="C214" s="33">
        <v>1.0</v>
      </c>
      <c r="D214" s="33" t="s">
        <v>287</v>
      </c>
      <c r="E214" s="33" t="s">
        <v>1393</v>
      </c>
      <c r="F214" s="33"/>
      <c r="G214" s="33">
        <v>4.0</v>
      </c>
      <c r="H214" s="33" t="s">
        <v>390</v>
      </c>
      <c r="I214" s="33" t="s">
        <v>62</v>
      </c>
      <c r="J214" s="33">
        <f>IFERROR(__xludf.DUMMYFUNCTION("LEN(REGEXREPLACE(XLOOKUP($A214,Cards!$A$2:$A1000,Cards!$H$2:$H1000,""""),"",\s"",""""))"),5.0)</f>
        <v>5</v>
      </c>
      <c r="K214" s="33" t="str">
        <f t="shared" si="1"/>
        <v>      Ramp         </v>
      </c>
      <c r="L214" s="33" t="str">
        <f>IFERROR(__xludf.DUMMYFUNCTION("IF(IF(L$1="""","""",REGEXMATCH(LOWER($E214),XLOOKUP(L$1,Metadata!$A$2:$A1000,Metadata!$B$2:$B1000))),L$1,"""")"),"")</f>
        <v/>
      </c>
      <c r="M214" s="33" t="str">
        <f>IFERROR(__xludf.DUMMYFUNCTION("IF(IF(M$1="""","""",REGEXMATCH(LOWER($E214),XLOOKUP(M$1,Metadata!$A$2:$A1000,Metadata!$B$2:$B1000))),M$1,"""")"),"")</f>
        <v/>
      </c>
      <c r="N214" s="33" t="str">
        <f>IFERROR(__xludf.DUMMYFUNCTION("IF(IF(N$1="""","""",REGEXMATCH(LOWER($E214),XLOOKUP(N$1,Metadata!$A$2:$A1000,Metadata!$B$2:$B1000))),N$1,"""")"),"")</f>
        <v/>
      </c>
      <c r="O214" s="33" t="str">
        <f>IFERROR(__xludf.DUMMYFUNCTION("IF(IF(O$1="""","""",REGEXMATCH(LOWER($E214),XLOOKUP(O$1,Metadata!$A$2:$A1000,Metadata!$B$2:$B1000))),O$1,"""")"),"")</f>
        <v/>
      </c>
      <c r="P214" s="33" t="str">
        <f>IFERROR(__xludf.DUMMYFUNCTION("IF(IF(P$1="""","""",REGEXMATCH(LOWER($E214),XLOOKUP(P$1,Metadata!$A$2:$A1000,Metadata!$B$2:$B1000))),P$1,"""")"),"")</f>
        <v/>
      </c>
      <c r="Q214" s="33" t="str">
        <f>IFERROR(__xludf.DUMMYFUNCTION("IF(IF(Q$1="""","""",REGEXMATCH(LOWER($E214),XLOOKUP(Q$1,Metadata!$A$2:$A1000,Metadata!$B$2:$B1000))),Q$1,"""")"),"")</f>
        <v/>
      </c>
      <c r="R214" s="33" t="str">
        <f>IFERROR(__xludf.DUMMYFUNCTION("IF(IF(R$1="""","""",REGEXMATCH(LOWER($E214),XLOOKUP(R$1,Metadata!$A$2:$A1000,Metadata!$B$2:$B1000))),R$1,"""")"),"Ramp")</f>
        <v>Ramp</v>
      </c>
      <c r="S214" s="33" t="str">
        <f>IFERROR(__xludf.DUMMYFUNCTION("IF(IF(S$1="""","""",REGEXMATCH(LOWER($E214),XLOOKUP(S$1,Metadata!$A$2:$A1000,Metadata!$B$2:$B1000))),S$1,"""")"),"")</f>
        <v/>
      </c>
      <c r="T214" s="33" t="str">
        <f>IFERROR(__xludf.DUMMYFUNCTION("IF(IF(T$1="""","""",REGEXMATCH(LOWER($E214),XLOOKUP(T$1,Metadata!$A$2:$A1000,Metadata!$B$2:$B1000))),T$1,"""")"),"")</f>
        <v/>
      </c>
      <c r="U214" s="33" t="str">
        <f>IFERROR(__xludf.DUMMYFUNCTION("IF(IF(U$1="""","""",REGEXMATCH(LOWER($E214),XLOOKUP(U$1,Metadata!$A$2:$A1000,Metadata!$B$2:$B1000))),U$1,"""")"),"")</f>
        <v/>
      </c>
      <c r="V214" s="33" t="str">
        <f>IFERROR(__xludf.DUMMYFUNCTION("IF(IF(V$1="""","""",REGEXMATCH(LOWER($E214),XLOOKUP(V$1,Metadata!$A$2:$A1000,Metadata!$B$2:$B1000))),V$1,"""")"),"")</f>
        <v/>
      </c>
      <c r="W214" s="33" t="str">
        <f>IFERROR(__xludf.DUMMYFUNCTION("IF(IF(W$1="""","""",REGEXMATCH(LOWER($E214),XLOOKUP(W$1,Metadata!$A$2:$A1000,Metadata!$B$2:$B1000))),W$1,"""")"),"")</f>
        <v/>
      </c>
      <c r="X214" s="33" t="str">
        <f>IFERROR(__xludf.DUMMYFUNCTION("IF(IF(X$1="""","""",REGEXMATCH(LOWER($E214),XLOOKUP(X$1,Metadata!$A$2:$A1000,Metadata!$B$2:$B1000))),X$1,"""")"),"")</f>
        <v/>
      </c>
      <c r="Y214" s="33" t="str">
        <f>IFERROR(__xludf.DUMMYFUNCTION("IF(IF(Y$1="""","""",REGEXMATCH(LOWER($E214),XLOOKUP(Y$1,Metadata!$A$2:$A1000,Metadata!$B$2:$B1000))),Y$1,"""")"),"")</f>
        <v/>
      </c>
      <c r="Z214" s="33" t="str">
        <f>IFERROR(__xludf.DUMMYFUNCTION("IF(IF(Z$1="""","""",REGEXMATCH(LOWER($E214),XLOOKUP(Z$1,Metadata!$A$2:$A1000,Metadata!$B$2:$B1000))),Z$1,"""")"),"")</f>
        <v/>
      </c>
      <c r="AA214" s="33" t="str">
        <f>IFERROR(__xludf.DUMMYFUNCTION("IF(AA$1="""","""",REGEXMATCH(LOWER($E214),XLOOKUP(AA$1,Metadata!$A$2:$A1000,Metadata!$B$2:$B1000)))"),"")</f>
        <v/>
      </c>
    </row>
    <row r="215">
      <c r="A215" s="33" t="str">
        <f>IFERROR(__xludf.DUMMYFUNCTION("""COMPUTED_VALUE"""),"Sanguine Student")</f>
        <v>Sanguine Student</v>
      </c>
      <c r="B215" s="33" t="str">
        <f t="array" ref="B215:I215">XLOOKUP($A215,Cards!$A$2:$A1000,Cards!$B$2:$I1000,"")</f>
        <v>Mortal Void</v>
      </c>
      <c r="C215" s="33">
        <v>2.0</v>
      </c>
      <c r="D215" s="33" t="s">
        <v>298</v>
      </c>
      <c r="E215" s="33" t="s">
        <v>1404</v>
      </c>
      <c r="F215" s="33" t="s">
        <v>1405</v>
      </c>
      <c r="G215" s="33">
        <v>2.0</v>
      </c>
      <c r="H215" s="33" t="s">
        <v>1374</v>
      </c>
      <c r="I215" s="33" t="s">
        <v>62</v>
      </c>
      <c r="J215" s="33">
        <f>IFERROR(__xludf.DUMMYFUNCTION("LEN(REGEXREPLACE(XLOOKUP($A215,Cards!$A$2:$A1000,Cards!$H$2:$H1000,""""),"",\s"",""""))"),4.0)</f>
        <v>4</v>
      </c>
      <c r="K215" s="33" t="str">
        <f t="shared" si="1"/>
        <v>    Void   Control     Ambush   </v>
      </c>
      <c r="L215" s="33" t="str">
        <f>IFERROR(__xludf.DUMMYFUNCTION("IF(IF(L$1="""","""",REGEXMATCH(LOWER($E215),XLOOKUP(L$1,Metadata!$A$2:$A1000,Metadata!$B$2:$B1000))),L$1,"""")"),"")</f>
        <v/>
      </c>
      <c r="M215" s="33" t="str">
        <f>IFERROR(__xludf.DUMMYFUNCTION("IF(IF(M$1="""","""",REGEXMATCH(LOWER($E215),XLOOKUP(M$1,Metadata!$A$2:$A1000,Metadata!$B$2:$B1000))),M$1,"""")"),"")</f>
        <v/>
      </c>
      <c r="N215" s="33" t="str">
        <f>IFERROR(__xludf.DUMMYFUNCTION("IF(IF(N$1="""","""",REGEXMATCH(LOWER($E215),XLOOKUP(N$1,Metadata!$A$2:$A1000,Metadata!$B$2:$B1000))),N$1,"""")"),"")</f>
        <v/>
      </c>
      <c r="O215" s="33" t="str">
        <f>IFERROR(__xludf.DUMMYFUNCTION("IF(IF(O$1="""","""",REGEXMATCH(LOWER($E215),XLOOKUP(O$1,Metadata!$A$2:$A1000,Metadata!$B$2:$B1000))),O$1,"""")"),"")</f>
        <v/>
      </c>
      <c r="P215" s="33" t="str">
        <f>IFERROR(__xludf.DUMMYFUNCTION("IF(IF(P$1="""","""",REGEXMATCH(LOWER($E215),XLOOKUP(P$1,Metadata!$A$2:$A1000,Metadata!$B$2:$B1000))),P$1,"""")"),"Void")</f>
        <v>Void</v>
      </c>
      <c r="Q215" s="33" t="str">
        <f>IFERROR(__xludf.DUMMYFUNCTION("IF(IF(Q$1="""","""",REGEXMATCH(LOWER($E215),XLOOKUP(Q$1,Metadata!$A$2:$A1000,Metadata!$B$2:$B1000))),Q$1,"""")"),"")</f>
        <v/>
      </c>
      <c r="R215" s="33" t="str">
        <f>IFERROR(__xludf.DUMMYFUNCTION("IF(IF(R$1="""","""",REGEXMATCH(LOWER($E215),XLOOKUP(R$1,Metadata!$A$2:$A1000,Metadata!$B$2:$B1000))),R$1,"""")"),"")</f>
        <v/>
      </c>
      <c r="S215" s="33" t="str">
        <f>IFERROR(__xludf.DUMMYFUNCTION("IF(IF(S$1="""","""",REGEXMATCH(LOWER($E215),XLOOKUP(S$1,Metadata!$A$2:$A1000,Metadata!$B$2:$B1000))),S$1,"""")"),"Control")</f>
        <v>Control</v>
      </c>
      <c r="T215" s="33" t="str">
        <f>IFERROR(__xludf.DUMMYFUNCTION("IF(IF(T$1="""","""",REGEXMATCH(LOWER($E215),XLOOKUP(T$1,Metadata!$A$2:$A1000,Metadata!$B$2:$B1000))),T$1,"""")"),"")</f>
        <v/>
      </c>
      <c r="U215" s="33" t="str">
        <f>IFERROR(__xludf.DUMMYFUNCTION("IF(IF(U$1="""","""",REGEXMATCH(LOWER($E215),XLOOKUP(U$1,Metadata!$A$2:$A1000,Metadata!$B$2:$B1000))),U$1,"""")"),"")</f>
        <v/>
      </c>
      <c r="V215" s="33" t="str">
        <f>IFERROR(__xludf.DUMMYFUNCTION("IF(IF(V$1="""","""",REGEXMATCH(LOWER($E215),XLOOKUP(V$1,Metadata!$A$2:$A1000,Metadata!$B$2:$B1000))),V$1,"""")"),"")</f>
        <v/>
      </c>
      <c r="W215" s="33" t="str">
        <f>IFERROR(__xludf.DUMMYFUNCTION("IF(IF(W$1="""","""",REGEXMATCH(LOWER($E215),XLOOKUP(W$1,Metadata!$A$2:$A1000,Metadata!$B$2:$B1000))),W$1,"""")"),"")</f>
        <v/>
      </c>
      <c r="X215" s="33" t="str">
        <f>IFERROR(__xludf.DUMMYFUNCTION("IF(IF(X$1="""","""",REGEXMATCH(LOWER($E215),XLOOKUP(X$1,Metadata!$A$2:$A1000,Metadata!$B$2:$B1000))),X$1,"""")"),"Ambush")</f>
        <v>Ambush</v>
      </c>
      <c r="Y215" s="33" t="str">
        <f>IFERROR(__xludf.DUMMYFUNCTION("IF(IF(Y$1="""","""",REGEXMATCH(LOWER($E215),XLOOKUP(Y$1,Metadata!$A$2:$A1000,Metadata!$B$2:$B1000))),Y$1,"""")"),"")</f>
        <v/>
      </c>
      <c r="Z215" s="33" t="str">
        <f>IFERROR(__xludf.DUMMYFUNCTION("IF(IF(Z$1="""","""",REGEXMATCH(LOWER($E215),XLOOKUP(Z$1,Metadata!$A$2:$A1000,Metadata!$B$2:$B1000))),Z$1,"""")"),"")</f>
        <v/>
      </c>
      <c r="AA215" s="33" t="str">
        <f>IFERROR(__xludf.DUMMYFUNCTION("IF(AA$1="""","""",REGEXMATCH(LOWER($E215),XLOOKUP(AA$1,Metadata!$A$2:$A1000,Metadata!$B$2:$B1000)))"),"")</f>
        <v/>
      </c>
    </row>
    <row r="216">
      <c r="A216" s="33" t="str">
        <f>IFERROR(__xludf.DUMMYFUNCTION("""COMPUTED_VALUE"""),"Shade in the Alley")</f>
        <v>Shade in the Alley</v>
      </c>
      <c r="B216" s="33" t="str">
        <f t="array" ref="B216:I216">XLOOKUP($A216,Cards!$A$2:$A1000,Cards!$B$2:$I1000,"")</f>
        <v>Mortal Void</v>
      </c>
      <c r="C216" s="33">
        <v>2.0</v>
      </c>
      <c r="D216" s="33" t="s">
        <v>1407</v>
      </c>
      <c r="E216" s="33" t="s">
        <v>1408</v>
      </c>
      <c r="F216" s="33"/>
      <c r="G216" s="33">
        <v>3.0</v>
      </c>
      <c r="H216" s="33" t="s">
        <v>1409</v>
      </c>
      <c r="I216" s="33" t="s">
        <v>62</v>
      </c>
      <c r="J216" s="33">
        <f>IFERROR(__xludf.DUMMYFUNCTION("LEN(REGEXREPLACE(XLOOKUP($A216,Cards!$A$2:$A1000,Cards!$H$2:$H1000,""""),"",\s"",""""))"),5.0)</f>
        <v>5</v>
      </c>
      <c r="K216" s="33" t="str">
        <f t="shared" si="1"/>
        <v>     Unearth  Control  Aggro   Ambush   </v>
      </c>
      <c r="L216" s="33" t="str">
        <f>IFERROR(__xludf.DUMMYFUNCTION("IF(IF(L$1="""","""",REGEXMATCH(LOWER($E216),XLOOKUP(L$1,Metadata!$A$2:$A1000,Metadata!$B$2:$B1000))),L$1,"""")"),"")</f>
        <v/>
      </c>
      <c r="M216" s="33" t="str">
        <f>IFERROR(__xludf.DUMMYFUNCTION("IF(IF(M$1="""","""",REGEXMATCH(LOWER($E216),XLOOKUP(M$1,Metadata!$A$2:$A1000,Metadata!$B$2:$B1000))),M$1,"""")"),"")</f>
        <v/>
      </c>
      <c r="N216" s="33" t="str">
        <f>IFERROR(__xludf.DUMMYFUNCTION("IF(IF(N$1="""","""",REGEXMATCH(LOWER($E216),XLOOKUP(N$1,Metadata!$A$2:$A1000,Metadata!$B$2:$B1000))),N$1,"""")"),"")</f>
        <v/>
      </c>
      <c r="O216" s="33" t="str">
        <f>IFERROR(__xludf.DUMMYFUNCTION("IF(IF(O$1="""","""",REGEXMATCH(LOWER($E216),XLOOKUP(O$1,Metadata!$A$2:$A1000,Metadata!$B$2:$B1000))),O$1,"""")"),"")</f>
        <v/>
      </c>
      <c r="P216" s="33" t="str">
        <f>IFERROR(__xludf.DUMMYFUNCTION("IF(IF(P$1="""","""",REGEXMATCH(LOWER($E216),XLOOKUP(P$1,Metadata!$A$2:$A1000,Metadata!$B$2:$B1000))),P$1,"""")"),"")</f>
        <v/>
      </c>
      <c r="Q216" s="33" t="str">
        <f>IFERROR(__xludf.DUMMYFUNCTION("IF(IF(Q$1="""","""",REGEXMATCH(LOWER($E216),XLOOKUP(Q$1,Metadata!$A$2:$A1000,Metadata!$B$2:$B1000))),Q$1,"""")"),"Unearth")</f>
        <v>Unearth</v>
      </c>
      <c r="R216" s="33" t="str">
        <f>IFERROR(__xludf.DUMMYFUNCTION("IF(IF(R$1="""","""",REGEXMATCH(LOWER($E216),XLOOKUP(R$1,Metadata!$A$2:$A1000,Metadata!$B$2:$B1000))),R$1,"""")"),"")</f>
        <v/>
      </c>
      <c r="S216" s="33" t="str">
        <f>IFERROR(__xludf.DUMMYFUNCTION("IF(IF(S$1="""","""",REGEXMATCH(LOWER($E216),XLOOKUP(S$1,Metadata!$A$2:$A1000,Metadata!$B$2:$B1000))),S$1,"""")"),"Control")</f>
        <v>Control</v>
      </c>
      <c r="T216" s="33" t="str">
        <f>IFERROR(__xludf.DUMMYFUNCTION("IF(IF(T$1="""","""",REGEXMATCH(LOWER($E216),XLOOKUP(T$1,Metadata!$A$2:$A1000,Metadata!$B$2:$B1000))),T$1,"""")"),"")</f>
        <v/>
      </c>
      <c r="U216" s="33" t="str">
        <f>IFERROR(__xludf.DUMMYFUNCTION("IF(IF(U$1="""","""",REGEXMATCH(LOWER($E216),XLOOKUP(U$1,Metadata!$A$2:$A1000,Metadata!$B$2:$B1000))),U$1,"""")"),"Aggro")</f>
        <v>Aggro</v>
      </c>
      <c r="V216" s="33" t="str">
        <f>IFERROR(__xludf.DUMMYFUNCTION("IF(IF(V$1="""","""",REGEXMATCH(LOWER($E216),XLOOKUP(V$1,Metadata!$A$2:$A1000,Metadata!$B$2:$B1000))),V$1,"""")"),"")</f>
        <v/>
      </c>
      <c r="W216" s="33" t="str">
        <f>IFERROR(__xludf.DUMMYFUNCTION("IF(IF(W$1="""","""",REGEXMATCH(LOWER($E216),XLOOKUP(W$1,Metadata!$A$2:$A1000,Metadata!$B$2:$B1000))),W$1,"""")"),"")</f>
        <v/>
      </c>
      <c r="X216" s="33" t="str">
        <f>IFERROR(__xludf.DUMMYFUNCTION("IF(IF(X$1="""","""",REGEXMATCH(LOWER($E216),XLOOKUP(X$1,Metadata!$A$2:$A1000,Metadata!$B$2:$B1000))),X$1,"""")"),"Ambush")</f>
        <v>Ambush</v>
      </c>
      <c r="Y216" s="33" t="str">
        <f>IFERROR(__xludf.DUMMYFUNCTION("IF(IF(Y$1="""","""",REGEXMATCH(LOWER($E216),XLOOKUP(Y$1,Metadata!$A$2:$A1000,Metadata!$B$2:$B1000))),Y$1,"""")"),"")</f>
        <v/>
      </c>
      <c r="Z216" s="33" t="str">
        <f>IFERROR(__xludf.DUMMYFUNCTION("IF(IF(Z$1="""","""",REGEXMATCH(LOWER($E216),XLOOKUP(Z$1,Metadata!$A$2:$A1000,Metadata!$B$2:$B1000))),Z$1,"""")"),"")</f>
        <v/>
      </c>
      <c r="AA216" s="33" t="str">
        <f>IFERROR(__xludf.DUMMYFUNCTION("IF(AA$1="""","""",REGEXMATCH(LOWER($E216),XLOOKUP(AA$1,Metadata!$A$2:$A1000,Metadata!$B$2:$B1000)))"),"")</f>
        <v/>
      </c>
    </row>
    <row r="217">
      <c r="A217" s="33" t="str">
        <f>IFERROR(__xludf.DUMMYFUNCTION("""COMPUTED_VALUE"""),"Vindictive Forsaken")</f>
        <v>Vindictive Forsaken</v>
      </c>
      <c r="B217" s="33" t="str">
        <f t="array" ref="B217:I217">XLOOKUP($A217,Cards!$A$2:$A1000,Cards!$B$2:$I1000,"")</f>
        <v>Mortal Void</v>
      </c>
      <c r="C217" s="33">
        <v>2.0</v>
      </c>
      <c r="D217" s="33" t="s">
        <v>1118</v>
      </c>
      <c r="E217" s="33" t="s">
        <v>1411</v>
      </c>
      <c r="F217" s="33"/>
      <c r="G217" s="33">
        <v>7.0</v>
      </c>
      <c r="H217" s="33" t="s">
        <v>1412</v>
      </c>
      <c r="I217" s="33" t="s">
        <v>62</v>
      </c>
      <c r="J217" s="33">
        <f>IFERROR(__xludf.DUMMYFUNCTION("LEN(REGEXREPLACE(XLOOKUP($A217,Cards!$A$2:$A1000,Cards!$H$2:$H1000,""""),"",\s"",""""))"),6.0)</f>
        <v>6</v>
      </c>
      <c r="K217" s="33" t="str">
        <f t="shared" si="1"/>
        <v>       Control   Empty-Crystal  Ambush   </v>
      </c>
      <c r="L217" s="33" t="str">
        <f>IFERROR(__xludf.DUMMYFUNCTION("IF(IF(L$1="""","""",REGEXMATCH(LOWER($E217),XLOOKUP(L$1,Metadata!$A$2:$A1000,Metadata!$B$2:$B1000))),L$1,"""")"),"")</f>
        <v/>
      </c>
      <c r="M217" s="33" t="str">
        <f>IFERROR(__xludf.DUMMYFUNCTION("IF(IF(M$1="""","""",REGEXMATCH(LOWER($E217),XLOOKUP(M$1,Metadata!$A$2:$A1000,Metadata!$B$2:$B1000))),M$1,"""")"),"")</f>
        <v/>
      </c>
      <c r="N217" s="33" t="str">
        <f>IFERROR(__xludf.DUMMYFUNCTION("IF(IF(N$1="""","""",REGEXMATCH(LOWER($E217),XLOOKUP(N$1,Metadata!$A$2:$A1000,Metadata!$B$2:$B1000))),N$1,"""")"),"")</f>
        <v/>
      </c>
      <c r="O217" s="33" t="str">
        <f>IFERROR(__xludf.DUMMYFUNCTION("IF(IF(O$1="""","""",REGEXMATCH(LOWER($E217),XLOOKUP(O$1,Metadata!$A$2:$A1000,Metadata!$B$2:$B1000))),O$1,"""")"),"")</f>
        <v/>
      </c>
      <c r="P217" s="33" t="str">
        <f>IFERROR(__xludf.DUMMYFUNCTION("IF(IF(P$1="""","""",REGEXMATCH(LOWER($E217),XLOOKUP(P$1,Metadata!$A$2:$A1000,Metadata!$B$2:$B1000))),P$1,"""")"),"")</f>
        <v/>
      </c>
      <c r="Q217" s="33" t="str">
        <f>IFERROR(__xludf.DUMMYFUNCTION("IF(IF(Q$1="""","""",REGEXMATCH(LOWER($E217),XLOOKUP(Q$1,Metadata!$A$2:$A1000,Metadata!$B$2:$B1000))),Q$1,"""")"),"")</f>
        <v/>
      </c>
      <c r="R217" s="33" t="str">
        <f>IFERROR(__xludf.DUMMYFUNCTION("IF(IF(R$1="""","""",REGEXMATCH(LOWER($E217),XLOOKUP(R$1,Metadata!$A$2:$A1000,Metadata!$B$2:$B1000))),R$1,"""")"),"")</f>
        <v/>
      </c>
      <c r="S217" s="33" t="str">
        <f>IFERROR(__xludf.DUMMYFUNCTION("IF(IF(S$1="""","""",REGEXMATCH(LOWER($E217),XLOOKUP(S$1,Metadata!$A$2:$A1000,Metadata!$B$2:$B1000))),S$1,"""")"),"Control")</f>
        <v>Control</v>
      </c>
      <c r="T217" s="33" t="str">
        <f>IFERROR(__xludf.DUMMYFUNCTION("IF(IF(T$1="""","""",REGEXMATCH(LOWER($E217),XLOOKUP(T$1,Metadata!$A$2:$A1000,Metadata!$B$2:$B1000))),T$1,"""")"),"")</f>
        <v/>
      </c>
      <c r="U217" s="33" t="str">
        <f>IFERROR(__xludf.DUMMYFUNCTION("IF(IF(U$1="""","""",REGEXMATCH(LOWER($E217),XLOOKUP(U$1,Metadata!$A$2:$A1000,Metadata!$B$2:$B1000))),U$1,"""")"),"")</f>
        <v/>
      </c>
      <c r="V217" s="33" t="str">
        <f>IFERROR(__xludf.DUMMYFUNCTION("IF(IF(V$1="""","""",REGEXMATCH(LOWER($E217),XLOOKUP(V$1,Metadata!$A$2:$A1000,Metadata!$B$2:$B1000))),V$1,"""")"),"Empty-Crystal")</f>
        <v>Empty-Crystal</v>
      </c>
      <c r="W217" s="33" t="str">
        <f>IFERROR(__xludf.DUMMYFUNCTION("IF(IF(W$1="""","""",REGEXMATCH(LOWER($E217),XLOOKUP(W$1,Metadata!$A$2:$A1000,Metadata!$B$2:$B1000))),W$1,"""")"),"")</f>
        <v/>
      </c>
      <c r="X217" s="33" t="str">
        <f>IFERROR(__xludf.DUMMYFUNCTION("IF(IF(X$1="""","""",REGEXMATCH(LOWER($E217),XLOOKUP(X$1,Metadata!$A$2:$A1000,Metadata!$B$2:$B1000))),X$1,"""")"),"Ambush")</f>
        <v>Ambush</v>
      </c>
      <c r="Y217" s="33" t="str">
        <f>IFERROR(__xludf.DUMMYFUNCTION("IF(IF(Y$1="""","""",REGEXMATCH(LOWER($E217),XLOOKUP(Y$1,Metadata!$A$2:$A1000,Metadata!$B$2:$B1000))),Y$1,"""")"),"")</f>
        <v/>
      </c>
      <c r="Z217" s="33" t="str">
        <f>IFERROR(__xludf.DUMMYFUNCTION("IF(IF(Z$1="""","""",REGEXMATCH(LOWER($E217),XLOOKUP(Z$1,Metadata!$A$2:$A1000,Metadata!$B$2:$B1000))),Z$1,"""")"),"")</f>
        <v/>
      </c>
      <c r="AA217" s="33" t="str">
        <f>IFERROR(__xludf.DUMMYFUNCTION("IF(AA$1="""","""",REGEXMATCH(LOWER($E217),XLOOKUP(AA$1,Metadata!$A$2:$A1000,Metadata!$B$2:$B1000)))"),"")</f>
        <v/>
      </c>
    </row>
    <row r="218">
      <c r="A218" s="33" t="str">
        <f>IFERROR(__xludf.DUMMYFUNCTION("""COMPUTED_VALUE"""),"Willing Sacrifice")</f>
        <v>Willing Sacrifice</v>
      </c>
      <c r="B218" s="33" t="str">
        <f t="array" ref="B218:I218">XLOOKUP($A218,Cards!$A$2:$A1000,Cards!$B$2:$I1000,"")</f>
        <v>Mortal Void</v>
      </c>
      <c r="C218" s="33">
        <v>2.0</v>
      </c>
      <c r="D218" s="33" t="s">
        <v>37</v>
      </c>
      <c r="E218" s="33" t="s">
        <v>1414</v>
      </c>
      <c r="F218" s="33"/>
      <c r="G218" s="33">
        <v>1.0</v>
      </c>
      <c r="H218" s="33" t="s">
        <v>1415</v>
      </c>
      <c r="I218" s="33" t="s">
        <v>26</v>
      </c>
      <c r="J218" s="33">
        <f>IFERROR(__xludf.DUMMYFUNCTION("LEN(REGEXREPLACE(XLOOKUP($A218,Cards!$A$2:$A1000,Cards!$H$2:$H1000,""""),"",\s"",""""))"),2.0)</f>
        <v>2</v>
      </c>
      <c r="K218" s="33" t="str">
        <f t="shared" si="1"/>
        <v>       Control     Ambush   </v>
      </c>
      <c r="L218" s="33" t="str">
        <f>IFERROR(__xludf.DUMMYFUNCTION("IF(IF(L$1="""","""",REGEXMATCH(LOWER($E218),XLOOKUP(L$1,Metadata!$A$2:$A1000,Metadata!$B$2:$B1000))),L$1,"""")"),"")</f>
        <v/>
      </c>
      <c r="M218" s="33" t="str">
        <f>IFERROR(__xludf.DUMMYFUNCTION("IF(IF(M$1="""","""",REGEXMATCH(LOWER($E218),XLOOKUP(M$1,Metadata!$A$2:$A1000,Metadata!$B$2:$B1000))),M$1,"""")"),"")</f>
        <v/>
      </c>
      <c r="N218" s="33" t="str">
        <f>IFERROR(__xludf.DUMMYFUNCTION("IF(IF(N$1="""","""",REGEXMATCH(LOWER($E218),XLOOKUP(N$1,Metadata!$A$2:$A1000,Metadata!$B$2:$B1000))),N$1,"""")"),"")</f>
        <v/>
      </c>
      <c r="O218" s="33" t="str">
        <f>IFERROR(__xludf.DUMMYFUNCTION("IF(IF(O$1="""","""",REGEXMATCH(LOWER($E218),XLOOKUP(O$1,Metadata!$A$2:$A1000,Metadata!$B$2:$B1000))),O$1,"""")"),"")</f>
        <v/>
      </c>
      <c r="P218" s="33" t="str">
        <f>IFERROR(__xludf.DUMMYFUNCTION("IF(IF(P$1="""","""",REGEXMATCH(LOWER($E218),XLOOKUP(P$1,Metadata!$A$2:$A1000,Metadata!$B$2:$B1000))),P$1,"""")"),"")</f>
        <v/>
      </c>
      <c r="Q218" s="33" t="str">
        <f>IFERROR(__xludf.DUMMYFUNCTION("IF(IF(Q$1="""","""",REGEXMATCH(LOWER($E218),XLOOKUP(Q$1,Metadata!$A$2:$A1000,Metadata!$B$2:$B1000))),Q$1,"""")"),"")</f>
        <v/>
      </c>
      <c r="R218" s="33" t="str">
        <f>IFERROR(__xludf.DUMMYFUNCTION("IF(IF(R$1="""","""",REGEXMATCH(LOWER($E218),XLOOKUP(R$1,Metadata!$A$2:$A1000,Metadata!$B$2:$B1000))),R$1,"""")"),"")</f>
        <v/>
      </c>
      <c r="S218" s="33" t="str">
        <f>IFERROR(__xludf.DUMMYFUNCTION("IF(IF(S$1="""","""",REGEXMATCH(LOWER($E218),XLOOKUP(S$1,Metadata!$A$2:$A1000,Metadata!$B$2:$B1000))),S$1,"""")"),"Control")</f>
        <v>Control</v>
      </c>
      <c r="T218" s="33" t="str">
        <f>IFERROR(__xludf.DUMMYFUNCTION("IF(IF(T$1="""","""",REGEXMATCH(LOWER($E218),XLOOKUP(T$1,Metadata!$A$2:$A1000,Metadata!$B$2:$B1000))),T$1,"""")"),"")</f>
        <v/>
      </c>
      <c r="U218" s="33" t="str">
        <f>IFERROR(__xludf.DUMMYFUNCTION("IF(IF(U$1="""","""",REGEXMATCH(LOWER($E218),XLOOKUP(U$1,Metadata!$A$2:$A1000,Metadata!$B$2:$B1000))),U$1,"""")"),"")</f>
        <v/>
      </c>
      <c r="V218" s="33" t="str">
        <f>IFERROR(__xludf.DUMMYFUNCTION("IF(IF(V$1="""","""",REGEXMATCH(LOWER($E218),XLOOKUP(V$1,Metadata!$A$2:$A1000,Metadata!$B$2:$B1000))),V$1,"""")"),"")</f>
        <v/>
      </c>
      <c r="W218" s="33" t="str">
        <f>IFERROR(__xludf.DUMMYFUNCTION("IF(IF(W$1="""","""",REGEXMATCH(LOWER($E218),XLOOKUP(W$1,Metadata!$A$2:$A1000,Metadata!$B$2:$B1000))),W$1,"""")"),"")</f>
        <v/>
      </c>
      <c r="X218" s="33" t="str">
        <f>IFERROR(__xludf.DUMMYFUNCTION("IF(IF(X$1="""","""",REGEXMATCH(LOWER($E218),XLOOKUP(X$1,Metadata!$A$2:$A1000,Metadata!$B$2:$B1000))),X$1,"""")"),"Ambush")</f>
        <v>Ambush</v>
      </c>
      <c r="Y218" s="33" t="str">
        <f>IFERROR(__xludf.DUMMYFUNCTION("IF(IF(Y$1="""","""",REGEXMATCH(LOWER($E218),XLOOKUP(Y$1,Metadata!$A$2:$A1000,Metadata!$B$2:$B1000))),Y$1,"""")"),"")</f>
        <v/>
      </c>
      <c r="Z218" s="33" t="str">
        <f>IFERROR(__xludf.DUMMYFUNCTION("IF(IF(Z$1="""","""",REGEXMATCH(LOWER($E218),XLOOKUP(Z$1,Metadata!$A$2:$A1000,Metadata!$B$2:$B1000))),Z$1,"""")"),"")</f>
        <v/>
      </c>
      <c r="AA218" s="33" t="str">
        <f>IFERROR(__xludf.DUMMYFUNCTION("IF(AA$1="""","""",REGEXMATCH(LOWER($E218),XLOOKUP(AA$1,Metadata!$A$2:$A1000,Metadata!$B$2:$B1000)))"),"")</f>
        <v/>
      </c>
    </row>
    <row r="219">
      <c r="A219" s="33" t="str">
        <f>IFERROR(__xludf.DUMMYFUNCTION("""COMPUTED_VALUE"""),"Bloodfleet Harpooneer")</f>
        <v>Bloodfleet Harpooneer</v>
      </c>
      <c r="B219" s="33" t="str">
        <f t="array" ref="B219:I219">XLOOKUP($A219,Cards!$A$2:$A1000,Cards!$B$2:$I1000,"")</f>
        <v>Mortal</v>
      </c>
      <c r="C219" s="33">
        <v>1.0</v>
      </c>
      <c r="D219" s="33" t="s">
        <v>128</v>
      </c>
      <c r="E219" s="33" t="s">
        <v>1417</v>
      </c>
      <c r="F219" s="33" t="s">
        <v>1418</v>
      </c>
      <c r="G219" s="33">
        <v>2.0</v>
      </c>
      <c r="H219" s="33" t="s">
        <v>390</v>
      </c>
      <c r="I219" s="33" t="s">
        <v>32</v>
      </c>
      <c r="J219" s="33">
        <f>IFERROR(__xludf.DUMMYFUNCTION("LEN(REGEXREPLACE(XLOOKUP($A219,Cards!$A$2:$A1000,Cards!$H$2:$H1000,""""),"",\s"",""""))"),5.0)</f>
        <v>5</v>
      </c>
      <c r="K219" s="33" t="str">
        <f t="shared" si="1"/>
        <v>       Control     Ambush   </v>
      </c>
      <c r="L219" s="33" t="str">
        <f>IFERROR(__xludf.DUMMYFUNCTION("IF(IF(L$1="""","""",REGEXMATCH(LOWER($E219),XLOOKUP(L$1,Metadata!$A$2:$A1000,Metadata!$B$2:$B1000))),L$1,"""")"),"")</f>
        <v/>
      </c>
      <c r="M219" s="33" t="str">
        <f>IFERROR(__xludf.DUMMYFUNCTION("IF(IF(M$1="""","""",REGEXMATCH(LOWER($E219),XLOOKUP(M$1,Metadata!$A$2:$A1000,Metadata!$B$2:$B1000))),M$1,"""")"),"")</f>
        <v/>
      </c>
      <c r="N219" s="33" t="str">
        <f>IFERROR(__xludf.DUMMYFUNCTION("IF(IF(N$1="""","""",REGEXMATCH(LOWER($E219),XLOOKUP(N$1,Metadata!$A$2:$A1000,Metadata!$B$2:$B1000))),N$1,"""")"),"")</f>
        <v/>
      </c>
      <c r="O219" s="33" t="str">
        <f>IFERROR(__xludf.DUMMYFUNCTION("IF(IF(O$1="""","""",REGEXMATCH(LOWER($E219),XLOOKUP(O$1,Metadata!$A$2:$A1000,Metadata!$B$2:$B1000))),O$1,"""")"),"")</f>
        <v/>
      </c>
      <c r="P219" s="33" t="str">
        <f>IFERROR(__xludf.DUMMYFUNCTION("IF(IF(P$1="""","""",REGEXMATCH(LOWER($E219),XLOOKUP(P$1,Metadata!$A$2:$A1000,Metadata!$B$2:$B1000))),P$1,"""")"),"")</f>
        <v/>
      </c>
      <c r="Q219" s="33" t="str">
        <f>IFERROR(__xludf.DUMMYFUNCTION("IF(IF(Q$1="""","""",REGEXMATCH(LOWER($E219),XLOOKUP(Q$1,Metadata!$A$2:$A1000,Metadata!$B$2:$B1000))),Q$1,"""")"),"")</f>
        <v/>
      </c>
      <c r="R219" s="33" t="str">
        <f>IFERROR(__xludf.DUMMYFUNCTION("IF(IF(R$1="""","""",REGEXMATCH(LOWER($E219),XLOOKUP(R$1,Metadata!$A$2:$A1000,Metadata!$B$2:$B1000))),R$1,"""")"),"")</f>
        <v/>
      </c>
      <c r="S219" s="33" t="str">
        <f>IFERROR(__xludf.DUMMYFUNCTION("IF(IF(S$1="""","""",REGEXMATCH(LOWER($E219),XLOOKUP(S$1,Metadata!$A$2:$A1000,Metadata!$B$2:$B1000))),S$1,"""")"),"Control")</f>
        <v>Control</v>
      </c>
      <c r="T219" s="33" t="str">
        <f>IFERROR(__xludf.DUMMYFUNCTION("IF(IF(T$1="""","""",REGEXMATCH(LOWER($E219),XLOOKUP(T$1,Metadata!$A$2:$A1000,Metadata!$B$2:$B1000))),T$1,"""")"),"")</f>
        <v/>
      </c>
      <c r="U219" s="33" t="str">
        <f>IFERROR(__xludf.DUMMYFUNCTION("IF(IF(U$1="""","""",REGEXMATCH(LOWER($E219),XLOOKUP(U$1,Metadata!$A$2:$A1000,Metadata!$B$2:$B1000))),U$1,"""")"),"")</f>
        <v/>
      </c>
      <c r="V219" s="33" t="str">
        <f>IFERROR(__xludf.DUMMYFUNCTION("IF(IF(V$1="""","""",REGEXMATCH(LOWER($E219),XLOOKUP(V$1,Metadata!$A$2:$A1000,Metadata!$B$2:$B1000))),V$1,"""")"),"")</f>
        <v/>
      </c>
      <c r="W219" s="33" t="str">
        <f>IFERROR(__xludf.DUMMYFUNCTION("IF(IF(W$1="""","""",REGEXMATCH(LOWER($E219),XLOOKUP(W$1,Metadata!$A$2:$A1000,Metadata!$B$2:$B1000))),W$1,"""")"),"")</f>
        <v/>
      </c>
      <c r="X219" s="33" t="str">
        <f>IFERROR(__xludf.DUMMYFUNCTION("IF(IF(X$1="""","""",REGEXMATCH(LOWER($E219),XLOOKUP(X$1,Metadata!$A$2:$A1000,Metadata!$B$2:$B1000))),X$1,"""")"),"Ambush")</f>
        <v>Ambush</v>
      </c>
      <c r="Y219" s="33" t="str">
        <f>IFERROR(__xludf.DUMMYFUNCTION("IF(IF(Y$1="""","""",REGEXMATCH(LOWER($E219),XLOOKUP(Y$1,Metadata!$A$2:$A1000,Metadata!$B$2:$B1000))),Y$1,"""")"),"")</f>
        <v/>
      </c>
      <c r="Z219" s="33" t="str">
        <f>IFERROR(__xludf.DUMMYFUNCTION("IF(IF(Z$1="""","""",REGEXMATCH(LOWER($E219),XLOOKUP(Z$1,Metadata!$A$2:$A1000,Metadata!$B$2:$B1000))),Z$1,"""")"),"")</f>
        <v/>
      </c>
      <c r="AA219" s="33" t="str">
        <f>IFERROR(__xludf.DUMMYFUNCTION("IF(AA$1="""","""",REGEXMATCH(LOWER($E219),XLOOKUP(AA$1,Metadata!$A$2:$A1000,Metadata!$B$2:$B1000)))"),"")</f>
        <v/>
      </c>
    </row>
    <row r="220">
      <c r="A220" s="33" t="str">
        <f>IFERROR(__xludf.DUMMYFUNCTION("""COMPUTED_VALUE"""),"Gold Colibri")</f>
        <v>Gold Colibri</v>
      </c>
      <c r="B220" s="33" t="str">
        <f t="array" ref="B220:I220">XLOOKUP($A220,Cards!$A$2:$A1000,Cards!$B$2:$I1000,"")</f>
        <v>Mortal</v>
      </c>
      <c r="C220" s="33">
        <v>1.0</v>
      </c>
      <c r="D220" s="33" t="s">
        <v>114</v>
      </c>
      <c r="E220" s="33" t="s">
        <v>1426</v>
      </c>
      <c r="F220" s="33" t="s">
        <v>1427</v>
      </c>
      <c r="G220" s="33">
        <v>3.0</v>
      </c>
      <c r="H220" s="33" t="s">
        <v>989</v>
      </c>
      <c r="I220" s="33" t="s">
        <v>32</v>
      </c>
      <c r="J220" s="33">
        <f>IFERROR(__xludf.DUMMYFUNCTION("LEN(REGEXREPLACE(XLOOKUP($A220,Cards!$A$2:$A1000,Cards!$H$2:$H1000,""""),"",\s"",""""))"),3.0)</f>
        <v>3</v>
      </c>
      <c r="K220" s="33" t="str">
        <f t="shared" si="1"/>
        <v>               </v>
      </c>
      <c r="L220" s="33" t="str">
        <f>IFERROR(__xludf.DUMMYFUNCTION("IF(IF(L$1="""","""",REGEXMATCH(LOWER($E220),XLOOKUP(L$1,Metadata!$A$2:$A1000,Metadata!$B$2:$B1000))),L$1,"""")"),"")</f>
        <v/>
      </c>
      <c r="M220" s="33" t="str">
        <f>IFERROR(__xludf.DUMMYFUNCTION("IF(IF(M$1="""","""",REGEXMATCH(LOWER($E220),XLOOKUP(M$1,Metadata!$A$2:$A1000,Metadata!$B$2:$B1000))),M$1,"""")"),"")</f>
        <v/>
      </c>
      <c r="N220" s="33" t="str">
        <f>IFERROR(__xludf.DUMMYFUNCTION("IF(IF(N$1="""","""",REGEXMATCH(LOWER($E220),XLOOKUP(N$1,Metadata!$A$2:$A1000,Metadata!$B$2:$B1000))),N$1,"""")"),"")</f>
        <v/>
      </c>
      <c r="O220" s="33" t="str">
        <f>IFERROR(__xludf.DUMMYFUNCTION("IF(IF(O$1="""","""",REGEXMATCH(LOWER($E220),XLOOKUP(O$1,Metadata!$A$2:$A1000,Metadata!$B$2:$B1000))),O$1,"""")"),"")</f>
        <v/>
      </c>
      <c r="P220" s="33" t="str">
        <f>IFERROR(__xludf.DUMMYFUNCTION("IF(IF(P$1="""","""",REGEXMATCH(LOWER($E220),XLOOKUP(P$1,Metadata!$A$2:$A1000,Metadata!$B$2:$B1000))),P$1,"""")"),"")</f>
        <v/>
      </c>
      <c r="Q220" s="33" t="str">
        <f>IFERROR(__xludf.DUMMYFUNCTION("IF(IF(Q$1="""","""",REGEXMATCH(LOWER($E220),XLOOKUP(Q$1,Metadata!$A$2:$A1000,Metadata!$B$2:$B1000))),Q$1,"""")"),"")</f>
        <v/>
      </c>
      <c r="R220" s="33" t="str">
        <f>IFERROR(__xludf.DUMMYFUNCTION("IF(IF(R$1="""","""",REGEXMATCH(LOWER($E220),XLOOKUP(R$1,Metadata!$A$2:$A1000,Metadata!$B$2:$B1000))),R$1,"""")"),"")</f>
        <v/>
      </c>
      <c r="S220" s="33" t="str">
        <f>IFERROR(__xludf.DUMMYFUNCTION("IF(IF(S$1="""","""",REGEXMATCH(LOWER($E220),XLOOKUP(S$1,Metadata!$A$2:$A1000,Metadata!$B$2:$B1000))),S$1,"""")"),"")</f>
        <v/>
      </c>
      <c r="T220" s="33" t="str">
        <f>IFERROR(__xludf.DUMMYFUNCTION("IF(IF(T$1="""","""",REGEXMATCH(LOWER($E220),XLOOKUP(T$1,Metadata!$A$2:$A1000,Metadata!$B$2:$B1000))),T$1,"""")"),"")</f>
        <v/>
      </c>
      <c r="U220" s="33" t="str">
        <f>IFERROR(__xludf.DUMMYFUNCTION("IF(IF(U$1="""","""",REGEXMATCH(LOWER($E220),XLOOKUP(U$1,Metadata!$A$2:$A1000,Metadata!$B$2:$B1000))),U$1,"""")"),"")</f>
        <v/>
      </c>
      <c r="V220" s="33" t="str">
        <f>IFERROR(__xludf.DUMMYFUNCTION("IF(IF(V$1="""","""",REGEXMATCH(LOWER($E220),XLOOKUP(V$1,Metadata!$A$2:$A1000,Metadata!$B$2:$B1000))),V$1,"""")"),"")</f>
        <v/>
      </c>
      <c r="W220" s="33" t="str">
        <f>IFERROR(__xludf.DUMMYFUNCTION("IF(IF(W$1="""","""",REGEXMATCH(LOWER($E220),XLOOKUP(W$1,Metadata!$A$2:$A1000,Metadata!$B$2:$B1000))),W$1,"""")"),"")</f>
        <v/>
      </c>
      <c r="X220" s="33" t="str">
        <f>IFERROR(__xludf.DUMMYFUNCTION("IF(IF(X$1="""","""",REGEXMATCH(LOWER($E220),XLOOKUP(X$1,Metadata!$A$2:$A1000,Metadata!$B$2:$B1000))),X$1,"""")"),"")</f>
        <v/>
      </c>
      <c r="Y220" s="33" t="str">
        <f>IFERROR(__xludf.DUMMYFUNCTION("IF(IF(Y$1="""","""",REGEXMATCH(LOWER($E220),XLOOKUP(Y$1,Metadata!$A$2:$A1000,Metadata!$B$2:$B1000))),Y$1,"""")"),"")</f>
        <v/>
      </c>
      <c r="Z220" s="33" t="str">
        <f>IFERROR(__xludf.DUMMYFUNCTION("IF(IF(Z$1="""","""",REGEXMATCH(LOWER($E220),XLOOKUP(Z$1,Metadata!$A$2:$A1000,Metadata!$B$2:$B1000))),Z$1,"""")"),"")</f>
        <v/>
      </c>
      <c r="AA220" s="33" t="str">
        <f>IFERROR(__xludf.DUMMYFUNCTION("IF(AA$1="""","""",REGEXMATCH(LOWER($E220),XLOOKUP(AA$1,Metadata!$A$2:$A1000,Metadata!$B$2:$B1000)))"),"")</f>
        <v/>
      </c>
    </row>
    <row r="221">
      <c r="A221" s="33" t="str">
        <f>IFERROR(__xludf.DUMMYFUNCTION("""COMPUTED_VALUE"""),"Greedy Senator")</f>
        <v>Greedy Senator</v>
      </c>
      <c r="B221" s="33" t="str">
        <f t="array" ref="B221:I221">XLOOKUP($A221,Cards!$A$2:$A1000,Cards!$B$2:$I1000,"")</f>
        <v>Mortal</v>
      </c>
      <c r="C221" s="33">
        <v>1.0</v>
      </c>
      <c r="D221" s="33" t="s">
        <v>37</v>
      </c>
      <c r="E221" s="33" t="s">
        <v>1434</v>
      </c>
      <c r="F221" s="33" t="s">
        <v>1435</v>
      </c>
      <c r="G221" s="33">
        <v>4.0</v>
      </c>
      <c r="H221" s="33" t="s">
        <v>1038</v>
      </c>
      <c r="I221" s="33" t="s">
        <v>32</v>
      </c>
      <c r="J221" s="33">
        <f>IFERROR(__xludf.DUMMYFUNCTION("LEN(REGEXREPLACE(XLOOKUP($A221,Cards!$A$2:$A1000,Cards!$H$2:$H1000,""""),"",\s"",""""))"),4.0)</f>
        <v>4</v>
      </c>
      <c r="K221" s="33" t="str">
        <f t="shared" si="1"/>
        <v>       Control     Ambush   </v>
      </c>
      <c r="L221" s="33" t="str">
        <f>IFERROR(__xludf.DUMMYFUNCTION("IF(IF(L$1="""","""",REGEXMATCH(LOWER($E221),XLOOKUP(L$1,Metadata!$A$2:$A1000,Metadata!$B$2:$B1000))),L$1,"""")"),"")</f>
        <v/>
      </c>
      <c r="M221" s="33" t="str">
        <f>IFERROR(__xludf.DUMMYFUNCTION("IF(IF(M$1="""","""",REGEXMATCH(LOWER($E221),XLOOKUP(M$1,Metadata!$A$2:$A1000,Metadata!$B$2:$B1000))),M$1,"""")"),"")</f>
        <v/>
      </c>
      <c r="N221" s="33" t="str">
        <f>IFERROR(__xludf.DUMMYFUNCTION("IF(IF(N$1="""","""",REGEXMATCH(LOWER($E221),XLOOKUP(N$1,Metadata!$A$2:$A1000,Metadata!$B$2:$B1000))),N$1,"""")"),"")</f>
        <v/>
      </c>
      <c r="O221" s="33" t="str">
        <f>IFERROR(__xludf.DUMMYFUNCTION("IF(IF(O$1="""","""",REGEXMATCH(LOWER($E221),XLOOKUP(O$1,Metadata!$A$2:$A1000,Metadata!$B$2:$B1000))),O$1,"""")"),"")</f>
        <v/>
      </c>
      <c r="P221" s="33" t="str">
        <f>IFERROR(__xludf.DUMMYFUNCTION("IF(IF(P$1="""","""",REGEXMATCH(LOWER($E221),XLOOKUP(P$1,Metadata!$A$2:$A1000,Metadata!$B$2:$B1000))),P$1,"""")"),"")</f>
        <v/>
      </c>
      <c r="Q221" s="33" t="str">
        <f>IFERROR(__xludf.DUMMYFUNCTION("IF(IF(Q$1="""","""",REGEXMATCH(LOWER($E221),XLOOKUP(Q$1,Metadata!$A$2:$A1000,Metadata!$B$2:$B1000))),Q$1,"""")"),"")</f>
        <v/>
      </c>
      <c r="R221" s="33" t="str">
        <f>IFERROR(__xludf.DUMMYFUNCTION("IF(IF(R$1="""","""",REGEXMATCH(LOWER($E221),XLOOKUP(R$1,Metadata!$A$2:$A1000,Metadata!$B$2:$B1000))),R$1,"""")"),"")</f>
        <v/>
      </c>
      <c r="S221" s="33" t="str">
        <f>IFERROR(__xludf.DUMMYFUNCTION("IF(IF(S$1="""","""",REGEXMATCH(LOWER($E221),XLOOKUP(S$1,Metadata!$A$2:$A1000,Metadata!$B$2:$B1000))),S$1,"""")"),"Control")</f>
        <v>Control</v>
      </c>
      <c r="T221" s="33" t="str">
        <f>IFERROR(__xludf.DUMMYFUNCTION("IF(IF(T$1="""","""",REGEXMATCH(LOWER($E221),XLOOKUP(T$1,Metadata!$A$2:$A1000,Metadata!$B$2:$B1000))),T$1,"""")"),"")</f>
        <v/>
      </c>
      <c r="U221" s="33" t="str">
        <f>IFERROR(__xludf.DUMMYFUNCTION("IF(IF(U$1="""","""",REGEXMATCH(LOWER($E221),XLOOKUP(U$1,Metadata!$A$2:$A1000,Metadata!$B$2:$B1000))),U$1,"""")"),"")</f>
        <v/>
      </c>
      <c r="V221" s="33" t="str">
        <f>IFERROR(__xludf.DUMMYFUNCTION("IF(IF(V$1="""","""",REGEXMATCH(LOWER($E221),XLOOKUP(V$1,Metadata!$A$2:$A1000,Metadata!$B$2:$B1000))),V$1,"""")"),"")</f>
        <v/>
      </c>
      <c r="W221" s="33" t="str">
        <f>IFERROR(__xludf.DUMMYFUNCTION("IF(IF(W$1="""","""",REGEXMATCH(LOWER($E221),XLOOKUP(W$1,Metadata!$A$2:$A1000,Metadata!$B$2:$B1000))),W$1,"""")"),"")</f>
        <v/>
      </c>
      <c r="X221" s="33" t="str">
        <f>IFERROR(__xludf.DUMMYFUNCTION("IF(IF(X$1="""","""",REGEXMATCH(LOWER($E221),XLOOKUP(X$1,Metadata!$A$2:$A1000,Metadata!$B$2:$B1000))),X$1,"""")"),"Ambush")</f>
        <v>Ambush</v>
      </c>
      <c r="Y221" s="33" t="str">
        <f>IFERROR(__xludf.DUMMYFUNCTION("IF(IF(Y$1="""","""",REGEXMATCH(LOWER($E221),XLOOKUP(Y$1,Metadata!$A$2:$A1000,Metadata!$B$2:$B1000))),Y$1,"""")"),"")</f>
        <v/>
      </c>
      <c r="Z221" s="33" t="str">
        <f>IFERROR(__xludf.DUMMYFUNCTION("IF(IF(Z$1="""","""",REGEXMATCH(LOWER($E221),XLOOKUP(Z$1,Metadata!$A$2:$A1000,Metadata!$B$2:$B1000))),Z$1,"""")"),"")</f>
        <v/>
      </c>
      <c r="AA221" s="33" t="str">
        <f>IFERROR(__xludf.DUMMYFUNCTION("IF(AA$1="""","""",REGEXMATCH(LOWER($E221),XLOOKUP(AA$1,Metadata!$A$2:$A1000,Metadata!$B$2:$B1000)))"),"")</f>
        <v/>
      </c>
    </row>
    <row r="222">
      <c r="A222" s="33" t="str">
        <f>IFERROR(__xludf.DUMMYFUNCTION("""COMPUTED_VALUE"""),"Armordillo")</f>
        <v>Armordillo</v>
      </c>
      <c r="B222" s="33" t="str">
        <f t="array" ref="B222:I222">XLOOKUP($A222,Cards!$A$2:$A1000,Cards!$B$2:$I1000,"")</f>
        <v>Nature</v>
      </c>
      <c r="C222" s="33">
        <v>2.0</v>
      </c>
      <c r="D222" s="33" t="s">
        <v>97</v>
      </c>
      <c r="E222" s="33" t="s">
        <v>1445</v>
      </c>
      <c r="F222" s="33" t="s">
        <v>24</v>
      </c>
      <c r="G222" s="33">
        <v>0.0</v>
      </c>
      <c r="H222" s="33" t="s">
        <v>1446</v>
      </c>
      <c r="I222" s="33" t="s">
        <v>32</v>
      </c>
      <c r="J222" s="33">
        <f>IFERROR(__xludf.DUMMYFUNCTION("LEN(REGEXREPLACE(XLOOKUP($A222,Cards!$A$2:$A1000,Cards!$H$2:$H1000,""""),"",\s"",""""))"),2.0)</f>
        <v>2</v>
      </c>
      <c r="K222" s="33" t="str">
        <f t="shared" si="1"/>
        <v>   Nature            </v>
      </c>
      <c r="L222" s="33" t="str">
        <f>IFERROR(__xludf.DUMMYFUNCTION("IF(IF(L$1="""","""",REGEXMATCH(LOWER($E222),XLOOKUP(L$1,Metadata!$A$2:$A1000,Metadata!$B$2:$B1000))),L$1,"""")"),"")</f>
        <v/>
      </c>
      <c r="M222" s="33" t="str">
        <f>IFERROR(__xludf.DUMMYFUNCTION("IF(IF(M$1="""","""",REGEXMATCH(LOWER($E222),XLOOKUP(M$1,Metadata!$A$2:$A1000,Metadata!$B$2:$B1000))),M$1,"""")"),"")</f>
        <v/>
      </c>
      <c r="N222" s="33" t="str">
        <f>IFERROR(__xludf.DUMMYFUNCTION("IF(IF(N$1="""","""",REGEXMATCH(LOWER($E222),XLOOKUP(N$1,Metadata!$A$2:$A1000,Metadata!$B$2:$B1000))),N$1,"""")"),"")</f>
        <v/>
      </c>
      <c r="O222" s="33" t="str">
        <f>IFERROR(__xludf.DUMMYFUNCTION("IF(IF(O$1="""","""",REGEXMATCH(LOWER($E222),XLOOKUP(O$1,Metadata!$A$2:$A1000,Metadata!$B$2:$B1000))),O$1,"""")"),"Nature")</f>
        <v>Nature</v>
      </c>
      <c r="P222" s="33" t="str">
        <f>IFERROR(__xludf.DUMMYFUNCTION("IF(IF(P$1="""","""",REGEXMATCH(LOWER($E222),XLOOKUP(P$1,Metadata!$A$2:$A1000,Metadata!$B$2:$B1000))),P$1,"""")"),"")</f>
        <v/>
      </c>
      <c r="Q222" s="33" t="str">
        <f>IFERROR(__xludf.DUMMYFUNCTION("IF(IF(Q$1="""","""",REGEXMATCH(LOWER($E222),XLOOKUP(Q$1,Metadata!$A$2:$A1000,Metadata!$B$2:$B1000))),Q$1,"""")"),"")</f>
        <v/>
      </c>
      <c r="R222" s="33" t="str">
        <f>IFERROR(__xludf.DUMMYFUNCTION("IF(IF(R$1="""","""",REGEXMATCH(LOWER($E222),XLOOKUP(R$1,Metadata!$A$2:$A1000,Metadata!$B$2:$B1000))),R$1,"""")"),"")</f>
        <v/>
      </c>
      <c r="S222" s="33" t="str">
        <f>IFERROR(__xludf.DUMMYFUNCTION("IF(IF(S$1="""","""",REGEXMATCH(LOWER($E222),XLOOKUP(S$1,Metadata!$A$2:$A1000,Metadata!$B$2:$B1000))),S$1,"""")"),"")</f>
        <v/>
      </c>
      <c r="T222" s="33" t="str">
        <f>IFERROR(__xludf.DUMMYFUNCTION("IF(IF(T$1="""","""",REGEXMATCH(LOWER($E222),XLOOKUP(T$1,Metadata!$A$2:$A1000,Metadata!$B$2:$B1000))),T$1,"""")"),"")</f>
        <v/>
      </c>
      <c r="U222" s="33" t="str">
        <f>IFERROR(__xludf.DUMMYFUNCTION("IF(IF(U$1="""","""",REGEXMATCH(LOWER($E222),XLOOKUP(U$1,Metadata!$A$2:$A1000,Metadata!$B$2:$B1000))),U$1,"""")"),"")</f>
        <v/>
      </c>
      <c r="V222" s="33" t="str">
        <f>IFERROR(__xludf.DUMMYFUNCTION("IF(IF(V$1="""","""",REGEXMATCH(LOWER($E222),XLOOKUP(V$1,Metadata!$A$2:$A1000,Metadata!$B$2:$B1000))),V$1,"""")"),"")</f>
        <v/>
      </c>
      <c r="W222" s="33" t="str">
        <f>IFERROR(__xludf.DUMMYFUNCTION("IF(IF(W$1="""","""",REGEXMATCH(LOWER($E222),XLOOKUP(W$1,Metadata!$A$2:$A1000,Metadata!$B$2:$B1000))),W$1,"""")"),"")</f>
        <v/>
      </c>
      <c r="X222" s="33" t="str">
        <f>IFERROR(__xludf.DUMMYFUNCTION("IF(IF(X$1="""","""",REGEXMATCH(LOWER($E222),XLOOKUP(X$1,Metadata!$A$2:$A1000,Metadata!$B$2:$B1000))),X$1,"""")"),"")</f>
        <v/>
      </c>
      <c r="Y222" s="33" t="str">
        <f>IFERROR(__xludf.DUMMYFUNCTION("IF(IF(Y$1="""","""",REGEXMATCH(LOWER($E222),XLOOKUP(Y$1,Metadata!$A$2:$A1000,Metadata!$B$2:$B1000))),Y$1,"""")"),"")</f>
        <v/>
      </c>
      <c r="Z222" s="33" t="str">
        <f>IFERROR(__xludf.DUMMYFUNCTION("IF(IF(Z$1="""","""",REGEXMATCH(LOWER($E222),XLOOKUP(Z$1,Metadata!$A$2:$A1000,Metadata!$B$2:$B1000))),Z$1,"""")"),"")</f>
        <v/>
      </c>
      <c r="AA222" s="33" t="str">
        <f>IFERROR(__xludf.DUMMYFUNCTION("IF(AA$1="""","""",REGEXMATCH(LOWER($E222),XLOOKUP(AA$1,Metadata!$A$2:$A1000,Metadata!$B$2:$B1000)))"),"")</f>
        <v/>
      </c>
    </row>
    <row r="223">
      <c r="A223" s="33" t="str">
        <f>IFERROR(__xludf.DUMMYFUNCTION("""COMPUTED_VALUE"""),"Paragon of Conquest")</f>
        <v>Paragon of Conquest</v>
      </c>
      <c r="B223" s="33" t="str">
        <f t="array" ref="B223:I223">XLOOKUP($A223,Cards!$A$2:$A1000,Cards!$B$2:$I1000,"")</f>
        <v>Mortal</v>
      </c>
      <c r="C223" s="33">
        <v>1.0</v>
      </c>
      <c r="D223" s="33" t="s">
        <v>394</v>
      </c>
      <c r="E223" s="33" t="s">
        <v>1448</v>
      </c>
      <c r="F223" s="33" t="s">
        <v>607</v>
      </c>
      <c r="G223" s="33">
        <v>7.0</v>
      </c>
      <c r="H223" s="33" t="s">
        <v>1449</v>
      </c>
      <c r="I223" s="33" t="s">
        <v>32</v>
      </c>
      <c r="J223" s="33">
        <f>IFERROR(__xludf.DUMMYFUNCTION("LEN(REGEXREPLACE(XLOOKUP($A223,Cards!$A$2:$A1000,Cards!$H$2:$H1000,""""),"",\s"",""""))"),6.0)</f>
        <v>6</v>
      </c>
      <c r="K223" s="33" t="str">
        <f t="shared" si="1"/>
        <v>         Aggro      </v>
      </c>
      <c r="L223" s="33" t="str">
        <f>IFERROR(__xludf.DUMMYFUNCTION("IF(IF(L$1="""","""",REGEXMATCH(LOWER($E223),XLOOKUP(L$1,Metadata!$A$2:$A1000,Metadata!$B$2:$B1000))),L$1,"""")"),"")</f>
        <v/>
      </c>
      <c r="M223" s="33" t="str">
        <f>IFERROR(__xludf.DUMMYFUNCTION("IF(IF(M$1="""","""",REGEXMATCH(LOWER($E223),XLOOKUP(M$1,Metadata!$A$2:$A1000,Metadata!$B$2:$B1000))),M$1,"""")"),"")</f>
        <v/>
      </c>
      <c r="N223" s="33" t="str">
        <f>IFERROR(__xludf.DUMMYFUNCTION("IF(IF(N$1="""","""",REGEXMATCH(LOWER($E223),XLOOKUP(N$1,Metadata!$A$2:$A1000,Metadata!$B$2:$B1000))),N$1,"""")"),"")</f>
        <v/>
      </c>
      <c r="O223" s="33" t="str">
        <f>IFERROR(__xludf.DUMMYFUNCTION("IF(IF(O$1="""","""",REGEXMATCH(LOWER($E223),XLOOKUP(O$1,Metadata!$A$2:$A1000,Metadata!$B$2:$B1000))),O$1,"""")"),"")</f>
        <v/>
      </c>
      <c r="P223" s="33" t="str">
        <f>IFERROR(__xludf.DUMMYFUNCTION("IF(IF(P$1="""","""",REGEXMATCH(LOWER($E223),XLOOKUP(P$1,Metadata!$A$2:$A1000,Metadata!$B$2:$B1000))),P$1,"""")"),"")</f>
        <v/>
      </c>
      <c r="Q223" s="33" t="str">
        <f>IFERROR(__xludf.DUMMYFUNCTION("IF(IF(Q$1="""","""",REGEXMATCH(LOWER($E223),XLOOKUP(Q$1,Metadata!$A$2:$A1000,Metadata!$B$2:$B1000))),Q$1,"""")"),"")</f>
        <v/>
      </c>
      <c r="R223" s="33" t="str">
        <f>IFERROR(__xludf.DUMMYFUNCTION("IF(IF(R$1="""","""",REGEXMATCH(LOWER($E223),XLOOKUP(R$1,Metadata!$A$2:$A1000,Metadata!$B$2:$B1000))),R$1,"""")"),"")</f>
        <v/>
      </c>
      <c r="S223" s="33" t="str">
        <f>IFERROR(__xludf.DUMMYFUNCTION("IF(IF(S$1="""","""",REGEXMATCH(LOWER($E223),XLOOKUP(S$1,Metadata!$A$2:$A1000,Metadata!$B$2:$B1000))),S$1,"""")"),"")</f>
        <v/>
      </c>
      <c r="T223" s="33" t="str">
        <f>IFERROR(__xludf.DUMMYFUNCTION("IF(IF(T$1="""","""",REGEXMATCH(LOWER($E223),XLOOKUP(T$1,Metadata!$A$2:$A1000,Metadata!$B$2:$B1000))),T$1,"""")"),"")</f>
        <v/>
      </c>
      <c r="U223" s="33" t="str">
        <f>IFERROR(__xludf.DUMMYFUNCTION("IF(IF(U$1="""","""",REGEXMATCH(LOWER($E223),XLOOKUP(U$1,Metadata!$A$2:$A1000,Metadata!$B$2:$B1000))),U$1,"""")"),"Aggro")</f>
        <v>Aggro</v>
      </c>
      <c r="V223" s="33" t="str">
        <f>IFERROR(__xludf.DUMMYFUNCTION("IF(IF(V$1="""","""",REGEXMATCH(LOWER($E223),XLOOKUP(V$1,Metadata!$A$2:$A1000,Metadata!$B$2:$B1000))),V$1,"""")"),"")</f>
        <v/>
      </c>
      <c r="W223" s="33" t="str">
        <f>IFERROR(__xludf.DUMMYFUNCTION("IF(IF(W$1="""","""",REGEXMATCH(LOWER($E223),XLOOKUP(W$1,Metadata!$A$2:$A1000,Metadata!$B$2:$B1000))),W$1,"""")"),"")</f>
        <v/>
      </c>
      <c r="X223" s="33" t="str">
        <f>IFERROR(__xludf.DUMMYFUNCTION("IF(IF(X$1="""","""",REGEXMATCH(LOWER($E223),XLOOKUP(X$1,Metadata!$A$2:$A1000,Metadata!$B$2:$B1000))),X$1,"""")"),"")</f>
        <v/>
      </c>
      <c r="Y223" s="33" t="str">
        <f>IFERROR(__xludf.DUMMYFUNCTION("IF(IF(Y$1="""","""",REGEXMATCH(LOWER($E223),XLOOKUP(Y$1,Metadata!$A$2:$A1000,Metadata!$B$2:$B1000))),Y$1,"""")"),"")</f>
        <v/>
      </c>
      <c r="Z223" s="33" t="str">
        <f>IFERROR(__xludf.DUMMYFUNCTION("IF(IF(Z$1="""","""",REGEXMATCH(LOWER($E223),XLOOKUP(Z$1,Metadata!$A$2:$A1000,Metadata!$B$2:$B1000))),Z$1,"""")"),"")</f>
        <v/>
      </c>
      <c r="AA223" s="33" t="str">
        <f>IFERROR(__xludf.DUMMYFUNCTION("IF(AA$1="""","""",REGEXMATCH(LOWER($E223),XLOOKUP(AA$1,Metadata!$A$2:$A1000,Metadata!$B$2:$B1000)))"),"")</f>
        <v/>
      </c>
    </row>
    <row r="224">
      <c r="A224" s="33" t="str">
        <f>IFERROR(__xludf.DUMMYFUNCTION("""COMPUTED_VALUE"""),"Tilling Yoke Beast")</f>
        <v>Tilling Yoke Beast</v>
      </c>
      <c r="B224" s="33" t="str">
        <f t="array" ref="B224:I224">XLOOKUP($A224,Cards!$A$2:$A1000,Cards!$B$2:$I1000,"")</f>
        <v>Mortal</v>
      </c>
      <c r="C224" s="33">
        <v>1.0</v>
      </c>
      <c r="D224" s="33" t="s">
        <v>334</v>
      </c>
      <c r="E224" s="33" t="s">
        <v>1459</v>
      </c>
      <c r="F224" s="33" t="s">
        <v>1460</v>
      </c>
      <c r="G224" s="33">
        <v>6.0</v>
      </c>
      <c r="H224" s="33" t="s">
        <v>1207</v>
      </c>
      <c r="I224" s="33" t="s">
        <v>32</v>
      </c>
      <c r="J224" s="33">
        <f>IFERROR(__xludf.DUMMYFUNCTION("LEN(REGEXREPLACE(XLOOKUP($A224,Cards!$A$2:$A1000,Cards!$H$2:$H1000,""""),"",\s"",""""))"),6.0)</f>
        <v>6</v>
      </c>
      <c r="K224" s="33" t="str">
        <f t="shared" si="1"/>
        <v>  Mortal    Ramp         </v>
      </c>
      <c r="L224" s="33" t="str">
        <f>IFERROR(__xludf.DUMMYFUNCTION("IF(IF(L$1="""","""",REGEXMATCH(LOWER($E224),XLOOKUP(L$1,Metadata!$A$2:$A1000,Metadata!$B$2:$B1000))),L$1,"""")"),"")</f>
        <v/>
      </c>
      <c r="M224" s="33" t="str">
        <f>IFERROR(__xludf.DUMMYFUNCTION("IF(IF(M$1="""","""",REGEXMATCH(LOWER($E224),XLOOKUP(M$1,Metadata!$A$2:$A1000,Metadata!$B$2:$B1000))),M$1,"""")"),"")</f>
        <v/>
      </c>
      <c r="N224" s="33" t="str">
        <f>IFERROR(__xludf.DUMMYFUNCTION("IF(IF(N$1="""","""",REGEXMATCH(LOWER($E224),XLOOKUP(N$1,Metadata!$A$2:$A1000,Metadata!$B$2:$B1000))),N$1,"""")"),"Mortal")</f>
        <v>Mortal</v>
      </c>
      <c r="O224" s="33" t="str">
        <f>IFERROR(__xludf.DUMMYFUNCTION("IF(IF(O$1="""","""",REGEXMATCH(LOWER($E224),XLOOKUP(O$1,Metadata!$A$2:$A1000,Metadata!$B$2:$B1000))),O$1,"""")"),"")</f>
        <v/>
      </c>
      <c r="P224" s="33" t="str">
        <f>IFERROR(__xludf.DUMMYFUNCTION("IF(IF(P$1="""","""",REGEXMATCH(LOWER($E224),XLOOKUP(P$1,Metadata!$A$2:$A1000,Metadata!$B$2:$B1000))),P$1,"""")"),"")</f>
        <v/>
      </c>
      <c r="Q224" s="33" t="str">
        <f>IFERROR(__xludf.DUMMYFUNCTION("IF(IF(Q$1="""","""",REGEXMATCH(LOWER($E224),XLOOKUP(Q$1,Metadata!$A$2:$A1000,Metadata!$B$2:$B1000))),Q$1,"""")"),"")</f>
        <v/>
      </c>
      <c r="R224" s="33" t="str">
        <f>IFERROR(__xludf.DUMMYFUNCTION("IF(IF(R$1="""","""",REGEXMATCH(LOWER($E224),XLOOKUP(R$1,Metadata!$A$2:$A1000,Metadata!$B$2:$B1000))),R$1,"""")"),"Ramp")</f>
        <v>Ramp</v>
      </c>
      <c r="S224" s="33" t="str">
        <f>IFERROR(__xludf.DUMMYFUNCTION("IF(IF(S$1="""","""",REGEXMATCH(LOWER($E224),XLOOKUP(S$1,Metadata!$A$2:$A1000,Metadata!$B$2:$B1000))),S$1,"""")"),"")</f>
        <v/>
      </c>
      <c r="T224" s="33" t="str">
        <f>IFERROR(__xludf.DUMMYFUNCTION("IF(IF(T$1="""","""",REGEXMATCH(LOWER($E224),XLOOKUP(T$1,Metadata!$A$2:$A1000,Metadata!$B$2:$B1000))),T$1,"""")"),"")</f>
        <v/>
      </c>
      <c r="U224" s="33" t="str">
        <f>IFERROR(__xludf.DUMMYFUNCTION("IF(IF(U$1="""","""",REGEXMATCH(LOWER($E224),XLOOKUP(U$1,Metadata!$A$2:$A1000,Metadata!$B$2:$B1000))),U$1,"""")"),"")</f>
        <v/>
      </c>
      <c r="V224" s="33" t="str">
        <f>IFERROR(__xludf.DUMMYFUNCTION("IF(IF(V$1="""","""",REGEXMATCH(LOWER($E224),XLOOKUP(V$1,Metadata!$A$2:$A1000,Metadata!$B$2:$B1000))),V$1,"""")"),"")</f>
        <v/>
      </c>
      <c r="W224" s="33" t="str">
        <f>IFERROR(__xludf.DUMMYFUNCTION("IF(IF(W$1="""","""",REGEXMATCH(LOWER($E224),XLOOKUP(W$1,Metadata!$A$2:$A1000,Metadata!$B$2:$B1000))),W$1,"""")"),"")</f>
        <v/>
      </c>
      <c r="X224" s="33" t="str">
        <f>IFERROR(__xludf.DUMMYFUNCTION("IF(IF(X$1="""","""",REGEXMATCH(LOWER($E224),XLOOKUP(X$1,Metadata!$A$2:$A1000,Metadata!$B$2:$B1000))),X$1,"""")"),"")</f>
        <v/>
      </c>
      <c r="Y224" s="33" t="str">
        <f>IFERROR(__xludf.DUMMYFUNCTION("IF(IF(Y$1="""","""",REGEXMATCH(LOWER($E224),XLOOKUP(Y$1,Metadata!$A$2:$A1000,Metadata!$B$2:$B1000))),Y$1,"""")"),"")</f>
        <v/>
      </c>
      <c r="Z224" s="33" t="str">
        <f>IFERROR(__xludf.DUMMYFUNCTION("IF(IF(Z$1="""","""",REGEXMATCH(LOWER($E224),XLOOKUP(Z$1,Metadata!$A$2:$A1000,Metadata!$B$2:$B1000))),Z$1,"""")"),"")</f>
        <v/>
      </c>
      <c r="AA224" s="33" t="str">
        <f>IFERROR(__xludf.DUMMYFUNCTION("IF(AA$1="""","""",REGEXMATCH(LOWER($E224),XLOOKUP(AA$1,Metadata!$A$2:$A1000,Metadata!$B$2:$B1000)))"),"")</f>
        <v/>
      </c>
    </row>
    <row r="225">
      <c r="A225" s="33" t="str">
        <f>IFERROR(__xludf.DUMMYFUNCTION("""COMPUTED_VALUE"""),"Blossombeast")</f>
        <v>Blossombeast</v>
      </c>
      <c r="B225" s="33" t="str">
        <f t="array" ref="B225:I225">XLOOKUP($A225,Cards!$A$2:$A1000,Cards!$B$2:$I1000,"")</f>
        <v>Nature</v>
      </c>
      <c r="C225" s="33">
        <v>2.0</v>
      </c>
      <c r="D225" s="33" t="s">
        <v>1464</v>
      </c>
      <c r="E225" s="33" t="s">
        <v>1465</v>
      </c>
      <c r="F225" s="33" t="s">
        <v>219</v>
      </c>
      <c r="G225" s="33">
        <v>3.0</v>
      </c>
      <c r="H225" s="33" t="s">
        <v>1466</v>
      </c>
      <c r="I225" s="33" t="s">
        <v>32</v>
      </c>
      <c r="J225" s="33">
        <f>IFERROR(__xludf.DUMMYFUNCTION("LEN(REGEXREPLACE(XLOOKUP($A225,Cards!$A$2:$A1000,Cards!$H$2:$H1000,""""),"",\s"",""""))"),4.0)</f>
        <v>4</v>
      </c>
      <c r="K225" s="33" t="str">
        <f t="shared" si="1"/>
        <v>               </v>
      </c>
      <c r="L225" s="33" t="str">
        <f>IFERROR(__xludf.DUMMYFUNCTION("IF(IF(L$1="""","""",REGEXMATCH(LOWER($E225),XLOOKUP(L$1,Metadata!$A$2:$A1000,Metadata!$B$2:$B1000))),L$1,"""")"),"")</f>
        <v/>
      </c>
      <c r="M225" s="33" t="str">
        <f>IFERROR(__xludf.DUMMYFUNCTION("IF(IF(M$1="""","""",REGEXMATCH(LOWER($E225),XLOOKUP(M$1,Metadata!$A$2:$A1000,Metadata!$B$2:$B1000))),M$1,"""")"),"")</f>
        <v/>
      </c>
      <c r="N225" s="33" t="str">
        <f>IFERROR(__xludf.DUMMYFUNCTION("IF(IF(N$1="""","""",REGEXMATCH(LOWER($E225),XLOOKUP(N$1,Metadata!$A$2:$A1000,Metadata!$B$2:$B1000))),N$1,"""")"),"")</f>
        <v/>
      </c>
      <c r="O225" s="33" t="str">
        <f>IFERROR(__xludf.DUMMYFUNCTION("IF(IF(O$1="""","""",REGEXMATCH(LOWER($E225),XLOOKUP(O$1,Metadata!$A$2:$A1000,Metadata!$B$2:$B1000))),O$1,"""")"),"")</f>
        <v/>
      </c>
      <c r="P225" s="33" t="str">
        <f>IFERROR(__xludf.DUMMYFUNCTION("IF(IF(P$1="""","""",REGEXMATCH(LOWER($E225),XLOOKUP(P$1,Metadata!$A$2:$A1000,Metadata!$B$2:$B1000))),P$1,"""")"),"")</f>
        <v/>
      </c>
      <c r="Q225" s="33" t="str">
        <f>IFERROR(__xludf.DUMMYFUNCTION("IF(IF(Q$1="""","""",REGEXMATCH(LOWER($E225),XLOOKUP(Q$1,Metadata!$A$2:$A1000,Metadata!$B$2:$B1000))),Q$1,"""")"),"")</f>
        <v/>
      </c>
      <c r="R225" s="33" t="str">
        <f>IFERROR(__xludf.DUMMYFUNCTION("IF(IF(R$1="""","""",REGEXMATCH(LOWER($E225),XLOOKUP(R$1,Metadata!$A$2:$A1000,Metadata!$B$2:$B1000))),R$1,"""")"),"")</f>
        <v/>
      </c>
      <c r="S225" s="33" t="str">
        <f>IFERROR(__xludf.DUMMYFUNCTION("IF(IF(S$1="""","""",REGEXMATCH(LOWER($E225),XLOOKUP(S$1,Metadata!$A$2:$A1000,Metadata!$B$2:$B1000))),S$1,"""")"),"")</f>
        <v/>
      </c>
      <c r="T225" s="33" t="str">
        <f>IFERROR(__xludf.DUMMYFUNCTION("IF(IF(T$1="""","""",REGEXMATCH(LOWER($E225),XLOOKUP(T$1,Metadata!$A$2:$A1000,Metadata!$B$2:$B1000))),T$1,"""")"),"")</f>
        <v/>
      </c>
      <c r="U225" s="33" t="str">
        <f>IFERROR(__xludf.DUMMYFUNCTION("IF(IF(U$1="""","""",REGEXMATCH(LOWER($E225),XLOOKUP(U$1,Metadata!$A$2:$A1000,Metadata!$B$2:$B1000))),U$1,"""")"),"")</f>
        <v/>
      </c>
      <c r="V225" s="33" t="str">
        <f>IFERROR(__xludf.DUMMYFUNCTION("IF(IF(V$1="""","""",REGEXMATCH(LOWER($E225),XLOOKUP(V$1,Metadata!$A$2:$A1000,Metadata!$B$2:$B1000))),V$1,"""")"),"")</f>
        <v/>
      </c>
      <c r="W225" s="33" t="str">
        <f>IFERROR(__xludf.DUMMYFUNCTION("IF(IF(W$1="""","""",REGEXMATCH(LOWER($E225),XLOOKUP(W$1,Metadata!$A$2:$A1000,Metadata!$B$2:$B1000))),W$1,"""")"),"")</f>
        <v/>
      </c>
      <c r="X225" s="33" t="str">
        <f>IFERROR(__xludf.DUMMYFUNCTION("IF(IF(X$1="""","""",REGEXMATCH(LOWER($E225),XLOOKUP(X$1,Metadata!$A$2:$A1000,Metadata!$B$2:$B1000))),X$1,"""")"),"")</f>
        <v/>
      </c>
      <c r="Y225" s="33" t="str">
        <f>IFERROR(__xludf.DUMMYFUNCTION("IF(IF(Y$1="""","""",REGEXMATCH(LOWER($E225),XLOOKUP(Y$1,Metadata!$A$2:$A1000,Metadata!$B$2:$B1000))),Y$1,"""")"),"")</f>
        <v/>
      </c>
      <c r="Z225" s="33" t="str">
        <f>IFERROR(__xludf.DUMMYFUNCTION("IF(IF(Z$1="""","""",REGEXMATCH(LOWER($E225),XLOOKUP(Z$1,Metadata!$A$2:$A1000,Metadata!$B$2:$B1000))),Z$1,"""")"),"")</f>
        <v/>
      </c>
      <c r="AA225" s="33" t="str">
        <f>IFERROR(__xludf.DUMMYFUNCTION("IF(AA$1="""","""",REGEXMATCH(LOWER($E225),XLOOKUP(AA$1,Metadata!$A$2:$A1000,Metadata!$B$2:$B1000)))"),"")</f>
        <v/>
      </c>
    </row>
    <row r="226">
      <c r="A226" s="33" t="str">
        <f>IFERROR(__xludf.DUMMYFUNCTION("""COMPUTED_VALUE"""),"Bug Curator")</f>
        <v>Bug Curator</v>
      </c>
      <c r="B226" s="33" t="str">
        <f t="array" ref="B226:I226">XLOOKUP($A226,Cards!$A$2:$A1000,Cards!$B$2:$I1000,"")</f>
        <v>Nature</v>
      </c>
      <c r="C226" s="33">
        <v>2.0</v>
      </c>
      <c r="D226" s="33" t="s">
        <v>37</v>
      </c>
      <c r="E226" s="33" t="s">
        <v>1468</v>
      </c>
      <c r="F226" s="33" t="s">
        <v>1469</v>
      </c>
      <c r="G226" s="33">
        <v>2.0</v>
      </c>
      <c r="H226" s="33" t="s">
        <v>1470</v>
      </c>
      <c r="I226" s="33" t="s">
        <v>62</v>
      </c>
      <c r="J226" s="33">
        <f>IFERROR(__xludf.DUMMYFUNCTION("LEN(REGEXREPLACE(XLOOKUP($A226,Cards!$A$2:$A1000,Cards!$H$2:$H1000,""""),"",\s"",""""))"),3.0)</f>
        <v>3</v>
      </c>
      <c r="K226" s="33" t="str">
        <f t="shared" si="1"/>
        <v>               </v>
      </c>
      <c r="L226" s="33" t="str">
        <f>IFERROR(__xludf.DUMMYFUNCTION("IF(IF(L$1="""","""",REGEXMATCH(LOWER($E226),XLOOKUP(L$1,Metadata!$A$2:$A1000,Metadata!$B$2:$B1000))),L$1,"""")"),"")</f>
        <v/>
      </c>
      <c r="M226" s="33" t="str">
        <f>IFERROR(__xludf.DUMMYFUNCTION("IF(IF(M$1="""","""",REGEXMATCH(LOWER($E226),XLOOKUP(M$1,Metadata!$A$2:$A1000,Metadata!$B$2:$B1000))),M$1,"""")"),"")</f>
        <v/>
      </c>
      <c r="N226" s="33" t="str">
        <f>IFERROR(__xludf.DUMMYFUNCTION("IF(IF(N$1="""","""",REGEXMATCH(LOWER($E226),XLOOKUP(N$1,Metadata!$A$2:$A1000,Metadata!$B$2:$B1000))),N$1,"""")"),"")</f>
        <v/>
      </c>
      <c r="O226" s="33" t="str">
        <f>IFERROR(__xludf.DUMMYFUNCTION("IF(IF(O$1="""","""",REGEXMATCH(LOWER($E226),XLOOKUP(O$1,Metadata!$A$2:$A1000,Metadata!$B$2:$B1000))),O$1,"""")"),"")</f>
        <v/>
      </c>
      <c r="P226" s="33" t="str">
        <f>IFERROR(__xludf.DUMMYFUNCTION("IF(IF(P$1="""","""",REGEXMATCH(LOWER($E226),XLOOKUP(P$1,Metadata!$A$2:$A1000,Metadata!$B$2:$B1000))),P$1,"""")"),"")</f>
        <v/>
      </c>
      <c r="Q226" s="33" t="str">
        <f>IFERROR(__xludf.DUMMYFUNCTION("IF(IF(Q$1="""","""",REGEXMATCH(LOWER($E226),XLOOKUP(Q$1,Metadata!$A$2:$A1000,Metadata!$B$2:$B1000))),Q$1,"""")"),"")</f>
        <v/>
      </c>
      <c r="R226" s="33" t="str">
        <f>IFERROR(__xludf.DUMMYFUNCTION("IF(IF(R$1="""","""",REGEXMATCH(LOWER($E226),XLOOKUP(R$1,Metadata!$A$2:$A1000,Metadata!$B$2:$B1000))),R$1,"""")"),"")</f>
        <v/>
      </c>
      <c r="S226" s="33" t="str">
        <f>IFERROR(__xludf.DUMMYFUNCTION("IF(IF(S$1="""","""",REGEXMATCH(LOWER($E226),XLOOKUP(S$1,Metadata!$A$2:$A1000,Metadata!$B$2:$B1000))),S$1,"""")"),"")</f>
        <v/>
      </c>
      <c r="T226" s="33" t="str">
        <f>IFERROR(__xludf.DUMMYFUNCTION("IF(IF(T$1="""","""",REGEXMATCH(LOWER($E226),XLOOKUP(T$1,Metadata!$A$2:$A1000,Metadata!$B$2:$B1000))),T$1,"""")"),"")</f>
        <v/>
      </c>
      <c r="U226" s="33" t="str">
        <f>IFERROR(__xludf.DUMMYFUNCTION("IF(IF(U$1="""","""",REGEXMATCH(LOWER($E226),XLOOKUP(U$1,Metadata!$A$2:$A1000,Metadata!$B$2:$B1000))),U$1,"""")"),"")</f>
        <v/>
      </c>
      <c r="V226" s="33" t="str">
        <f>IFERROR(__xludf.DUMMYFUNCTION("IF(IF(V$1="""","""",REGEXMATCH(LOWER($E226),XLOOKUP(V$1,Metadata!$A$2:$A1000,Metadata!$B$2:$B1000))),V$1,"""")"),"")</f>
        <v/>
      </c>
      <c r="W226" s="33" t="str">
        <f>IFERROR(__xludf.DUMMYFUNCTION("IF(IF(W$1="""","""",REGEXMATCH(LOWER($E226),XLOOKUP(W$1,Metadata!$A$2:$A1000,Metadata!$B$2:$B1000))),W$1,"""")"),"")</f>
        <v/>
      </c>
      <c r="X226" s="33" t="str">
        <f>IFERROR(__xludf.DUMMYFUNCTION("IF(IF(X$1="""","""",REGEXMATCH(LOWER($E226),XLOOKUP(X$1,Metadata!$A$2:$A1000,Metadata!$B$2:$B1000))),X$1,"""")"),"")</f>
        <v/>
      </c>
      <c r="Y226" s="33" t="str">
        <f>IFERROR(__xludf.DUMMYFUNCTION("IF(IF(Y$1="""","""",REGEXMATCH(LOWER($E226),XLOOKUP(Y$1,Metadata!$A$2:$A1000,Metadata!$B$2:$B1000))),Y$1,"""")"),"")</f>
        <v/>
      </c>
      <c r="Z226" s="33" t="str">
        <f>IFERROR(__xludf.DUMMYFUNCTION("IF(IF(Z$1="""","""",REGEXMATCH(LOWER($E226),XLOOKUP(Z$1,Metadata!$A$2:$A1000,Metadata!$B$2:$B1000))),Z$1,"""")"),"")</f>
        <v/>
      </c>
      <c r="AA226" s="33" t="str">
        <f>IFERROR(__xludf.DUMMYFUNCTION("IF(AA$1="""","""",REGEXMATCH(LOWER($E226),XLOOKUP(AA$1,Metadata!$A$2:$A1000,Metadata!$B$2:$B1000)))"),"")</f>
        <v/>
      </c>
    </row>
    <row r="227">
      <c r="A227" s="33" t="str">
        <f>IFERROR(__xludf.DUMMYFUNCTION("""COMPUTED_VALUE"""),"Buzzing Hivetitan")</f>
        <v>Buzzing Hivetitan</v>
      </c>
      <c r="B227" s="33" t="str">
        <f t="array" ref="B227:I227">XLOOKUP($A227,Cards!$A$2:$A1000,Cards!$B$2:$I1000,"")</f>
        <v>Nature</v>
      </c>
      <c r="C227" s="33">
        <v>2.0</v>
      </c>
      <c r="D227" s="33" t="s">
        <v>1472</v>
      </c>
      <c r="E227" s="33" t="s">
        <v>1473</v>
      </c>
      <c r="F227" s="33" t="s">
        <v>1474</v>
      </c>
      <c r="G227" s="33">
        <v>5.0</v>
      </c>
      <c r="H227" s="33" t="s">
        <v>1475</v>
      </c>
      <c r="I227" s="33" t="s">
        <v>62</v>
      </c>
      <c r="J227" s="33">
        <f>IFERROR(__xludf.DUMMYFUNCTION("LEN(REGEXREPLACE(XLOOKUP($A227,Cards!$A$2:$A1000,Cards!$H$2:$H1000,""""),"",\s"",""""))"),6.0)</f>
        <v>6</v>
      </c>
      <c r="K227" s="33" t="str">
        <f t="shared" si="1"/>
        <v>      Ramp   Aggro      </v>
      </c>
      <c r="L227" s="33" t="str">
        <f>IFERROR(__xludf.DUMMYFUNCTION("IF(IF(L$1="""","""",REGEXMATCH(LOWER($E227),XLOOKUP(L$1,Metadata!$A$2:$A1000,Metadata!$B$2:$B1000))),L$1,"""")"),"")</f>
        <v/>
      </c>
      <c r="M227" s="33" t="str">
        <f>IFERROR(__xludf.DUMMYFUNCTION("IF(IF(M$1="""","""",REGEXMATCH(LOWER($E227),XLOOKUP(M$1,Metadata!$A$2:$A1000,Metadata!$B$2:$B1000))),M$1,"""")"),"")</f>
        <v/>
      </c>
      <c r="N227" s="33" t="str">
        <f>IFERROR(__xludf.DUMMYFUNCTION("IF(IF(N$1="""","""",REGEXMATCH(LOWER($E227),XLOOKUP(N$1,Metadata!$A$2:$A1000,Metadata!$B$2:$B1000))),N$1,"""")"),"")</f>
        <v/>
      </c>
      <c r="O227" s="33" t="str">
        <f>IFERROR(__xludf.DUMMYFUNCTION("IF(IF(O$1="""","""",REGEXMATCH(LOWER($E227),XLOOKUP(O$1,Metadata!$A$2:$A1000,Metadata!$B$2:$B1000))),O$1,"""")"),"")</f>
        <v/>
      </c>
      <c r="P227" s="33" t="str">
        <f>IFERROR(__xludf.DUMMYFUNCTION("IF(IF(P$1="""","""",REGEXMATCH(LOWER($E227),XLOOKUP(P$1,Metadata!$A$2:$A1000,Metadata!$B$2:$B1000))),P$1,"""")"),"")</f>
        <v/>
      </c>
      <c r="Q227" s="33" t="str">
        <f>IFERROR(__xludf.DUMMYFUNCTION("IF(IF(Q$1="""","""",REGEXMATCH(LOWER($E227),XLOOKUP(Q$1,Metadata!$A$2:$A1000,Metadata!$B$2:$B1000))),Q$1,"""")"),"")</f>
        <v/>
      </c>
      <c r="R227" s="33" t="str">
        <f>IFERROR(__xludf.DUMMYFUNCTION("IF(IF(R$1="""","""",REGEXMATCH(LOWER($E227),XLOOKUP(R$1,Metadata!$A$2:$A1000,Metadata!$B$2:$B1000))),R$1,"""")"),"Ramp")</f>
        <v>Ramp</v>
      </c>
      <c r="S227" s="33" t="str">
        <f>IFERROR(__xludf.DUMMYFUNCTION("IF(IF(S$1="""","""",REGEXMATCH(LOWER($E227),XLOOKUP(S$1,Metadata!$A$2:$A1000,Metadata!$B$2:$B1000))),S$1,"""")"),"")</f>
        <v/>
      </c>
      <c r="T227" s="33" t="str">
        <f>IFERROR(__xludf.DUMMYFUNCTION("IF(IF(T$1="""","""",REGEXMATCH(LOWER($E227),XLOOKUP(T$1,Metadata!$A$2:$A1000,Metadata!$B$2:$B1000))),T$1,"""")"),"")</f>
        <v/>
      </c>
      <c r="U227" s="33" t="str">
        <f>IFERROR(__xludf.DUMMYFUNCTION("IF(IF(U$1="""","""",REGEXMATCH(LOWER($E227),XLOOKUP(U$1,Metadata!$A$2:$A1000,Metadata!$B$2:$B1000))),U$1,"""")"),"Aggro")</f>
        <v>Aggro</v>
      </c>
      <c r="V227" s="33" t="str">
        <f>IFERROR(__xludf.DUMMYFUNCTION("IF(IF(V$1="""","""",REGEXMATCH(LOWER($E227),XLOOKUP(V$1,Metadata!$A$2:$A1000,Metadata!$B$2:$B1000))),V$1,"""")"),"")</f>
        <v/>
      </c>
      <c r="W227" s="33" t="str">
        <f>IFERROR(__xludf.DUMMYFUNCTION("IF(IF(W$1="""","""",REGEXMATCH(LOWER($E227),XLOOKUP(W$1,Metadata!$A$2:$A1000,Metadata!$B$2:$B1000))),W$1,"""")"),"")</f>
        <v/>
      </c>
      <c r="X227" s="33" t="str">
        <f>IFERROR(__xludf.DUMMYFUNCTION("IF(IF(X$1="""","""",REGEXMATCH(LOWER($E227),XLOOKUP(X$1,Metadata!$A$2:$A1000,Metadata!$B$2:$B1000))),X$1,"""")"),"")</f>
        <v/>
      </c>
      <c r="Y227" s="33" t="str">
        <f>IFERROR(__xludf.DUMMYFUNCTION("IF(IF(Y$1="""","""",REGEXMATCH(LOWER($E227),XLOOKUP(Y$1,Metadata!$A$2:$A1000,Metadata!$B$2:$B1000))),Y$1,"""")"),"")</f>
        <v/>
      </c>
      <c r="Z227" s="33" t="str">
        <f>IFERROR(__xludf.DUMMYFUNCTION("IF(IF(Z$1="""","""",REGEXMATCH(LOWER($E227),XLOOKUP(Z$1,Metadata!$A$2:$A1000,Metadata!$B$2:$B1000))),Z$1,"""")"),"")</f>
        <v/>
      </c>
      <c r="AA227" s="33" t="str">
        <f>IFERROR(__xludf.DUMMYFUNCTION("IF(AA$1="""","""",REGEXMATCH(LOWER($E227),XLOOKUP(AA$1,Metadata!$A$2:$A1000,Metadata!$B$2:$B1000)))"),"")</f>
        <v/>
      </c>
    </row>
    <row r="228">
      <c r="A228" s="33" t="str">
        <f>IFERROR(__xludf.DUMMYFUNCTION("""COMPUTED_VALUE"""),"Caleidoscope Spider")</f>
        <v>Caleidoscope Spider</v>
      </c>
      <c r="B228" s="33" t="str">
        <f t="array" ref="B228:I228">XLOOKUP($A228,Cards!$A$2:$A1000,Cards!$B$2:$I1000,"")</f>
        <v>Nature</v>
      </c>
      <c r="C228" s="33">
        <v>2.0</v>
      </c>
      <c r="D228" s="33" t="s">
        <v>1477</v>
      </c>
      <c r="E228" s="33" t="s">
        <v>1478</v>
      </c>
      <c r="F228" s="33" t="s">
        <v>192</v>
      </c>
      <c r="G228" s="33">
        <v>4.0</v>
      </c>
      <c r="H228" s="33" t="s">
        <v>1466</v>
      </c>
      <c r="I228" s="33" t="s">
        <v>26</v>
      </c>
      <c r="J228" s="33">
        <f>IFERROR(__xludf.DUMMYFUNCTION("LEN(REGEXREPLACE(XLOOKUP($A228,Cards!$A$2:$A1000,Cards!$H$2:$H1000,""""),"",\s"",""""))"),4.0)</f>
        <v>4</v>
      </c>
      <c r="K228" s="33" t="str">
        <f t="shared" si="1"/>
        <v>     Unearth      Move Ambush   </v>
      </c>
      <c r="L228" s="33" t="str">
        <f>IFERROR(__xludf.DUMMYFUNCTION("IF(IF(L$1="""","""",REGEXMATCH(LOWER($E228),XLOOKUP(L$1,Metadata!$A$2:$A1000,Metadata!$B$2:$B1000))),L$1,"""")"),"")</f>
        <v/>
      </c>
      <c r="M228" s="33" t="str">
        <f>IFERROR(__xludf.DUMMYFUNCTION("IF(IF(M$1="""","""",REGEXMATCH(LOWER($E228),XLOOKUP(M$1,Metadata!$A$2:$A1000,Metadata!$B$2:$B1000))),M$1,"""")"),"")</f>
        <v/>
      </c>
      <c r="N228" s="33" t="str">
        <f>IFERROR(__xludf.DUMMYFUNCTION("IF(IF(N$1="""","""",REGEXMATCH(LOWER($E228),XLOOKUP(N$1,Metadata!$A$2:$A1000,Metadata!$B$2:$B1000))),N$1,"""")"),"")</f>
        <v/>
      </c>
      <c r="O228" s="33" t="str">
        <f>IFERROR(__xludf.DUMMYFUNCTION("IF(IF(O$1="""","""",REGEXMATCH(LOWER($E228),XLOOKUP(O$1,Metadata!$A$2:$A1000,Metadata!$B$2:$B1000))),O$1,"""")"),"")</f>
        <v/>
      </c>
      <c r="P228" s="33" t="str">
        <f>IFERROR(__xludf.DUMMYFUNCTION("IF(IF(P$1="""","""",REGEXMATCH(LOWER($E228),XLOOKUP(P$1,Metadata!$A$2:$A1000,Metadata!$B$2:$B1000))),P$1,"""")"),"")</f>
        <v/>
      </c>
      <c r="Q228" s="33" t="str">
        <f>IFERROR(__xludf.DUMMYFUNCTION("IF(IF(Q$1="""","""",REGEXMATCH(LOWER($E228),XLOOKUP(Q$1,Metadata!$A$2:$A1000,Metadata!$B$2:$B1000))),Q$1,"""")"),"Unearth")</f>
        <v>Unearth</v>
      </c>
      <c r="R228" s="33" t="str">
        <f>IFERROR(__xludf.DUMMYFUNCTION("IF(IF(R$1="""","""",REGEXMATCH(LOWER($E228),XLOOKUP(R$1,Metadata!$A$2:$A1000,Metadata!$B$2:$B1000))),R$1,"""")"),"")</f>
        <v/>
      </c>
      <c r="S228" s="33" t="str">
        <f>IFERROR(__xludf.DUMMYFUNCTION("IF(IF(S$1="""","""",REGEXMATCH(LOWER($E228),XLOOKUP(S$1,Metadata!$A$2:$A1000,Metadata!$B$2:$B1000))),S$1,"""")"),"")</f>
        <v/>
      </c>
      <c r="T228" s="33" t="str">
        <f>IFERROR(__xludf.DUMMYFUNCTION("IF(IF(T$1="""","""",REGEXMATCH(LOWER($E228),XLOOKUP(T$1,Metadata!$A$2:$A1000,Metadata!$B$2:$B1000))),T$1,"""")"),"")</f>
        <v/>
      </c>
      <c r="U228" s="33" t="str">
        <f>IFERROR(__xludf.DUMMYFUNCTION("IF(IF(U$1="""","""",REGEXMATCH(LOWER($E228),XLOOKUP(U$1,Metadata!$A$2:$A1000,Metadata!$B$2:$B1000))),U$1,"""")"),"")</f>
        <v/>
      </c>
      <c r="V228" s="33" t="str">
        <f>IFERROR(__xludf.DUMMYFUNCTION("IF(IF(V$1="""","""",REGEXMATCH(LOWER($E228),XLOOKUP(V$1,Metadata!$A$2:$A1000,Metadata!$B$2:$B1000))),V$1,"""")"),"")</f>
        <v/>
      </c>
      <c r="W228" s="33" t="str">
        <f>IFERROR(__xludf.DUMMYFUNCTION("IF(IF(W$1="""","""",REGEXMATCH(LOWER($E228),XLOOKUP(W$1,Metadata!$A$2:$A1000,Metadata!$B$2:$B1000))),W$1,"""")"),"Move")</f>
        <v>Move</v>
      </c>
      <c r="X228" s="33" t="str">
        <f>IFERROR(__xludf.DUMMYFUNCTION("IF(IF(X$1="""","""",REGEXMATCH(LOWER($E228),XLOOKUP(X$1,Metadata!$A$2:$A1000,Metadata!$B$2:$B1000))),X$1,"""")"),"Ambush")</f>
        <v>Ambush</v>
      </c>
      <c r="Y228" s="33" t="str">
        <f>IFERROR(__xludf.DUMMYFUNCTION("IF(IF(Y$1="""","""",REGEXMATCH(LOWER($E228),XLOOKUP(Y$1,Metadata!$A$2:$A1000,Metadata!$B$2:$B1000))),Y$1,"""")"),"")</f>
        <v/>
      </c>
      <c r="Z228" s="33" t="str">
        <f>IFERROR(__xludf.DUMMYFUNCTION("IF(IF(Z$1="""","""",REGEXMATCH(LOWER($E228),XLOOKUP(Z$1,Metadata!$A$2:$A1000,Metadata!$B$2:$B1000))),Z$1,"""")"),"")</f>
        <v/>
      </c>
      <c r="AA228" s="33" t="str">
        <f>IFERROR(__xludf.DUMMYFUNCTION("IF(AA$1="""","""",REGEXMATCH(LOWER($E228),XLOOKUP(AA$1,Metadata!$A$2:$A1000,Metadata!$B$2:$B1000)))"),"")</f>
        <v/>
      </c>
    </row>
    <row r="229">
      <c r="A229" s="33" t="str">
        <f>IFERROR(__xludf.DUMMYFUNCTION("""COMPUTED_VALUE"""),"Cinderguard Emberblade")</f>
        <v>Cinderguard Emberblade</v>
      </c>
      <c r="B229" s="33" t="str">
        <f t="array" ref="B229:I229">XLOOKUP($A229,Cards!$A$2:$A1000,Cards!$B$2:$I1000,"")</f>
        <v>Mortal</v>
      </c>
      <c r="C229" s="33">
        <v>1.0</v>
      </c>
      <c r="D229" s="33" t="s">
        <v>394</v>
      </c>
      <c r="E229" s="33" t="s">
        <v>1480</v>
      </c>
      <c r="F229" s="33"/>
      <c r="G229" s="33">
        <v>7.0</v>
      </c>
      <c r="H229" s="33" t="s">
        <v>1449</v>
      </c>
      <c r="I229" s="33" t="s">
        <v>32</v>
      </c>
      <c r="J229" s="33">
        <f>IFERROR(__xludf.DUMMYFUNCTION("LEN(REGEXREPLACE(XLOOKUP($A229,Cards!$A$2:$A1000,Cards!$H$2:$H1000,""""),"",\s"",""""))"),6.0)</f>
        <v>6</v>
      </c>
      <c r="K229" s="33" t="str">
        <f t="shared" si="1"/>
        <v>       Control     Ambush   </v>
      </c>
      <c r="L229" s="33" t="str">
        <f>IFERROR(__xludf.DUMMYFUNCTION("IF(IF(L$1="""","""",REGEXMATCH(LOWER($E229),XLOOKUP(L$1,Metadata!$A$2:$A1000,Metadata!$B$2:$B1000))),L$1,"""")"),"")</f>
        <v/>
      </c>
      <c r="M229" s="33" t="str">
        <f>IFERROR(__xludf.DUMMYFUNCTION("IF(IF(M$1="""","""",REGEXMATCH(LOWER($E229),XLOOKUP(M$1,Metadata!$A$2:$A1000,Metadata!$B$2:$B1000))),M$1,"""")"),"")</f>
        <v/>
      </c>
      <c r="N229" s="33" t="str">
        <f>IFERROR(__xludf.DUMMYFUNCTION("IF(IF(N$1="""","""",REGEXMATCH(LOWER($E229),XLOOKUP(N$1,Metadata!$A$2:$A1000,Metadata!$B$2:$B1000))),N$1,"""")"),"")</f>
        <v/>
      </c>
      <c r="O229" s="33" t="str">
        <f>IFERROR(__xludf.DUMMYFUNCTION("IF(IF(O$1="""","""",REGEXMATCH(LOWER($E229),XLOOKUP(O$1,Metadata!$A$2:$A1000,Metadata!$B$2:$B1000))),O$1,"""")"),"")</f>
        <v/>
      </c>
      <c r="P229" s="33" t="str">
        <f>IFERROR(__xludf.DUMMYFUNCTION("IF(IF(P$1="""","""",REGEXMATCH(LOWER($E229),XLOOKUP(P$1,Metadata!$A$2:$A1000,Metadata!$B$2:$B1000))),P$1,"""")"),"")</f>
        <v/>
      </c>
      <c r="Q229" s="33" t="str">
        <f>IFERROR(__xludf.DUMMYFUNCTION("IF(IF(Q$1="""","""",REGEXMATCH(LOWER($E229),XLOOKUP(Q$1,Metadata!$A$2:$A1000,Metadata!$B$2:$B1000))),Q$1,"""")"),"")</f>
        <v/>
      </c>
      <c r="R229" s="33" t="str">
        <f>IFERROR(__xludf.DUMMYFUNCTION("IF(IF(R$1="""","""",REGEXMATCH(LOWER($E229),XLOOKUP(R$1,Metadata!$A$2:$A1000,Metadata!$B$2:$B1000))),R$1,"""")"),"")</f>
        <v/>
      </c>
      <c r="S229" s="33" t="str">
        <f>IFERROR(__xludf.DUMMYFUNCTION("IF(IF(S$1="""","""",REGEXMATCH(LOWER($E229),XLOOKUP(S$1,Metadata!$A$2:$A1000,Metadata!$B$2:$B1000))),S$1,"""")"),"Control")</f>
        <v>Control</v>
      </c>
      <c r="T229" s="33" t="str">
        <f>IFERROR(__xludf.DUMMYFUNCTION("IF(IF(T$1="""","""",REGEXMATCH(LOWER($E229),XLOOKUP(T$1,Metadata!$A$2:$A1000,Metadata!$B$2:$B1000))),T$1,"""")"),"")</f>
        <v/>
      </c>
      <c r="U229" s="33" t="str">
        <f>IFERROR(__xludf.DUMMYFUNCTION("IF(IF(U$1="""","""",REGEXMATCH(LOWER($E229),XLOOKUP(U$1,Metadata!$A$2:$A1000,Metadata!$B$2:$B1000))),U$1,"""")"),"")</f>
        <v/>
      </c>
      <c r="V229" s="33" t="str">
        <f>IFERROR(__xludf.DUMMYFUNCTION("IF(IF(V$1="""","""",REGEXMATCH(LOWER($E229),XLOOKUP(V$1,Metadata!$A$2:$A1000,Metadata!$B$2:$B1000))),V$1,"""")"),"")</f>
        <v/>
      </c>
      <c r="W229" s="33" t="str">
        <f>IFERROR(__xludf.DUMMYFUNCTION("IF(IF(W$1="""","""",REGEXMATCH(LOWER($E229),XLOOKUP(W$1,Metadata!$A$2:$A1000,Metadata!$B$2:$B1000))),W$1,"""")"),"")</f>
        <v/>
      </c>
      <c r="X229" s="33" t="str">
        <f>IFERROR(__xludf.DUMMYFUNCTION("IF(IF(X$1="""","""",REGEXMATCH(LOWER($E229),XLOOKUP(X$1,Metadata!$A$2:$A1000,Metadata!$B$2:$B1000))),X$1,"""")"),"Ambush")</f>
        <v>Ambush</v>
      </c>
      <c r="Y229" s="33" t="str">
        <f>IFERROR(__xludf.DUMMYFUNCTION("IF(IF(Y$1="""","""",REGEXMATCH(LOWER($E229),XLOOKUP(Y$1,Metadata!$A$2:$A1000,Metadata!$B$2:$B1000))),Y$1,"""")"),"")</f>
        <v/>
      </c>
      <c r="Z229" s="33" t="str">
        <f>IFERROR(__xludf.DUMMYFUNCTION("IF(IF(Z$1="""","""",REGEXMATCH(LOWER($E229),XLOOKUP(Z$1,Metadata!$A$2:$A1000,Metadata!$B$2:$B1000))),Z$1,"""")"),"")</f>
        <v/>
      </c>
      <c r="AA229" s="33" t="str">
        <f>IFERROR(__xludf.DUMMYFUNCTION("IF(AA$1="""","""",REGEXMATCH(LOWER($E229),XLOOKUP(AA$1,Metadata!$A$2:$A1000,Metadata!$B$2:$B1000)))"),"")</f>
        <v/>
      </c>
    </row>
    <row r="230">
      <c r="A230" s="33" t="str">
        <f>IFERROR(__xludf.DUMMYFUNCTION("""COMPUTED_VALUE"""),"Senatorial Phalanx")</f>
        <v>Senatorial Phalanx</v>
      </c>
      <c r="B230" s="33" t="str">
        <f t="array" ref="B230:I230">XLOOKUP($A230,Cards!$A$2:$A1000,Cards!$B$2:$I1000,"")</f>
        <v>Mortal</v>
      </c>
      <c r="C230" s="33">
        <v>1.0</v>
      </c>
      <c r="D230" s="33" t="s">
        <v>229</v>
      </c>
      <c r="E230" s="33" t="s">
        <v>1482</v>
      </c>
      <c r="F230" s="33"/>
      <c r="G230" s="33">
        <v>3.0</v>
      </c>
      <c r="H230" s="33" t="s">
        <v>995</v>
      </c>
      <c r="I230" s="33" t="s">
        <v>32</v>
      </c>
      <c r="J230" s="33">
        <f>IFERROR(__xludf.DUMMYFUNCTION("LEN(REGEXREPLACE(XLOOKUP($A230,Cards!$A$2:$A1000,Cards!$H$2:$H1000,""""),"",\s"",""""))"),2.0)</f>
        <v>2</v>
      </c>
      <c r="K230" s="33" t="str">
        <f t="shared" si="1"/>
        <v>         Aggro      </v>
      </c>
      <c r="L230" s="33" t="str">
        <f>IFERROR(__xludf.DUMMYFUNCTION("IF(IF(L$1="""","""",REGEXMATCH(LOWER($E230),XLOOKUP(L$1,Metadata!$A$2:$A1000,Metadata!$B$2:$B1000))),L$1,"""")"),"")</f>
        <v/>
      </c>
      <c r="M230" s="33" t="str">
        <f>IFERROR(__xludf.DUMMYFUNCTION("IF(IF(M$1="""","""",REGEXMATCH(LOWER($E230),XLOOKUP(M$1,Metadata!$A$2:$A1000,Metadata!$B$2:$B1000))),M$1,"""")"),"")</f>
        <v/>
      </c>
      <c r="N230" s="33" t="str">
        <f>IFERROR(__xludf.DUMMYFUNCTION("IF(IF(N$1="""","""",REGEXMATCH(LOWER($E230),XLOOKUP(N$1,Metadata!$A$2:$A1000,Metadata!$B$2:$B1000))),N$1,"""")"),"")</f>
        <v/>
      </c>
      <c r="O230" s="33" t="str">
        <f>IFERROR(__xludf.DUMMYFUNCTION("IF(IF(O$1="""","""",REGEXMATCH(LOWER($E230),XLOOKUP(O$1,Metadata!$A$2:$A1000,Metadata!$B$2:$B1000))),O$1,"""")"),"")</f>
        <v/>
      </c>
      <c r="P230" s="33" t="str">
        <f>IFERROR(__xludf.DUMMYFUNCTION("IF(IF(P$1="""","""",REGEXMATCH(LOWER($E230),XLOOKUP(P$1,Metadata!$A$2:$A1000,Metadata!$B$2:$B1000))),P$1,"""")"),"")</f>
        <v/>
      </c>
      <c r="Q230" s="33" t="str">
        <f>IFERROR(__xludf.DUMMYFUNCTION("IF(IF(Q$1="""","""",REGEXMATCH(LOWER($E230),XLOOKUP(Q$1,Metadata!$A$2:$A1000,Metadata!$B$2:$B1000))),Q$1,"""")"),"")</f>
        <v/>
      </c>
      <c r="R230" s="33" t="str">
        <f>IFERROR(__xludf.DUMMYFUNCTION("IF(IF(R$1="""","""",REGEXMATCH(LOWER($E230),XLOOKUP(R$1,Metadata!$A$2:$A1000,Metadata!$B$2:$B1000))),R$1,"""")"),"")</f>
        <v/>
      </c>
      <c r="S230" s="33" t="str">
        <f>IFERROR(__xludf.DUMMYFUNCTION("IF(IF(S$1="""","""",REGEXMATCH(LOWER($E230),XLOOKUP(S$1,Metadata!$A$2:$A1000,Metadata!$B$2:$B1000))),S$1,"""")"),"")</f>
        <v/>
      </c>
      <c r="T230" s="33" t="str">
        <f>IFERROR(__xludf.DUMMYFUNCTION("IF(IF(T$1="""","""",REGEXMATCH(LOWER($E230),XLOOKUP(T$1,Metadata!$A$2:$A1000,Metadata!$B$2:$B1000))),T$1,"""")"),"")</f>
        <v/>
      </c>
      <c r="U230" s="33" t="str">
        <f>IFERROR(__xludf.DUMMYFUNCTION("IF(IF(U$1="""","""",REGEXMATCH(LOWER($E230),XLOOKUP(U$1,Metadata!$A$2:$A1000,Metadata!$B$2:$B1000))),U$1,"""")"),"Aggro")</f>
        <v>Aggro</v>
      </c>
      <c r="V230" s="33" t="str">
        <f>IFERROR(__xludf.DUMMYFUNCTION("IF(IF(V$1="""","""",REGEXMATCH(LOWER($E230),XLOOKUP(V$1,Metadata!$A$2:$A1000,Metadata!$B$2:$B1000))),V$1,"""")"),"")</f>
        <v/>
      </c>
      <c r="W230" s="33" t="str">
        <f>IFERROR(__xludf.DUMMYFUNCTION("IF(IF(W$1="""","""",REGEXMATCH(LOWER($E230),XLOOKUP(W$1,Metadata!$A$2:$A1000,Metadata!$B$2:$B1000))),W$1,"""")"),"")</f>
        <v/>
      </c>
      <c r="X230" s="33" t="str">
        <f>IFERROR(__xludf.DUMMYFUNCTION("IF(IF(X$1="""","""",REGEXMATCH(LOWER($E230),XLOOKUP(X$1,Metadata!$A$2:$A1000,Metadata!$B$2:$B1000))),X$1,"""")"),"")</f>
        <v/>
      </c>
      <c r="Y230" s="33" t="str">
        <f>IFERROR(__xludf.DUMMYFUNCTION("IF(IF(Y$1="""","""",REGEXMATCH(LOWER($E230),XLOOKUP(Y$1,Metadata!$A$2:$A1000,Metadata!$B$2:$B1000))),Y$1,"""")"),"")</f>
        <v/>
      </c>
      <c r="Z230" s="33" t="str">
        <f>IFERROR(__xludf.DUMMYFUNCTION("IF(IF(Z$1="""","""",REGEXMATCH(LOWER($E230),XLOOKUP(Z$1,Metadata!$A$2:$A1000,Metadata!$B$2:$B1000))),Z$1,"""")"),"")</f>
        <v/>
      </c>
      <c r="AA230" s="33" t="str">
        <f>IFERROR(__xludf.DUMMYFUNCTION("IF(AA$1="""","""",REGEXMATCH(LOWER($E230),XLOOKUP(AA$1,Metadata!$A$2:$A1000,Metadata!$B$2:$B1000)))"),"")</f>
        <v/>
      </c>
    </row>
    <row r="231">
      <c r="A231" s="33" t="str">
        <f>IFERROR(__xludf.DUMMYFUNCTION("""COMPUTED_VALUE"""),"Ferromancer")</f>
        <v>Ferromancer</v>
      </c>
      <c r="B231" s="33" t="str">
        <f t="array" ref="B231:I231">XLOOKUP($A231,Cards!$A$2:$A1000,Cards!$B$2:$I1000,"")</f>
        <v>Mortal</v>
      </c>
      <c r="C231" s="33">
        <v>1.0</v>
      </c>
      <c r="D231" s="33" t="s">
        <v>294</v>
      </c>
      <c r="E231" s="33" t="s">
        <v>1484</v>
      </c>
      <c r="F231" s="33"/>
      <c r="G231" s="33">
        <v>2.0</v>
      </c>
      <c r="H231" s="33" t="s">
        <v>1107</v>
      </c>
      <c r="I231" s="33" t="s">
        <v>32</v>
      </c>
      <c r="J231" s="33">
        <f>IFERROR(__xludf.DUMMYFUNCTION("LEN(REGEXREPLACE(XLOOKUP($A231,Cards!$A$2:$A1000,Cards!$H$2:$H1000,""""),"",\s"",""""))"),1.0)</f>
        <v>1</v>
      </c>
      <c r="K231" s="33" t="str">
        <f t="shared" si="1"/>
        <v>        Copy Aggro      </v>
      </c>
      <c r="L231" s="33" t="str">
        <f>IFERROR(__xludf.DUMMYFUNCTION("IF(IF(L$1="""","""",REGEXMATCH(LOWER($E231),XLOOKUP(L$1,Metadata!$A$2:$A1000,Metadata!$B$2:$B1000))),L$1,"""")"),"")</f>
        <v/>
      </c>
      <c r="M231" s="33" t="str">
        <f>IFERROR(__xludf.DUMMYFUNCTION("IF(IF(M$1="""","""",REGEXMATCH(LOWER($E231),XLOOKUP(M$1,Metadata!$A$2:$A1000,Metadata!$B$2:$B1000))),M$1,"""")"),"")</f>
        <v/>
      </c>
      <c r="N231" s="33" t="str">
        <f>IFERROR(__xludf.DUMMYFUNCTION("IF(IF(N$1="""","""",REGEXMATCH(LOWER($E231),XLOOKUP(N$1,Metadata!$A$2:$A1000,Metadata!$B$2:$B1000))),N$1,"""")"),"")</f>
        <v/>
      </c>
      <c r="O231" s="33" t="str">
        <f>IFERROR(__xludf.DUMMYFUNCTION("IF(IF(O$1="""","""",REGEXMATCH(LOWER($E231),XLOOKUP(O$1,Metadata!$A$2:$A1000,Metadata!$B$2:$B1000))),O$1,"""")"),"")</f>
        <v/>
      </c>
      <c r="P231" s="33" t="str">
        <f>IFERROR(__xludf.DUMMYFUNCTION("IF(IF(P$1="""","""",REGEXMATCH(LOWER($E231),XLOOKUP(P$1,Metadata!$A$2:$A1000,Metadata!$B$2:$B1000))),P$1,"""")"),"")</f>
        <v/>
      </c>
      <c r="Q231" s="33" t="str">
        <f>IFERROR(__xludf.DUMMYFUNCTION("IF(IF(Q$1="""","""",REGEXMATCH(LOWER($E231),XLOOKUP(Q$1,Metadata!$A$2:$A1000,Metadata!$B$2:$B1000))),Q$1,"""")"),"")</f>
        <v/>
      </c>
      <c r="R231" s="33" t="str">
        <f>IFERROR(__xludf.DUMMYFUNCTION("IF(IF(R$1="""","""",REGEXMATCH(LOWER($E231),XLOOKUP(R$1,Metadata!$A$2:$A1000,Metadata!$B$2:$B1000))),R$1,"""")"),"")</f>
        <v/>
      </c>
      <c r="S231" s="33" t="str">
        <f>IFERROR(__xludf.DUMMYFUNCTION("IF(IF(S$1="""","""",REGEXMATCH(LOWER($E231),XLOOKUP(S$1,Metadata!$A$2:$A1000,Metadata!$B$2:$B1000))),S$1,"""")"),"")</f>
        <v/>
      </c>
      <c r="T231" s="33" t="str">
        <f>IFERROR(__xludf.DUMMYFUNCTION("IF(IF(T$1="""","""",REGEXMATCH(LOWER($E231),XLOOKUP(T$1,Metadata!$A$2:$A1000,Metadata!$B$2:$B1000))),T$1,"""")"),"Copy")</f>
        <v>Copy</v>
      </c>
      <c r="U231" s="33" t="str">
        <f>IFERROR(__xludf.DUMMYFUNCTION("IF(IF(U$1="""","""",REGEXMATCH(LOWER($E231),XLOOKUP(U$1,Metadata!$A$2:$A1000,Metadata!$B$2:$B1000))),U$1,"""")"),"Aggro")</f>
        <v>Aggro</v>
      </c>
      <c r="V231" s="33" t="str">
        <f>IFERROR(__xludf.DUMMYFUNCTION("IF(IF(V$1="""","""",REGEXMATCH(LOWER($E231),XLOOKUP(V$1,Metadata!$A$2:$A1000,Metadata!$B$2:$B1000))),V$1,"""")"),"")</f>
        <v/>
      </c>
      <c r="W231" s="33" t="str">
        <f>IFERROR(__xludf.DUMMYFUNCTION("IF(IF(W$1="""","""",REGEXMATCH(LOWER($E231),XLOOKUP(W$1,Metadata!$A$2:$A1000,Metadata!$B$2:$B1000))),W$1,"""")"),"")</f>
        <v/>
      </c>
      <c r="X231" s="33" t="str">
        <f>IFERROR(__xludf.DUMMYFUNCTION("IF(IF(X$1="""","""",REGEXMATCH(LOWER($E231),XLOOKUP(X$1,Metadata!$A$2:$A1000,Metadata!$B$2:$B1000))),X$1,"""")"),"")</f>
        <v/>
      </c>
      <c r="Y231" s="33" t="str">
        <f>IFERROR(__xludf.DUMMYFUNCTION("IF(IF(Y$1="""","""",REGEXMATCH(LOWER($E231),XLOOKUP(Y$1,Metadata!$A$2:$A1000,Metadata!$B$2:$B1000))),Y$1,"""")"),"")</f>
        <v/>
      </c>
      <c r="Z231" s="33" t="str">
        <f>IFERROR(__xludf.DUMMYFUNCTION("IF(IF(Z$1="""","""",REGEXMATCH(LOWER($E231),XLOOKUP(Z$1,Metadata!$A$2:$A1000,Metadata!$B$2:$B1000))),Z$1,"""")"),"")</f>
        <v/>
      </c>
      <c r="AA231" s="33" t="str">
        <f>IFERROR(__xludf.DUMMYFUNCTION("IF(AA$1="""","""",REGEXMATCH(LOWER($E231),XLOOKUP(AA$1,Metadata!$A$2:$A1000,Metadata!$B$2:$B1000)))"),"")</f>
        <v/>
      </c>
    </row>
    <row r="232">
      <c r="A232" s="33" t="str">
        <f>IFERROR(__xludf.DUMMYFUNCTION("""COMPUTED_VALUE"""),"Frontier Centurion")</f>
        <v>Frontier Centurion</v>
      </c>
      <c r="B232" s="33" t="str">
        <f t="array" ref="B232:I232">XLOOKUP($A232,Cards!$A$2:$A1000,Cards!$B$2:$I1000,"")</f>
        <v>Mortal</v>
      </c>
      <c r="C232" s="33">
        <v>1.0</v>
      </c>
      <c r="D232" s="33" t="s">
        <v>394</v>
      </c>
      <c r="E232" s="33"/>
      <c r="F232" s="33" t="s">
        <v>1487</v>
      </c>
      <c r="G232" s="33">
        <v>5.0</v>
      </c>
      <c r="H232" s="33" t="s">
        <v>1110</v>
      </c>
      <c r="I232" s="33" t="s">
        <v>26</v>
      </c>
      <c r="J232" s="33">
        <f>IFERROR(__xludf.DUMMYFUNCTION("LEN(REGEXREPLACE(XLOOKUP($A232,Cards!$A$2:$A1000,Cards!$H$2:$H1000,""""),"",\s"",""""))"),5.0)</f>
        <v>5</v>
      </c>
      <c r="K232" s="33" t="str">
        <f t="shared" si="1"/>
        <v>               </v>
      </c>
      <c r="L232" s="33" t="str">
        <f>IFERROR(__xludf.DUMMYFUNCTION("IF(IF(L$1="""","""",REGEXMATCH(LOWER($E232),XLOOKUP(L$1,Metadata!$A$2:$A1000,Metadata!$B$2:$B1000))),L$1,"""")"),"")</f>
        <v/>
      </c>
      <c r="M232" s="33" t="str">
        <f>IFERROR(__xludf.DUMMYFUNCTION("IF(IF(M$1="""","""",REGEXMATCH(LOWER($E232),XLOOKUP(M$1,Metadata!$A$2:$A1000,Metadata!$B$2:$B1000))),M$1,"""")"),"")</f>
        <v/>
      </c>
      <c r="N232" s="33" t="str">
        <f>IFERROR(__xludf.DUMMYFUNCTION("IF(IF(N$1="""","""",REGEXMATCH(LOWER($E232),XLOOKUP(N$1,Metadata!$A$2:$A1000,Metadata!$B$2:$B1000))),N$1,"""")"),"")</f>
        <v/>
      </c>
      <c r="O232" s="33" t="str">
        <f>IFERROR(__xludf.DUMMYFUNCTION("IF(IF(O$1="""","""",REGEXMATCH(LOWER($E232),XLOOKUP(O$1,Metadata!$A$2:$A1000,Metadata!$B$2:$B1000))),O$1,"""")"),"")</f>
        <v/>
      </c>
      <c r="P232" s="33" t="str">
        <f>IFERROR(__xludf.DUMMYFUNCTION("IF(IF(P$1="""","""",REGEXMATCH(LOWER($E232),XLOOKUP(P$1,Metadata!$A$2:$A1000,Metadata!$B$2:$B1000))),P$1,"""")"),"")</f>
        <v/>
      </c>
      <c r="Q232" s="33" t="str">
        <f>IFERROR(__xludf.DUMMYFUNCTION("IF(IF(Q$1="""","""",REGEXMATCH(LOWER($E232),XLOOKUP(Q$1,Metadata!$A$2:$A1000,Metadata!$B$2:$B1000))),Q$1,"""")"),"")</f>
        <v/>
      </c>
      <c r="R232" s="33" t="str">
        <f>IFERROR(__xludf.DUMMYFUNCTION("IF(IF(R$1="""","""",REGEXMATCH(LOWER($E232),XLOOKUP(R$1,Metadata!$A$2:$A1000,Metadata!$B$2:$B1000))),R$1,"""")"),"")</f>
        <v/>
      </c>
      <c r="S232" s="33" t="str">
        <f>IFERROR(__xludf.DUMMYFUNCTION("IF(IF(S$1="""","""",REGEXMATCH(LOWER($E232),XLOOKUP(S$1,Metadata!$A$2:$A1000,Metadata!$B$2:$B1000))),S$1,"""")"),"")</f>
        <v/>
      </c>
      <c r="T232" s="33" t="str">
        <f>IFERROR(__xludf.DUMMYFUNCTION("IF(IF(T$1="""","""",REGEXMATCH(LOWER($E232),XLOOKUP(T$1,Metadata!$A$2:$A1000,Metadata!$B$2:$B1000))),T$1,"""")"),"")</f>
        <v/>
      </c>
      <c r="U232" s="33" t="str">
        <f>IFERROR(__xludf.DUMMYFUNCTION("IF(IF(U$1="""","""",REGEXMATCH(LOWER($E232),XLOOKUP(U$1,Metadata!$A$2:$A1000,Metadata!$B$2:$B1000))),U$1,"""")"),"")</f>
        <v/>
      </c>
      <c r="V232" s="33" t="str">
        <f>IFERROR(__xludf.DUMMYFUNCTION("IF(IF(V$1="""","""",REGEXMATCH(LOWER($E232),XLOOKUP(V$1,Metadata!$A$2:$A1000,Metadata!$B$2:$B1000))),V$1,"""")"),"")</f>
        <v/>
      </c>
      <c r="W232" s="33" t="str">
        <f>IFERROR(__xludf.DUMMYFUNCTION("IF(IF(W$1="""","""",REGEXMATCH(LOWER($E232),XLOOKUP(W$1,Metadata!$A$2:$A1000,Metadata!$B$2:$B1000))),W$1,"""")"),"")</f>
        <v/>
      </c>
      <c r="X232" s="33" t="str">
        <f>IFERROR(__xludf.DUMMYFUNCTION("IF(IF(X$1="""","""",REGEXMATCH(LOWER($E232),XLOOKUP(X$1,Metadata!$A$2:$A1000,Metadata!$B$2:$B1000))),X$1,"""")"),"")</f>
        <v/>
      </c>
      <c r="Y232" s="33" t="str">
        <f>IFERROR(__xludf.DUMMYFUNCTION("IF(IF(Y$1="""","""",REGEXMATCH(LOWER($E232),XLOOKUP(Y$1,Metadata!$A$2:$A1000,Metadata!$B$2:$B1000))),Y$1,"""")"),"")</f>
        <v/>
      </c>
      <c r="Z232" s="33" t="str">
        <f>IFERROR(__xludf.DUMMYFUNCTION("IF(IF(Z$1="""","""",REGEXMATCH(LOWER($E232),XLOOKUP(Z$1,Metadata!$A$2:$A1000,Metadata!$B$2:$B1000))),Z$1,"""")"),"")</f>
        <v/>
      </c>
      <c r="AA232" s="33" t="str">
        <f>IFERROR(__xludf.DUMMYFUNCTION("IF(AA$1="""","""",REGEXMATCH(LOWER($E232),XLOOKUP(AA$1,Metadata!$A$2:$A1000,Metadata!$B$2:$B1000)))"),"")</f>
        <v/>
      </c>
    </row>
    <row r="233">
      <c r="A233" s="33" t="str">
        <f>IFERROR(__xludf.DUMMYFUNCTION("""COMPUTED_VALUE"""),"Cinderguard Saboteur")</f>
        <v>Cinderguard Saboteur</v>
      </c>
      <c r="B233" s="33" t="str">
        <f t="array" ref="B233:I233">XLOOKUP($A233,Cards!$A$2:$A1000,Cards!$B$2:$I1000,"")</f>
        <v>Mortal</v>
      </c>
      <c r="C233" s="33">
        <v>1.0</v>
      </c>
      <c r="D233" s="33" t="s">
        <v>128</v>
      </c>
      <c r="E233" s="33"/>
      <c r="F233" s="33" t="s">
        <v>1497</v>
      </c>
      <c r="G233" s="33">
        <v>4.0</v>
      </c>
      <c r="H233" s="33" t="s">
        <v>1228</v>
      </c>
      <c r="I233" s="33" t="s">
        <v>26</v>
      </c>
      <c r="J233" s="33">
        <f>IFERROR(__xludf.DUMMYFUNCTION("LEN(REGEXREPLACE(XLOOKUP($A233,Cards!$A$2:$A1000,Cards!$H$2:$H1000,""""),"",\s"",""""))"),4.0)</f>
        <v>4</v>
      </c>
      <c r="K233" s="33" t="str">
        <f t="shared" si="1"/>
        <v>               </v>
      </c>
      <c r="L233" s="33" t="str">
        <f>IFERROR(__xludf.DUMMYFUNCTION("IF(IF(L$1="""","""",REGEXMATCH(LOWER($E233),XLOOKUP(L$1,Metadata!$A$2:$A1000,Metadata!$B$2:$B1000))),L$1,"""")"),"")</f>
        <v/>
      </c>
      <c r="M233" s="33" t="str">
        <f>IFERROR(__xludf.DUMMYFUNCTION("IF(IF(M$1="""","""",REGEXMATCH(LOWER($E233),XLOOKUP(M$1,Metadata!$A$2:$A1000,Metadata!$B$2:$B1000))),M$1,"""")"),"")</f>
        <v/>
      </c>
      <c r="N233" s="33" t="str">
        <f>IFERROR(__xludf.DUMMYFUNCTION("IF(IF(N$1="""","""",REGEXMATCH(LOWER($E233),XLOOKUP(N$1,Metadata!$A$2:$A1000,Metadata!$B$2:$B1000))),N$1,"""")"),"")</f>
        <v/>
      </c>
      <c r="O233" s="33" t="str">
        <f>IFERROR(__xludf.DUMMYFUNCTION("IF(IF(O$1="""","""",REGEXMATCH(LOWER($E233),XLOOKUP(O$1,Metadata!$A$2:$A1000,Metadata!$B$2:$B1000))),O$1,"""")"),"")</f>
        <v/>
      </c>
      <c r="P233" s="33" t="str">
        <f>IFERROR(__xludf.DUMMYFUNCTION("IF(IF(P$1="""","""",REGEXMATCH(LOWER($E233),XLOOKUP(P$1,Metadata!$A$2:$A1000,Metadata!$B$2:$B1000))),P$1,"""")"),"")</f>
        <v/>
      </c>
      <c r="Q233" s="33" t="str">
        <f>IFERROR(__xludf.DUMMYFUNCTION("IF(IF(Q$1="""","""",REGEXMATCH(LOWER($E233),XLOOKUP(Q$1,Metadata!$A$2:$A1000,Metadata!$B$2:$B1000))),Q$1,"""")"),"")</f>
        <v/>
      </c>
      <c r="R233" s="33" t="str">
        <f>IFERROR(__xludf.DUMMYFUNCTION("IF(IF(R$1="""","""",REGEXMATCH(LOWER($E233),XLOOKUP(R$1,Metadata!$A$2:$A1000,Metadata!$B$2:$B1000))),R$1,"""")"),"")</f>
        <v/>
      </c>
      <c r="S233" s="33" t="str">
        <f>IFERROR(__xludf.DUMMYFUNCTION("IF(IF(S$1="""","""",REGEXMATCH(LOWER($E233),XLOOKUP(S$1,Metadata!$A$2:$A1000,Metadata!$B$2:$B1000))),S$1,"""")"),"")</f>
        <v/>
      </c>
      <c r="T233" s="33" t="str">
        <f>IFERROR(__xludf.DUMMYFUNCTION("IF(IF(T$1="""","""",REGEXMATCH(LOWER($E233),XLOOKUP(T$1,Metadata!$A$2:$A1000,Metadata!$B$2:$B1000))),T$1,"""")"),"")</f>
        <v/>
      </c>
      <c r="U233" s="33" t="str">
        <f>IFERROR(__xludf.DUMMYFUNCTION("IF(IF(U$1="""","""",REGEXMATCH(LOWER($E233),XLOOKUP(U$1,Metadata!$A$2:$A1000,Metadata!$B$2:$B1000))),U$1,"""")"),"")</f>
        <v/>
      </c>
      <c r="V233" s="33" t="str">
        <f>IFERROR(__xludf.DUMMYFUNCTION("IF(IF(V$1="""","""",REGEXMATCH(LOWER($E233),XLOOKUP(V$1,Metadata!$A$2:$A1000,Metadata!$B$2:$B1000))),V$1,"""")"),"")</f>
        <v/>
      </c>
      <c r="W233" s="33" t="str">
        <f>IFERROR(__xludf.DUMMYFUNCTION("IF(IF(W$1="""","""",REGEXMATCH(LOWER($E233),XLOOKUP(W$1,Metadata!$A$2:$A1000,Metadata!$B$2:$B1000))),W$1,"""")"),"")</f>
        <v/>
      </c>
      <c r="X233" s="33" t="str">
        <f>IFERROR(__xludf.DUMMYFUNCTION("IF(IF(X$1="""","""",REGEXMATCH(LOWER($E233),XLOOKUP(X$1,Metadata!$A$2:$A1000,Metadata!$B$2:$B1000))),X$1,"""")"),"")</f>
        <v/>
      </c>
      <c r="Y233" s="33" t="str">
        <f>IFERROR(__xludf.DUMMYFUNCTION("IF(IF(Y$1="""","""",REGEXMATCH(LOWER($E233),XLOOKUP(Y$1,Metadata!$A$2:$A1000,Metadata!$B$2:$B1000))),Y$1,"""")"),"")</f>
        <v/>
      </c>
      <c r="Z233" s="33" t="str">
        <f>IFERROR(__xludf.DUMMYFUNCTION("IF(IF(Z$1="""","""",REGEXMATCH(LOWER($E233),XLOOKUP(Z$1,Metadata!$A$2:$A1000,Metadata!$B$2:$B1000))),Z$1,"""")"),"")</f>
        <v/>
      </c>
      <c r="AA233" s="33" t="str">
        <f>IFERROR(__xludf.DUMMYFUNCTION("IF(AA$1="""","""",REGEXMATCH(LOWER($E233),XLOOKUP(AA$1,Metadata!$A$2:$A1000,Metadata!$B$2:$B1000)))"),"")</f>
        <v/>
      </c>
    </row>
    <row r="234">
      <c r="A234" s="33" t="str">
        <f>IFERROR(__xludf.DUMMYFUNCTION("""COMPUTED_VALUE"""),"Rustblood")</f>
        <v>Rustblood</v>
      </c>
      <c r="B234" s="33" t="str">
        <f t="array" ref="B234:I234">XLOOKUP($A234,Cards!$A$2:$A1000,Cards!$B$2:$I1000,"")</f>
        <v>Mortal</v>
      </c>
      <c r="C234" s="33">
        <v>1.0</v>
      </c>
      <c r="D234" s="33" t="s">
        <v>1509</v>
      </c>
      <c r="E234" s="33"/>
      <c r="F234" s="33"/>
      <c r="G234" s="33">
        <v>3.0</v>
      </c>
      <c r="H234" s="33" t="s">
        <v>989</v>
      </c>
      <c r="I234" s="33" t="s">
        <v>26</v>
      </c>
      <c r="J234" s="33">
        <f>IFERROR(__xludf.DUMMYFUNCTION("LEN(REGEXREPLACE(XLOOKUP($A234,Cards!$A$2:$A1000,Cards!$H$2:$H1000,""""),"",\s"",""""))"),3.0)</f>
        <v>3</v>
      </c>
      <c r="K234" s="33" t="str">
        <f t="shared" si="1"/>
        <v>               </v>
      </c>
      <c r="L234" s="33" t="str">
        <f>IFERROR(__xludf.DUMMYFUNCTION("IF(IF(L$1="""","""",REGEXMATCH(LOWER($E234),XLOOKUP(L$1,Metadata!$A$2:$A1000,Metadata!$B$2:$B1000))),L$1,"""")"),"")</f>
        <v/>
      </c>
      <c r="M234" s="33" t="str">
        <f>IFERROR(__xludf.DUMMYFUNCTION("IF(IF(M$1="""","""",REGEXMATCH(LOWER($E234),XLOOKUP(M$1,Metadata!$A$2:$A1000,Metadata!$B$2:$B1000))),M$1,"""")"),"")</f>
        <v/>
      </c>
      <c r="N234" s="33" t="str">
        <f>IFERROR(__xludf.DUMMYFUNCTION("IF(IF(N$1="""","""",REGEXMATCH(LOWER($E234),XLOOKUP(N$1,Metadata!$A$2:$A1000,Metadata!$B$2:$B1000))),N$1,"""")"),"")</f>
        <v/>
      </c>
      <c r="O234" s="33" t="str">
        <f>IFERROR(__xludf.DUMMYFUNCTION("IF(IF(O$1="""","""",REGEXMATCH(LOWER($E234),XLOOKUP(O$1,Metadata!$A$2:$A1000,Metadata!$B$2:$B1000))),O$1,"""")"),"")</f>
        <v/>
      </c>
      <c r="P234" s="33" t="str">
        <f>IFERROR(__xludf.DUMMYFUNCTION("IF(IF(P$1="""","""",REGEXMATCH(LOWER($E234),XLOOKUP(P$1,Metadata!$A$2:$A1000,Metadata!$B$2:$B1000))),P$1,"""")"),"")</f>
        <v/>
      </c>
      <c r="Q234" s="33" t="str">
        <f>IFERROR(__xludf.DUMMYFUNCTION("IF(IF(Q$1="""","""",REGEXMATCH(LOWER($E234),XLOOKUP(Q$1,Metadata!$A$2:$A1000,Metadata!$B$2:$B1000))),Q$1,"""")"),"")</f>
        <v/>
      </c>
      <c r="R234" s="33" t="str">
        <f>IFERROR(__xludf.DUMMYFUNCTION("IF(IF(R$1="""","""",REGEXMATCH(LOWER($E234),XLOOKUP(R$1,Metadata!$A$2:$A1000,Metadata!$B$2:$B1000))),R$1,"""")"),"")</f>
        <v/>
      </c>
      <c r="S234" s="33" t="str">
        <f>IFERROR(__xludf.DUMMYFUNCTION("IF(IF(S$1="""","""",REGEXMATCH(LOWER($E234),XLOOKUP(S$1,Metadata!$A$2:$A1000,Metadata!$B$2:$B1000))),S$1,"""")"),"")</f>
        <v/>
      </c>
      <c r="T234" s="33" t="str">
        <f>IFERROR(__xludf.DUMMYFUNCTION("IF(IF(T$1="""","""",REGEXMATCH(LOWER($E234),XLOOKUP(T$1,Metadata!$A$2:$A1000,Metadata!$B$2:$B1000))),T$1,"""")"),"")</f>
        <v/>
      </c>
      <c r="U234" s="33" t="str">
        <f>IFERROR(__xludf.DUMMYFUNCTION("IF(IF(U$1="""","""",REGEXMATCH(LOWER($E234),XLOOKUP(U$1,Metadata!$A$2:$A1000,Metadata!$B$2:$B1000))),U$1,"""")"),"")</f>
        <v/>
      </c>
      <c r="V234" s="33" t="str">
        <f>IFERROR(__xludf.DUMMYFUNCTION("IF(IF(V$1="""","""",REGEXMATCH(LOWER($E234),XLOOKUP(V$1,Metadata!$A$2:$A1000,Metadata!$B$2:$B1000))),V$1,"""")"),"")</f>
        <v/>
      </c>
      <c r="W234" s="33" t="str">
        <f>IFERROR(__xludf.DUMMYFUNCTION("IF(IF(W$1="""","""",REGEXMATCH(LOWER($E234),XLOOKUP(W$1,Metadata!$A$2:$A1000,Metadata!$B$2:$B1000))),W$1,"""")"),"")</f>
        <v/>
      </c>
      <c r="X234" s="33" t="str">
        <f>IFERROR(__xludf.DUMMYFUNCTION("IF(IF(X$1="""","""",REGEXMATCH(LOWER($E234),XLOOKUP(X$1,Metadata!$A$2:$A1000,Metadata!$B$2:$B1000))),X$1,"""")"),"")</f>
        <v/>
      </c>
      <c r="Y234" s="33" t="str">
        <f>IFERROR(__xludf.DUMMYFUNCTION("IF(IF(Y$1="""","""",REGEXMATCH(LOWER($E234),XLOOKUP(Y$1,Metadata!$A$2:$A1000,Metadata!$B$2:$B1000))),Y$1,"""")"),"")</f>
        <v/>
      </c>
      <c r="Z234" s="33" t="str">
        <f>IFERROR(__xludf.DUMMYFUNCTION("IF(IF(Z$1="""","""",REGEXMATCH(LOWER($E234),XLOOKUP(Z$1,Metadata!$A$2:$A1000,Metadata!$B$2:$B1000))),Z$1,"""")"),"")</f>
        <v/>
      </c>
      <c r="AA234" s="33" t="str">
        <f>IFERROR(__xludf.DUMMYFUNCTION("IF(AA$1="""","""",REGEXMATCH(LOWER($E234),XLOOKUP(AA$1,Metadata!$A$2:$A1000,Metadata!$B$2:$B1000)))"),"")</f>
        <v/>
      </c>
    </row>
    <row r="235">
      <c r="A235" s="33" t="str">
        <f>IFERROR(__xludf.DUMMYFUNCTION("""COMPUTED_VALUE"""),"Fairgrove Dryad")</f>
        <v>Fairgrove Dryad</v>
      </c>
      <c r="B235" s="33" t="str">
        <f t="array" ref="B235:I235">XLOOKUP($A235,Cards!$A$2:$A1000,Cards!$B$2:$I1000,"")</f>
        <v>Nature</v>
      </c>
      <c r="C235" s="33">
        <v>2.0</v>
      </c>
      <c r="D235" s="33" t="s">
        <v>867</v>
      </c>
      <c r="E235" s="33" t="s">
        <v>1511</v>
      </c>
      <c r="F235" s="33" t="s">
        <v>24</v>
      </c>
      <c r="G235" s="33">
        <v>2.0</v>
      </c>
      <c r="H235" s="33" t="s">
        <v>1446</v>
      </c>
      <c r="I235" s="33" t="s">
        <v>26</v>
      </c>
      <c r="J235" s="33">
        <f>IFERROR(__xludf.DUMMYFUNCTION("LEN(REGEXREPLACE(XLOOKUP($A235,Cards!$A$2:$A1000,Cards!$H$2:$H1000,""""),"",\s"",""""))"),2.0)</f>
        <v>2</v>
      </c>
      <c r="K235" s="33" t="str">
        <f t="shared" si="1"/>
        <v>               </v>
      </c>
      <c r="L235" s="33" t="str">
        <f>IFERROR(__xludf.DUMMYFUNCTION("IF(IF(L$1="""","""",REGEXMATCH(LOWER($E235),XLOOKUP(L$1,Metadata!$A$2:$A1000,Metadata!$B$2:$B1000))),L$1,"""")"),"")</f>
        <v/>
      </c>
      <c r="M235" s="33" t="str">
        <f>IFERROR(__xludf.DUMMYFUNCTION("IF(IF(M$1="""","""",REGEXMATCH(LOWER($E235),XLOOKUP(M$1,Metadata!$A$2:$A1000,Metadata!$B$2:$B1000))),M$1,"""")"),"")</f>
        <v/>
      </c>
      <c r="N235" s="33" t="str">
        <f>IFERROR(__xludf.DUMMYFUNCTION("IF(IF(N$1="""","""",REGEXMATCH(LOWER($E235),XLOOKUP(N$1,Metadata!$A$2:$A1000,Metadata!$B$2:$B1000))),N$1,"""")"),"")</f>
        <v/>
      </c>
      <c r="O235" s="33" t="str">
        <f>IFERROR(__xludf.DUMMYFUNCTION("IF(IF(O$1="""","""",REGEXMATCH(LOWER($E235),XLOOKUP(O$1,Metadata!$A$2:$A1000,Metadata!$B$2:$B1000))),O$1,"""")"),"")</f>
        <v/>
      </c>
      <c r="P235" s="33" t="str">
        <f>IFERROR(__xludf.DUMMYFUNCTION("IF(IF(P$1="""","""",REGEXMATCH(LOWER($E235),XLOOKUP(P$1,Metadata!$A$2:$A1000,Metadata!$B$2:$B1000))),P$1,"""")"),"")</f>
        <v/>
      </c>
      <c r="Q235" s="33" t="str">
        <f>IFERROR(__xludf.DUMMYFUNCTION("IF(IF(Q$1="""","""",REGEXMATCH(LOWER($E235),XLOOKUP(Q$1,Metadata!$A$2:$A1000,Metadata!$B$2:$B1000))),Q$1,"""")"),"")</f>
        <v/>
      </c>
      <c r="R235" s="33" t="str">
        <f>IFERROR(__xludf.DUMMYFUNCTION("IF(IF(R$1="""","""",REGEXMATCH(LOWER($E235),XLOOKUP(R$1,Metadata!$A$2:$A1000,Metadata!$B$2:$B1000))),R$1,"""")"),"")</f>
        <v/>
      </c>
      <c r="S235" s="33" t="str">
        <f>IFERROR(__xludf.DUMMYFUNCTION("IF(IF(S$1="""","""",REGEXMATCH(LOWER($E235),XLOOKUP(S$1,Metadata!$A$2:$A1000,Metadata!$B$2:$B1000))),S$1,"""")"),"")</f>
        <v/>
      </c>
      <c r="T235" s="33" t="str">
        <f>IFERROR(__xludf.DUMMYFUNCTION("IF(IF(T$1="""","""",REGEXMATCH(LOWER($E235),XLOOKUP(T$1,Metadata!$A$2:$A1000,Metadata!$B$2:$B1000))),T$1,"""")"),"")</f>
        <v/>
      </c>
      <c r="U235" s="33" t="str">
        <f>IFERROR(__xludf.DUMMYFUNCTION("IF(IF(U$1="""","""",REGEXMATCH(LOWER($E235),XLOOKUP(U$1,Metadata!$A$2:$A1000,Metadata!$B$2:$B1000))),U$1,"""")"),"")</f>
        <v/>
      </c>
      <c r="V235" s="33" t="str">
        <f>IFERROR(__xludf.DUMMYFUNCTION("IF(IF(V$1="""","""",REGEXMATCH(LOWER($E235),XLOOKUP(V$1,Metadata!$A$2:$A1000,Metadata!$B$2:$B1000))),V$1,"""")"),"")</f>
        <v/>
      </c>
      <c r="W235" s="33" t="str">
        <f>IFERROR(__xludf.DUMMYFUNCTION("IF(IF(W$1="""","""",REGEXMATCH(LOWER($E235),XLOOKUP(W$1,Metadata!$A$2:$A1000,Metadata!$B$2:$B1000))),W$1,"""")"),"")</f>
        <v/>
      </c>
      <c r="X235" s="33" t="str">
        <f>IFERROR(__xludf.DUMMYFUNCTION("IF(IF(X$1="""","""",REGEXMATCH(LOWER($E235),XLOOKUP(X$1,Metadata!$A$2:$A1000,Metadata!$B$2:$B1000))),X$1,"""")"),"")</f>
        <v/>
      </c>
      <c r="Y235" s="33" t="str">
        <f>IFERROR(__xludf.DUMMYFUNCTION("IF(IF(Y$1="""","""",REGEXMATCH(LOWER($E235),XLOOKUP(Y$1,Metadata!$A$2:$A1000,Metadata!$B$2:$B1000))),Y$1,"""")"),"")</f>
        <v/>
      </c>
      <c r="Z235" s="33" t="str">
        <f>IFERROR(__xludf.DUMMYFUNCTION("IF(IF(Z$1="""","""",REGEXMATCH(LOWER($E235),XLOOKUP(Z$1,Metadata!$A$2:$A1000,Metadata!$B$2:$B1000))),Z$1,"""")"),"")</f>
        <v/>
      </c>
      <c r="AA235" s="33" t="str">
        <f>IFERROR(__xludf.DUMMYFUNCTION("IF(AA$1="""","""",REGEXMATCH(LOWER($E235),XLOOKUP(AA$1,Metadata!$A$2:$A1000,Metadata!$B$2:$B1000)))"),"")</f>
        <v/>
      </c>
    </row>
    <row r="236">
      <c r="A236" s="33" t="str">
        <f>IFERROR(__xludf.DUMMYFUNCTION("""COMPUTED_VALUE"""),"Fairy Fountain")</f>
        <v>Fairy Fountain</v>
      </c>
      <c r="B236" s="33" t="str">
        <f t="array" ref="B236:I236">XLOOKUP($A236,Cards!$A$2:$A1000,Cards!$B$2:$I1000,"")</f>
        <v>Nature</v>
      </c>
      <c r="C236" s="33">
        <v>0.0</v>
      </c>
      <c r="D236" s="33" t="s">
        <v>1513</v>
      </c>
      <c r="E236" s="33" t="s">
        <v>1514</v>
      </c>
      <c r="F236" s="33" t="s">
        <v>1515</v>
      </c>
      <c r="G236" s="33">
        <v>4.0</v>
      </c>
      <c r="H236" s="33" t="s">
        <v>1466</v>
      </c>
      <c r="I236" s="33" t="s">
        <v>62</v>
      </c>
      <c r="J236" s="33">
        <f>IFERROR(__xludf.DUMMYFUNCTION("LEN(REGEXREPLACE(XLOOKUP($A236,Cards!$A$2:$A1000,Cards!$H$2:$H1000,""""),"",\s"",""""))"),4.0)</f>
        <v>4</v>
      </c>
      <c r="K236" s="33" t="str">
        <f t="shared" si="1"/>
        <v>      Ramp         </v>
      </c>
      <c r="L236" s="33" t="str">
        <f>IFERROR(__xludf.DUMMYFUNCTION("IF(IF(L$1="""","""",REGEXMATCH(LOWER($E236),XLOOKUP(L$1,Metadata!$A$2:$A1000,Metadata!$B$2:$B1000))),L$1,"""")"),"")</f>
        <v/>
      </c>
      <c r="M236" s="33" t="str">
        <f>IFERROR(__xludf.DUMMYFUNCTION("IF(IF(M$1="""","""",REGEXMATCH(LOWER($E236),XLOOKUP(M$1,Metadata!$A$2:$A1000,Metadata!$B$2:$B1000))),M$1,"""")"),"")</f>
        <v/>
      </c>
      <c r="N236" s="33" t="str">
        <f>IFERROR(__xludf.DUMMYFUNCTION("IF(IF(N$1="""","""",REGEXMATCH(LOWER($E236),XLOOKUP(N$1,Metadata!$A$2:$A1000,Metadata!$B$2:$B1000))),N$1,"""")"),"")</f>
        <v/>
      </c>
      <c r="O236" s="33" t="str">
        <f>IFERROR(__xludf.DUMMYFUNCTION("IF(IF(O$1="""","""",REGEXMATCH(LOWER($E236),XLOOKUP(O$1,Metadata!$A$2:$A1000,Metadata!$B$2:$B1000))),O$1,"""")"),"")</f>
        <v/>
      </c>
      <c r="P236" s="33" t="str">
        <f>IFERROR(__xludf.DUMMYFUNCTION("IF(IF(P$1="""","""",REGEXMATCH(LOWER($E236),XLOOKUP(P$1,Metadata!$A$2:$A1000,Metadata!$B$2:$B1000))),P$1,"""")"),"")</f>
        <v/>
      </c>
      <c r="Q236" s="33" t="str">
        <f>IFERROR(__xludf.DUMMYFUNCTION("IF(IF(Q$1="""","""",REGEXMATCH(LOWER($E236),XLOOKUP(Q$1,Metadata!$A$2:$A1000,Metadata!$B$2:$B1000))),Q$1,"""")"),"")</f>
        <v/>
      </c>
      <c r="R236" s="33" t="str">
        <f>IFERROR(__xludf.DUMMYFUNCTION("IF(IF(R$1="""","""",REGEXMATCH(LOWER($E236),XLOOKUP(R$1,Metadata!$A$2:$A1000,Metadata!$B$2:$B1000))),R$1,"""")"),"Ramp")</f>
        <v>Ramp</v>
      </c>
      <c r="S236" s="33" t="str">
        <f>IFERROR(__xludf.DUMMYFUNCTION("IF(IF(S$1="""","""",REGEXMATCH(LOWER($E236),XLOOKUP(S$1,Metadata!$A$2:$A1000,Metadata!$B$2:$B1000))),S$1,"""")"),"")</f>
        <v/>
      </c>
      <c r="T236" s="33" t="str">
        <f>IFERROR(__xludf.DUMMYFUNCTION("IF(IF(T$1="""","""",REGEXMATCH(LOWER($E236),XLOOKUP(T$1,Metadata!$A$2:$A1000,Metadata!$B$2:$B1000))),T$1,"""")"),"")</f>
        <v/>
      </c>
      <c r="U236" s="33" t="str">
        <f>IFERROR(__xludf.DUMMYFUNCTION("IF(IF(U$1="""","""",REGEXMATCH(LOWER($E236),XLOOKUP(U$1,Metadata!$A$2:$A1000,Metadata!$B$2:$B1000))),U$1,"""")"),"")</f>
        <v/>
      </c>
      <c r="V236" s="33" t="str">
        <f>IFERROR(__xludf.DUMMYFUNCTION("IF(IF(V$1="""","""",REGEXMATCH(LOWER($E236),XLOOKUP(V$1,Metadata!$A$2:$A1000,Metadata!$B$2:$B1000))),V$1,"""")"),"")</f>
        <v/>
      </c>
      <c r="W236" s="33" t="str">
        <f>IFERROR(__xludf.DUMMYFUNCTION("IF(IF(W$1="""","""",REGEXMATCH(LOWER($E236),XLOOKUP(W$1,Metadata!$A$2:$A1000,Metadata!$B$2:$B1000))),W$1,"""")"),"")</f>
        <v/>
      </c>
      <c r="X236" s="33" t="str">
        <f>IFERROR(__xludf.DUMMYFUNCTION("IF(IF(X$1="""","""",REGEXMATCH(LOWER($E236),XLOOKUP(X$1,Metadata!$A$2:$A1000,Metadata!$B$2:$B1000))),X$1,"""")"),"")</f>
        <v/>
      </c>
      <c r="Y236" s="33" t="str">
        <f>IFERROR(__xludf.DUMMYFUNCTION("IF(IF(Y$1="""","""",REGEXMATCH(LOWER($E236),XLOOKUP(Y$1,Metadata!$A$2:$A1000,Metadata!$B$2:$B1000))),Y$1,"""")"),"")</f>
        <v/>
      </c>
      <c r="Z236" s="33" t="str">
        <f>IFERROR(__xludf.DUMMYFUNCTION("IF(IF(Z$1="""","""",REGEXMATCH(LOWER($E236),XLOOKUP(Z$1,Metadata!$A$2:$A1000,Metadata!$B$2:$B1000))),Z$1,"""")"),"")</f>
        <v/>
      </c>
      <c r="AA236" s="33" t="str">
        <f>IFERROR(__xludf.DUMMYFUNCTION("IF(AA$1="""","""",REGEXMATCH(LOWER($E236),XLOOKUP(AA$1,Metadata!$A$2:$A1000,Metadata!$B$2:$B1000)))"),"")</f>
        <v/>
      </c>
    </row>
    <row r="237">
      <c r="A237" s="33" t="str">
        <f>IFERROR(__xludf.DUMMYFUNCTION("""COMPUTED_VALUE"""),"Harvest Sanctifier")</f>
        <v>Harvest Sanctifier</v>
      </c>
      <c r="B237" s="33" t="str">
        <f t="array" ref="B237:I237">XLOOKUP($A237,Cards!$A$2:$A1000,Cards!$B$2:$I1000,"")</f>
        <v>Mortal</v>
      </c>
      <c r="C237" s="33">
        <v>1.0</v>
      </c>
      <c r="D237" s="33" t="s">
        <v>174</v>
      </c>
      <c r="E237" s="33"/>
      <c r="F237" s="33"/>
      <c r="G237" s="33">
        <v>2.0</v>
      </c>
      <c r="H237" s="33" t="s">
        <v>995</v>
      </c>
      <c r="I237" s="33" t="s">
        <v>26</v>
      </c>
      <c r="J237" s="33">
        <f>IFERROR(__xludf.DUMMYFUNCTION("LEN(REGEXREPLACE(XLOOKUP($A237,Cards!$A$2:$A1000,Cards!$H$2:$H1000,""""),"",\s"",""""))"),2.0)</f>
        <v>2</v>
      </c>
      <c r="K237" s="33" t="str">
        <f t="shared" si="1"/>
        <v>               </v>
      </c>
      <c r="L237" s="33" t="str">
        <f>IFERROR(__xludf.DUMMYFUNCTION("IF(IF(L$1="""","""",REGEXMATCH(LOWER($E237),XLOOKUP(L$1,Metadata!$A$2:$A1000,Metadata!$B$2:$B1000))),L$1,"""")"),"")</f>
        <v/>
      </c>
      <c r="M237" s="33" t="str">
        <f>IFERROR(__xludf.DUMMYFUNCTION("IF(IF(M$1="""","""",REGEXMATCH(LOWER($E237),XLOOKUP(M$1,Metadata!$A$2:$A1000,Metadata!$B$2:$B1000))),M$1,"""")"),"")</f>
        <v/>
      </c>
      <c r="N237" s="33" t="str">
        <f>IFERROR(__xludf.DUMMYFUNCTION("IF(IF(N$1="""","""",REGEXMATCH(LOWER($E237),XLOOKUP(N$1,Metadata!$A$2:$A1000,Metadata!$B$2:$B1000))),N$1,"""")"),"")</f>
        <v/>
      </c>
      <c r="O237" s="33" t="str">
        <f>IFERROR(__xludf.DUMMYFUNCTION("IF(IF(O$1="""","""",REGEXMATCH(LOWER($E237),XLOOKUP(O$1,Metadata!$A$2:$A1000,Metadata!$B$2:$B1000))),O$1,"""")"),"")</f>
        <v/>
      </c>
      <c r="P237" s="33" t="str">
        <f>IFERROR(__xludf.DUMMYFUNCTION("IF(IF(P$1="""","""",REGEXMATCH(LOWER($E237),XLOOKUP(P$1,Metadata!$A$2:$A1000,Metadata!$B$2:$B1000))),P$1,"""")"),"")</f>
        <v/>
      </c>
      <c r="Q237" s="33" t="str">
        <f>IFERROR(__xludf.DUMMYFUNCTION("IF(IF(Q$1="""","""",REGEXMATCH(LOWER($E237),XLOOKUP(Q$1,Metadata!$A$2:$A1000,Metadata!$B$2:$B1000))),Q$1,"""")"),"")</f>
        <v/>
      </c>
      <c r="R237" s="33" t="str">
        <f>IFERROR(__xludf.DUMMYFUNCTION("IF(IF(R$1="""","""",REGEXMATCH(LOWER($E237),XLOOKUP(R$1,Metadata!$A$2:$A1000,Metadata!$B$2:$B1000))),R$1,"""")"),"")</f>
        <v/>
      </c>
      <c r="S237" s="33" t="str">
        <f>IFERROR(__xludf.DUMMYFUNCTION("IF(IF(S$1="""","""",REGEXMATCH(LOWER($E237),XLOOKUP(S$1,Metadata!$A$2:$A1000,Metadata!$B$2:$B1000))),S$1,"""")"),"")</f>
        <v/>
      </c>
      <c r="T237" s="33" t="str">
        <f>IFERROR(__xludf.DUMMYFUNCTION("IF(IF(T$1="""","""",REGEXMATCH(LOWER($E237),XLOOKUP(T$1,Metadata!$A$2:$A1000,Metadata!$B$2:$B1000))),T$1,"""")"),"")</f>
        <v/>
      </c>
      <c r="U237" s="33" t="str">
        <f>IFERROR(__xludf.DUMMYFUNCTION("IF(IF(U$1="""","""",REGEXMATCH(LOWER($E237),XLOOKUP(U$1,Metadata!$A$2:$A1000,Metadata!$B$2:$B1000))),U$1,"""")"),"")</f>
        <v/>
      </c>
      <c r="V237" s="33" t="str">
        <f>IFERROR(__xludf.DUMMYFUNCTION("IF(IF(V$1="""","""",REGEXMATCH(LOWER($E237),XLOOKUP(V$1,Metadata!$A$2:$A1000,Metadata!$B$2:$B1000))),V$1,"""")"),"")</f>
        <v/>
      </c>
      <c r="W237" s="33" t="str">
        <f>IFERROR(__xludf.DUMMYFUNCTION("IF(IF(W$1="""","""",REGEXMATCH(LOWER($E237),XLOOKUP(W$1,Metadata!$A$2:$A1000,Metadata!$B$2:$B1000))),W$1,"""")"),"")</f>
        <v/>
      </c>
      <c r="X237" s="33" t="str">
        <f>IFERROR(__xludf.DUMMYFUNCTION("IF(IF(X$1="""","""",REGEXMATCH(LOWER($E237),XLOOKUP(X$1,Metadata!$A$2:$A1000,Metadata!$B$2:$B1000))),X$1,"""")"),"")</f>
        <v/>
      </c>
      <c r="Y237" s="33" t="str">
        <f>IFERROR(__xludf.DUMMYFUNCTION("IF(IF(Y$1="""","""",REGEXMATCH(LOWER($E237),XLOOKUP(Y$1,Metadata!$A$2:$A1000,Metadata!$B$2:$B1000))),Y$1,"""")"),"")</f>
        <v/>
      </c>
      <c r="Z237" s="33" t="str">
        <f>IFERROR(__xludf.DUMMYFUNCTION("IF(IF(Z$1="""","""",REGEXMATCH(LOWER($E237),XLOOKUP(Z$1,Metadata!$A$2:$A1000,Metadata!$B$2:$B1000))),Z$1,"""")"),"")</f>
        <v/>
      </c>
      <c r="AA237" s="33" t="str">
        <f>IFERROR(__xludf.DUMMYFUNCTION("IF(AA$1="""","""",REGEXMATCH(LOWER($E237),XLOOKUP(AA$1,Metadata!$A$2:$A1000,Metadata!$B$2:$B1000)))"),"")</f>
        <v/>
      </c>
    </row>
    <row r="238">
      <c r="A238" s="33" t="str">
        <f>IFERROR(__xludf.DUMMYFUNCTION("""COMPUTED_VALUE"""),"Goliath Beetle")</f>
        <v>Goliath Beetle</v>
      </c>
      <c r="B238" s="33" t="str">
        <f t="array" ref="B238:I238">XLOOKUP($A238,Cards!$A$2:$A1000,Cards!$B$2:$I1000,"")</f>
        <v>Nature</v>
      </c>
      <c r="C238" s="33">
        <v>2.0</v>
      </c>
      <c r="D238" s="33" t="s">
        <v>609</v>
      </c>
      <c r="E238" s="33"/>
      <c r="F238" s="33" t="s">
        <v>1518</v>
      </c>
      <c r="G238" s="33">
        <v>7.0</v>
      </c>
      <c r="H238" s="33" t="s">
        <v>1519</v>
      </c>
      <c r="I238" s="33" t="s">
        <v>26</v>
      </c>
      <c r="J238" s="33">
        <f>IFERROR(__xludf.DUMMYFUNCTION("LEN(REGEXREPLACE(XLOOKUP($A238,Cards!$A$2:$A1000,Cards!$H$2:$H1000,""""),"",\s"",""""))"),7.0)</f>
        <v>7</v>
      </c>
      <c r="K238" s="33" t="str">
        <f t="shared" si="1"/>
        <v>               </v>
      </c>
      <c r="L238" s="33" t="str">
        <f>IFERROR(__xludf.DUMMYFUNCTION("IF(IF(L$1="""","""",REGEXMATCH(LOWER($E238),XLOOKUP(L$1,Metadata!$A$2:$A1000,Metadata!$B$2:$B1000))),L$1,"""")"),"")</f>
        <v/>
      </c>
      <c r="M238" s="33" t="str">
        <f>IFERROR(__xludf.DUMMYFUNCTION("IF(IF(M$1="""","""",REGEXMATCH(LOWER($E238),XLOOKUP(M$1,Metadata!$A$2:$A1000,Metadata!$B$2:$B1000))),M$1,"""")"),"")</f>
        <v/>
      </c>
      <c r="N238" s="33" t="str">
        <f>IFERROR(__xludf.DUMMYFUNCTION("IF(IF(N$1="""","""",REGEXMATCH(LOWER($E238),XLOOKUP(N$1,Metadata!$A$2:$A1000,Metadata!$B$2:$B1000))),N$1,"""")"),"")</f>
        <v/>
      </c>
      <c r="O238" s="33" t="str">
        <f>IFERROR(__xludf.DUMMYFUNCTION("IF(IF(O$1="""","""",REGEXMATCH(LOWER($E238),XLOOKUP(O$1,Metadata!$A$2:$A1000,Metadata!$B$2:$B1000))),O$1,"""")"),"")</f>
        <v/>
      </c>
      <c r="P238" s="33" t="str">
        <f>IFERROR(__xludf.DUMMYFUNCTION("IF(IF(P$1="""","""",REGEXMATCH(LOWER($E238),XLOOKUP(P$1,Metadata!$A$2:$A1000,Metadata!$B$2:$B1000))),P$1,"""")"),"")</f>
        <v/>
      </c>
      <c r="Q238" s="33" t="str">
        <f>IFERROR(__xludf.DUMMYFUNCTION("IF(IF(Q$1="""","""",REGEXMATCH(LOWER($E238),XLOOKUP(Q$1,Metadata!$A$2:$A1000,Metadata!$B$2:$B1000))),Q$1,"""")"),"")</f>
        <v/>
      </c>
      <c r="R238" s="33" t="str">
        <f>IFERROR(__xludf.DUMMYFUNCTION("IF(IF(R$1="""","""",REGEXMATCH(LOWER($E238),XLOOKUP(R$1,Metadata!$A$2:$A1000,Metadata!$B$2:$B1000))),R$1,"""")"),"")</f>
        <v/>
      </c>
      <c r="S238" s="33" t="str">
        <f>IFERROR(__xludf.DUMMYFUNCTION("IF(IF(S$1="""","""",REGEXMATCH(LOWER($E238),XLOOKUP(S$1,Metadata!$A$2:$A1000,Metadata!$B$2:$B1000))),S$1,"""")"),"")</f>
        <v/>
      </c>
      <c r="T238" s="33" t="str">
        <f>IFERROR(__xludf.DUMMYFUNCTION("IF(IF(T$1="""","""",REGEXMATCH(LOWER($E238),XLOOKUP(T$1,Metadata!$A$2:$A1000,Metadata!$B$2:$B1000))),T$1,"""")"),"")</f>
        <v/>
      </c>
      <c r="U238" s="33" t="str">
        <f>IFERROR(__xludf.DUMMYFUNCTION("IF(IF(U$1="""","""",REGEXMATCH(LOWER($E238),XLOOKUP(U$1,Metadata!$A$2:$A1000,Metadata!$B$2:$B1000))),U$1,"""")"),"")</f>
        <v/>
      </c>
      <c r="V238" s="33" t="str">
        <f>IFERROR(__xludf.DUMMYFUNCTION("IF(IF(V$1="""","""",REGEXMATCH(LOWER($E238),XLOOKUP(V$1,Metadata!$A$2:$A1000,Metadata!$B$2:$B1000))),V$1,"""")"),"")</f>
        <v/>
      </c>
      <c r="W238" s="33" t="str">
        <f>IFERROR(__xludf.DUMMYFUNCTION("IF(IF(W$1="""","""",REGEXMATCH(LOWER($E238),XLOOKUP(W$1,Metadata!$A$2:$A1000,Metadata!$B$2:$B1000))),W$1,"""")"),"")</f>
        <v/>
      </c>
      <c r="X238" s="33" t="str">
        <f>IFERROR(__xludf.DUMMYFUNCTION("IF(IF(X$1="""","""",REGEXMATCH(LOWER($E238),XLOOKUP(X$1,Metadata!$A$2:$A1000,Metadata!$B$2:$B1000))),X$1,"""")"),"")</f>
        <v/>
      </c>
      <c r="Y238" s="33" t="str">
        <f>IFERROR(__xludf.DUMMYFUNCTION("IF(IF(Y$1="""","""",REGEXMATCH(LOWER($E238),XLOOKUP(Y$1,Metadata!$A$2:$A1000,Metadata!$B$2:$B1000))),Y$1,"""")"),"")</f>
        <v/>
      </c>
      <c r="Z238" s="33" t="str">
        <f>IFERROR(__xludf.DUMMYFUNCTION("IF(IF(Z$1="""","""",REGEXMATCH(LOWER($E238),XLOOKUP(Z$1,Metadata!$A$2:$A1000,Metadata!$B$2:$B1000))),Z$1,"""")"),"")</f>
        <v/>
      </c>
      <c r="AA238" s="33" t="str">
        <f>IFERROR(__xludf.DUMMYFUNCTION("IF(AA$1="""","""",REGEXMATCH(LOWER($E238),XLOOKUP(AA$1,Metadata!$A$2:$A1000,Metadata!$B$2:$B1000)))"),"")</f>
        <v/>
      </c>
    </row>
    <row r="239">
      <c r="A239" s="33" t="str">
        <f>IFERROR(__xludf.DUMMYFUNCTION("""COMPUTED_VALUE"""),"Green Crusader")</f>
        <v>Green Crusader</v>
      </c>
      <c r="B239" s="33" t="str">
        <f t="array" ref="B239:I239">XLOOKUP($A239,Cards!$A$2:$A1000,Cards!$B$2:$I1000,"")</f>
        <v>Nature</v>
      </c>
      <c r="C239" s="33">
        <v>2.0</v>
      </c>
      <c r="D239" s="33" t="s">
        <v>1521</v>
      </c>
      <c r="E239" s="33" t="s">
        <v>249</v>
      </c>
      <c r="F239" s="33" t="s">
        <v>645</v>
      </c>
      <c r="G239" s="33">
        <v>2.0</v>
      </c>
      <c r="H239" s="33" t="s">
        <v>1446</v>
      </c>
      <c r="I239" s="33" t="s">
        <v>26</v>
      </c>
      <c r="J239" s="33">
        <f>IFERROR(__xludf.DUMMYFUNCTION("LEN(REGEXREPLACE(XLOOKUP($A239,Cards!$A$2:$A1000,Cards!$H$2:$H1000,""""),"",\s"",""""))"),2.0)</f>
        <v>2</v>
      </c>
      <c r="K239" s="33" t="str">
        <f t="shared" si="1"/>
        <v>               </v>
      </c>
      <c r="L239" s="33" t="str">
        <f>IFERROR(__xludf.DUMMYFUNCTION("IF(IF(L$1="""","""",REGEXMATCH(LOWER($E239),XLOOKUP(L$1,Metadata!$A$2:$A1000,Metadata!$B$2:$B1000))),L$1,"""")"),"")</f>
        <v/>
      </c>
      <c r="M239" s="33" t="str">
        <f>IFERROR(__xludf.DUMMYFUNCTION("IF(IF(M$1="""","""",REGEXMATCH(LOWER($E239),XLOOKUP(M$1,Metadata!$A$2:$A1000,Metadata!$B$2:$B1000))),M$1,"""")"),"")</f>
        <v/>
      </c>
      <c r="N239" s="33" t="str">
        <f>IFERROR(__xludf.DUMMYFUNCTION("IF(IF(N$1="""","""",REGEXMATCH(LOWER($E239),XLOOKUP(N$1,Metadata!$A$2:$A1000,Metadata!$B$2:$B1000))),N$1,"""")"),"")</f>
        <v/>
      </c>
      <c r="O239" s="33" t="str">
        <f>IFERROR(__xludf.DUMMYFUNCTION("IF(IF(O$1="""","""",REGEXMATCH(LOWER($E239),XLOOKUP(O$1,Metadata!$A$2:$A1000,Metadata!$B$2:$B1000))),O$1,"""")"),"")</f>
        <v/>
      </c>
      <c r="P239" s="33" t="str">
        <f>IFERROR(__xludf.DUMMYFUNCTION("IF(IF(P$1="""","""",REGEXMATCH(LOWER($E239),XLOOKUP(P$1,Metadata!$A$2:$A1000,Metadata!$B$2:$B1000))),P$1,"""")"),"")</f>
        <v/>
      </c>
      <c r="Q239" s="33" t="str">
        <f>IFERROR(__xludf.DUMMYFUNCTION("IF(IF(Q$1="""","""",REGEXMATCH(LOWER($E239),XLOOKUP(Q$1,Metadata!$A$2:$A1000,Metadata!$B$2:$B1000))),Q$1,"""")"),"")</f>
        <v/>
      </c>
      <c r="R239" s="33" t="str">
        <f>IFERROR(__xludf.DUMMYFUNCTION("IF(IF(R$1="""","""",REGEXMATCH(LOWER($E239),XLOOKUP(R$1,Metadata!$A$2:$A1000,Metadata!$B$2:$B1000))),R$1,"""")"),"")</f>
        <v/>
      </c>
      <c r="S239" s="33" t="str">
        <f>IFERROR(__xludf.DUMMYFUNCTION("IF(IF(S$1="""","""",REGEXMATCH(LOWER($E239),XLOOKUP(S$1,Metadata!$A$2:$A1000,Metadata!$B$2:$B1000))),S$1,"""")"),"")</f>
        <v/>
      </c>
      <c r="T239" s="33" t="str">
        <f>IFERROR(__xludf.DUMMYFUNCTION("IF(IF(T$1="""","""",REGEXMATCH(LOWER($E239),XLOOKUP(T$1,Metadata!$A$2:$A1000,Metadata!$B$2:$B1000))),T$1,"""")"),"")</f>
        <v/>
      </c>
      <c r="U239" s="33" t="str">
        <f>IFERROR(__xludf.DUMMYFUNCTION("IF(IF(U$1="""","""",REGEXMATCH(LOWER($E239),XLOOKUP(U$1,Metadata!$A$2:$A1000,Metadata!$B$2:$B1000))),U$1,"""")"),"")</f>
        <v/>
      </c>
      <c r="V239" s="33" t="str">
        <f>IFERROR(__xludf.DUMMYFUNCTION("IF(IF(V$1="""","""",REGEXMATCH(LOWER($E239),XLOOKUP(V$1,Metadata!$A$2:$A1000,Metadata!$B$2:$B1000))),V$1,"""")"),"")</f>
        <v/>
      </c>
      <c r="W239" s="33" t="str">
        <f>IFERROR(__xludf.DUMMYFUNCTION("IF(IF(W$1="""","""",REGEXMATCH(LOWER($E239),XLOOKUP(W$1,Metadata!$A$2:$A1000,Metadata!$B$2:$B1000))),W$1,"""")"),"")</f>
        <v/>
      </c>
      <c r="X239" s="33" t="str">
        <f>IFERROR(__xludf.DUMMYFUNCTION("IF(IF(X$1="""","""",REGEXMATCH(LOWER($E239),XLOOKUP(X$1,Metadata!$A$2:$A1000,Metadata!$B$2:$B1000))),X$1,"""")"),"")</f>
        <v/>
      </c>
      <c r="Y239" s="33" t="str">
        <f>IFERROR(__xludf.DUMMYFUNCTION("IF(IF(Y$1="""","""",REGEXMATCH(LOWER($E239),XLOOKUP(Y$1,Metadata!$A$2:$A1000,Metadata!$B$2:$B1000))),Y$1,"""")"),"")</f>
        <v/>
      </c>
      <c r="Z239" s="33" t="str">
        <f>IFERROR(__xludf.DUMMYFUNCTION("IF(IF(Z$1="""","""",REGEXMATCH(LOWER($E239),XLOOKUP(Z$1,Metadata!$A$2:$A1000,Metadata!$B$2:$B1000))),Z$1,"""")"),"")</f>
        <v/>
      </c>
      <c r="AA239" s="33" t="str">
        <f>IFERROR(__xludf.DUMMYFUNCTION("IF(AA$1="""","""",REGEXMATCH(LOWER($E239),XLOOKUP(AA$1,Metadata!$A$2:$A1000,Metadata!$B$2:$B1000)))"),"")</f>
        <v/>
      </c>
    </row>
    <row r="240">
      <c r="A240" s="33" t="str">
        <f>IFERROR(__xludf.DUMMYFUNCTION("""COMPUTED_VALUE"""),"Grizzly Trap")</f>
        <v>Grizzly Trap</v>
      </c>
      <c r="B240" s="33" t="str">
        <f t="array" ref="B240:I240">XLOOKUP($A240,Cards!$A$2:$A1000,Cards!$B$2:$I1000,"")</f>
        <v>Nature</v>
      </c>
      <c r="C240" s="33">
        <v>2.0</v>
      </c>
      <c r="D240" s="33" t="s">
        <v>114</v>
      </c>
      <c r="E240" s="33" t="s">
        <v>1523</v>
      </c>
      <c r="F240" s="33" t="s">
        <v>1524</v>
      </c>
      <c r="G240" s="33">
        <v>2.0</v>
      </c>
      <c r="H240" s="33" t="s">
        <v>1519</v>
      </c>
      <c r="I240" s="33" t="s">
        <v>62</v>
      </c>
      <c r="J240" s="33">
        <f>IFERROR(__xludf.DUMMYFUNCTION("LEN(REGEXREPLACE(XLOOKUP($A240,Cards!$A$2:$A1000,Cards!$H$2:$H1000,""""),"",\s"",""""))"),7.0)</f>
        <v>7</v>
      </c>
      <c r="K240" s="33" t="str">
        <f t="shared" si="1"/>
        <v>     Unearth  Control  Aggro   Ambush   </v>
      </c>
      <c r="L240" s="33" t="str">
        <f>IFERROR(__xludf.DUMMYFUNCTION("IF(IF(L$1="""","""",REGEXMATCH(LOWER($E240),XLOOKUP(L$1,Metadata!$A$2:$A1000,Metadata!$B$2:$B1000))),L$1,"""")"),"")</f>
        <v/>
      </c>
      <c r="M240" s="33" t="str">
        <f>IFERROR(__xludf.DUMMYFUNCTION("IF(IF(M$1="""","""",REGEXMATCH(LOWER($E240),XLOOKUP(M$1,Metadata!$A$2:$A1000,Metadata!$B$2:$B1000))),M$1,"""")"),"")</f>
        <v/>
      </c>
      <c r="N240" s="33" t="str">
        <f>IFERROR(__xludf.DUMMYFUNCTION("IF(IF(N$1="""","""",REGEXMATCH(LOWER($E240),XLOOKUP(N$1,Metadata!$A$2:$A1000,Metadata!$B$2:$B1000))),N$1,"""")"),"")</f>
        <v/>
      </c>
      <c r="O240" s="33" t="str">
        <f>IFERROR(__xludf.DUMMYFUNCTION("IF(IF(O$1="""","""",REGEXMATCH(LOWER($E240),XLOOKUP(O$1,Metadata!$A$2:$A1000,Metadata!$B$2:$B1000))),O$1,"""")"),"")</f>
        <v/>
      </c>
      <c r="P240" s="33" t="str">
        <f>IFERROR(__xludf.DUMMYFUNCTION("IF(IF(P$1="""","""",REGEXMATCH(LOWER($E240),XLOOKUP(P$1,Metadata!$A$2:$A1000,Metadata!$B$2:$B1000))),P$1,"""")"),"")</f>
        <v/>
      </c>
      <c r="Q240" s="33" t="str">
        <f>IFERROR(__xludf.DUMMYFUNCTION("IF(IF(Q$1="""","""",REGEXMATCH(LOWER($E240),XLOOKUP(Q$1,Metadata!$A$2:$A1000,Metadata!$B$2:$B1000))),Q$1,"""")"),"Unearth")</f>
        <v>Unearth</v>
      </c>
      <c r="R240" s="33" t="str">
        <f>IFERROR(__xludf.DUMMYFUNCTION("IF(IF(R$1="""","""",REGEXMATCH(LOWER($E240),XLOOKUP(R$1,Metadata!$A$2:$A1000,Metadata!$B$2:$B1000))),R$1,"""")"),"")</f>
        <v/>
      </c>
      <c r="S240" s="33" t="str">
        <f>IFERROR(__xludf.DUMMYFUNCTION("IF(IF(S$1="""","""",REGEXMATCH(LOWER($E240),XLOOKUP(S$1,Metadata!$A$2:$A1000,Metadata!$B$2:$B1000))),S$1,"""")"),"Control")</f>
        <v>Control</v>
      </c>
      <c r="T240" s="33" t="str">
        <f>IFERROR(__xludf.DUMMYFUNCTION("IF(IF(T$1="""","""",REGEXMATCH(LOWER($E240),XLOOKUP(T$1,Metadata!$A$2:$A1000,Metadata!$B$2:$B1000))),T$1,"""")"),"")</f>
        <v/>
      </c>
      <c r="U240" s="33" t="str">
        <f>IFERROR(__xludf.DUMMYFUNCTION("IF(IF(U$1="""","""",REGEXMATCH(LOWER($E240),XLOOKUP(U$1,Metadata!$A$2:$A1000,Metadata!$B$2:$B1000))),U$1,"""")"),"Aggro")</f>
        <v>Aggro</v>
      </c>
      <c r="V240" s="33" t="str">
        <f>IFERROR(__xludf.DUMMYFUNCTION("IF(IF(V$1="""","""",REGEXMATCH(LOWER($E240),XLOOKUP(V$1,Metadata!$A$2:$A1000,Metadata!$B$2:$B1000))),V$1,"""")"),"")</f>
        <v/>
      </c>
      <c r="W240" s="33" t="str">
        <f>IFERROR(__xludf.DUMMYFUNCTION("IF(IF(W$1="""","""",REGEXMATCH(LOWER($E240),XLOOKUP(W$1,Metadata!$A$2:$A1000,Metadata!$B$2:$B1000))),W$1,"""")"),"")</f>
        <v/>
      </c>
      <c r="X240" s="33" t="str">
        <f>IFERROR(__xludf.DUMMYFUNCTION("IF(IF(X$1="""","""",REGEXMATCH(LOWER($E240),XLOOKUP(X$1,Metadata!$A$2:$A1000,Metadata!$B$2:$B1000))),X$1,"""")"),"Ambush")</f>
        <v>Ambush</v>
      </c>
      <c r="Y240" s="33" t="str">
        <f>IFERROR(__xludf.DUMMYFUNCTION("IF(IF(Y$1="""","""",REGEXMATCH(LOWER($E240),XLOOKUP(Y$1,Metadata!$A$2:$A1000,Metadata!$B$2:$B1000))),Y$1,"""")"),"")</f>
        <v/>
      </c>
      <c r="Z240" s="33" t="str">
        <f>IFERROR(__xludf.DUMMYFUNCTION("IF(IF(Z$1="""","""",REGEXMATCH(LOWER($E240),XLOOKUP(Z$1,Metadata!$A$2:$A1000,Metadata!$B$2:$B1000))),Z$1,"""")"),"")</f>
        <v/>
      </c>
      <c r="AA240" s="33" t="str">
        <f>IFERROR(__xludf.DUMMYFUNCTION("IF(AA$1="""","""",REGEXMATCH(LOWER($E240),XLOOKUP(AA$1,Metadata!$A$2:$A1000,Metadata!$B$2:$B1000)))"),"")</f>
        <v/>
      </c>
    </row>
    <row r="241">
      <c r="A241" s="33" t="str">
        <f>IFERROR(__xludf.DUMMYFUNCTION("""COMPUTED_VALUE"""),"Volatile Battlemage")</f>
        <v>Volatile Battlemage</v>
      </c>
      <c r="B241" s="33" t="str">
        <f t="array" ref="B241:I241">XLOOKUP($A241,Cards!$A$2:$A1000,Cards!$B$2:$I1000,"")</f>
        <v>Mortal</v>
      </c>
      <c r="C241" s="33">
        <v>1.0</v>
      </c>
      <c r="D241" s="33" t="s">
        <v>1526</v>
      </c>
      <c r="E241" s="33" t="s">
        <v>1527</v>
      </c>
      <c r="F241" s="33"/>
      <c r="G241" s="33">
        <v>2.0</v>
      </c>
      <c r="H241" s="33" t="s">
        <v>995</v>
      </c>
      <c r="I241" s="33" t="s">
        <v>62</v>
      </c>
      <c r="J241" s="33">
        <f>IFERROR(__xludf.DUMMYFUNCTION("LEN(REGEXREPLACE(XLOOKUP($A241,Cards!$A$2:$A1000,Cards!$H$2:$H1000,""""),"",\s"",""""))"),2.0)</f>
        <v>2</v>
      </c>
      <c r="K241" s="33" t="str">
        <f t="shared" si="1"/>
        <v>               </v>
      </c>
      <c r="L241" s="33" t="str">
        <f>IFERROR(__xludf.DUMMYFUNCTION("IF(IF(L$1="""","""",REGEXMATCH(LOWER($E241),XLOOKUP(L$1,Metadata!$A$2:$A1000,Metadata!$B$2:$B1000))),L$1,"""")"),"")</f>
        <v/>
      </c>
      <c r="M241" s="33" t="str">
        <f>IFERROR(__xludf.DUMMYFUNCTION("IF(IF(M$1="""","""",REGEXMATCH(LOWER($E241),XLOOKUP(M$1,Metadata!$A$2:$A1000,Metadata!$B$2:$B1000))),M$1,"""")"),"")</f>
        <v/>
      </c>
      <c r="N241" s="33" t="str">
        <f>IFERROR(__xludf.DUMMYFUNCTION("IF(IF(N$1="""","""",REGEXMATCH(LOWER($E241),XLOOKUP(N$1,Metadata!$A$2:$A1000,Metadata!$B$2:$B1000))),N$1,"""")"),"")</f>
        <v/>
      </c>
      <c r="O241" s="33" t="str">
        <f>IFERROR(__xludf.DUMMYFUNCTION("IF(IF(O$1="""","""",REGEXMATCH(LOWER($E241),XLOOKUP(O$1,Metadata!$A$2:$A1000,Metadata!$B$2:$B1000))),O$1,"""")"),"")</f>
        <v/>
      </c>
      <c r="P241" s="33" t="str">
        <f>IFERROR(__xludf.DUMMYFUNCTION("IF(IF(P$1="""","""",REGEXMATCH(LOWER($E241),XLOOKUP(P$1,Metadata!$A$2:$A1000,Metadata!$B$2:$B1000))),P$1,"""")"),"")</f>
        <v/>
      </c>
      <c r="Q241" s="33" t="str">
        <f>IFERROR(__xludf.DUMMYFUNCTION("IF(IF(Q$1="""","""",REGEXMATCH(LOWER($E241),XLOOKUP(Q$1,Metadata!$A$2:$A1000,Metadata!$B$2:$B1000))),Q$1,"""")"),"")</f>
        <v/>
      </c>
      <c r="R241" s="33" t="str">
        <f>IFERROR(__xludf.DUMMYFUNCTION("IF(IF(R$1="""","""",REGEXMATCH(LOWER($E241),XLOOKUP(R$1,Metadata!$A$2:$A1000,Metadata!$B$2:$B1000))),R$1,"""")"),"")</f>
        <v/>
      </c>
      <c r="S241" s="33" t="str">
        <f>IFERROR(__xludf.DUMMYFUNCTION("IF(IF(S$1="""","""",REGEXMATCH(LOWER($E241),XLOOKUP(S$1,Metadata!$A$2:$A1000,Metadata!$B$2:$B1000))),S$1,"""")"),"")</f>
        <v/>
      </c>
      <c r="T241" s="33" t="str">
        <f>IFERROR(__xludf.DUMMYFUNCTION("IF(IF(T$1="""","""",REGEXMATCH(LOWER($E241),XLOOKUP(T$1,Metadata!$A$2:$A1000,Metadata!$B$2:$B1000))),T$1,"""")"),"")</f>
        <v/>
      </c>
      <c r="U241" s="33" t="str">
        <f>IFERROR(__xludf.DUMMYFUNCTION("IF(IF(U$1="""","""",REGEXMATCH(LOWER($E241),XLOOKUP(U$1,Metadata!$A$2:$A1000,Metadata!$B$2:$B1000))),U$1,"""")"),"")</f>
        <v/>
      </c>
      <c r="V241" s="33" t="str">
        <f>IFERROR(__xludf.DUMMYFUNCTION("IF(IF(V$1="""","""",REGEXMATCH(LOWER($E241),XLOOKUP(V$1,Metadata!$A$2:$A1000,Metadata!$B$2:$B1000))),V$1,"""")"),"")</f>
        <v/>
      </c>
      <c r="W241" s="33" t="str">
        <f>IFERROR(__xludf.DUMMYFUNCTION("IF(IF(W$1="""","""",REGEXMATCH(LOWER($E241),XLOOKUP(W$1,Metadata!$A$2:$A1000,Metadata!$B$2:$B1000))),W$1,"""")"),"")</f>
        <v/>
      </c>
      <c r="X241" s="33" t="str">
        <f>IFERROR(__xludf.DUMMYFUNCTION("IF(IF(X$1="""","""",REGEXMATCH(LOWER($E241),XLOOKUP(X$1,Metadata!$A$2:$A1000,Metadata!$B$2:$B1000))),X$1,"""")"),"")</f>
        <v/>
      </c>
      <c r="Y241" s="33" t="str">
        <f>IFERROR(__xludf.DUMMYFUNCTION("IF(IF(Y$1="""","""",REGEXMATCH(LOWER($E241),XLOOKUP(Y$1,Metadata!$A$2:$A1000,Metadata!$B$2:$B1000))),Y$1,"""")"),"")</f>
        <v/>
      </c>
      <c r="Z241" s="33" t="str">
        <f>IFERROR(__xludf.DUMMYFUNCTION("IF(IF(Z$1="""","""",REGEXMATCH(LOWER($E241),XLOOKUP(Z$1,Metadata!$A$2:$A1000,Metadata!$B$2:$B1000))),Z$1,"""")"),"")</f>
        <v/>
      </c>
      <c r="AA241" s="33" t="str">
        <f>IFERROR(__xludf.DUMMYFUNCTION("IF(AA$1="""","""",REGEXMATCH(LOWER($E241),XLOOKUP(AA$1,Metadata!$A$2:$A1000,Metadata!$B$2:$B1000)))"),"")</f>
        <v/>
      </c>
    </row>
    <row r="242">
      <c r="A242" s="33" t="str">
        <f>IFERROR(__xludf.DUMMYFUNCTION("""COMPUTED_VALUE"""),"Ordinary Flower Pot")</f>
        <v>Ordinary Flower Pot</v>
      </c>
      <c r="B242" s="33" t="str">
        <f t="array" ref="B242:I242">XLOOKUP($A242,Cards!$A$2:$A1000,Cards!$B$2:$I1000,"")</f>
        <v>Mortal</v>
      </c>
      <c r="C242" s="33">
        <v>1.0</v>
      </c>
      <c r="D242" s="33" t="s">
        <v>319</v>
      </c>
      <c r="E242" s="33" t="s">
        <v>1529</v>
      </c>
      <c r="F242" s="33"/>
      <c r="G242" s="33">
        <v>1.0</v>
      </c>
      <c r="H242" s="33" t="s">
        <v>1107</v>
      </c>
      <c r="I242" s="33" t="s">
        <v>62</v>
      </c>
      <c r="J242" s="33">
        <f>IFERROR(__xludf.DUMMYFUNCTION("LEN(REGEXREPLACE(XLOOKUP($A242,Cards!$A$2:$A1000,Cards!$H$2:$H1000,""""),"",\s"",""""))"),1.0)</f>
        <v>1</v>
      </c>
      <c r="K242" s="33" t="str">
        <f t="shared" si="1"/>
        <v>      Ramp Control  Aggro   Ambush   </v>
      </c>
      <c r="L242" s="33" t="str">
        <f>IFERROR(__xludf.DUMMYFUNCTION("IF(IF(L$1="""","""",REGEXMATCH(LOWER($E242),XLOOKUP(L$1,Metadata!$A$2:$A1000,Metadata!$B$2:$B1000))),L$1,"""")"),"")</f>
        <v/>
      </c>
      <c r="M242" s="33" t="str">
        <f>IFERROR(__xludf.DUMMYFUNCTION("IF(IF(M$1="""","""",REGEXMATCH(LOWER($E242),XLOOKUP(M$1,Metadata!$A$2:$A1000,Metadata!$B$2:$B1000))),M$1,"""")"),"")</f>
        <v/>
      </c>
      <c r="N242" s="33" t="str">
        <f>IFERROR(__xludf.DUMMYFUNCTION("IF(IF(N$1="""","""",REGEXMATCH(LOWER($E242),XLOOKUP(N$1,Metadata!$A$2:$A1000,Metadata!$B$2:$B1000))),N$1,"""")"),"")</f>
        <v/>
      </c>
      <c r="O242" s="33" t="str">
        <f>IFERROR(__xludf.DUMMYFUNCTION("IF(IF(O$1="""","""",REGEXMATCH(LOWER($E242),XLOOKUP(O$1,Metadata!$A$2:$A1000,Metadata!$B$2:$B1000))),O$1,"""")"),"")</f>
        <v/>
      </c>
      <c r="P242" s="33" t="str">
        <f>IFERROR(__xludf.DUMMYFUNCTION("IF(IF(P$1="""","""",REGEXMATCH(LOWER($E242),XLOOKUP(P$1,Metadata!$A$2:$A1000,Metadata!$B$2:$B1000))),P$1,"""")"),"")</f>
        <v/>
      </c>
      <c r="Q242" s="33" t="str">
        <f>IFERROR(__xludf.DUMMYFUNCTION("IF(IF(Q$1="""","""",REGEXMATCH(LOWER($E242),XLOOKUP(Q$1,Metadata!$A$2:$A1000,Metadata!$B$2:$B1000))),Q$1,"""")"),"")</f>
        <v/>
      </c>
      <c r="R242" s="33" t="str">
        <f>IFERROR(__xludf.DUMMYFUNCTION("IF(IF(R$1="""","""",REGEXMATCH(LOWER($E242),XLOOKUP(R$1,Metadata!$A$2:$A1000,Metadata!$B$2:$B1000))),R$1,"""")"),"Ramp")</f>
        <v>Ramp</v>
      </c>
      <c r="S242" s="33" t="str">
        <f>IFERROR(__xludf.DUMMYFUNCTION("IF(IF(S$1="""","""",REGEXMATCH(LOWER($E242),XLOOKUP(S$1,Metadata!$A$2:$A1000,Metadata!$B$2:$B1000))),S$1,"""")"),"Control")</f>
        <v>Control</v>
      </c>
      <c r="T242" s="33" t="str">
        <f>IFERROR(__xludf.DUMMYFUNCTION("IF(IF(T$1="""","""",REGEXMATCH(LOWER($E242),XLOOKUP(T$1,Metadata!$A$2:$A1000,Metadata!$B$2:$B1000))),T$1,"""")"),"")</f>
        <v/>
      </c>
      <c r="U242" s="33" t="str">
        <f>IFERROR(__xludf.DUMMYFUNCTION("IF(IF(U$1="""","""",REGEXMATCH(LOWER($E242),XLOOKUP(U$1,Metadata!$A$2:$A1000,Metadata!$B$2:$B1000))),U$1,"""")"),"Aggro")</f>
        <v>Aggro</v>
      </c>
      <c r="V242" s="33" t="str">
        <f>IFERROR(__xludf.DUMMYFUNCTION("IF(IF(V$1="""","""",REGEXMATCH(LOWER($E242),XLOOKUP(V$1,Metadata!$A$2:$A1000,Metadata!$B$2:$B1000))),V$1,"""")"),"")</f>
        <v/>
      </c>
      <c r="W242" s="33" t="str">
        <f>IFERROR(__xludf.DUMMYFUNCTION("IF(IF(W$1="""","""",REGEXMATCH(LOWER($E242),XLOOKUP(W$1,Metadata!$A$2:$A1000,Metadata!$B$2:$B1000))),W$1,"""")"),"")</f>
        <v/>
      </c>
      <c r="X242" s="33" t="str">
        <f>IFERROR(__xludf.DUMMYFUNCTION("IF(IF(X$1="""","""",REGEXMATCH(LOWER($E242),XLOOKUP(X$1,Metadata!$A$2:$A1000,Metadata!$B$2:$B1000))),X$1,"""")"),"Ambush")</f>
        <v>Ambush</v>
      </c>
      <c r="Y242" s="33" t="str">
        <f>IFERROR(__xludf.DUMMYFUNCTION("IF(IF(Y$1="""","""",REGEXMATCH(LOWER($E242),XLOOKUP(Y$1,Metadata!$A$2:$A1000,Metadata!$B$2:$B1000))),Y$1,"""")"),"")</f>
        <v/>
      </c>
      <c r="Z242" s="33" t="str">
        <f>IFERROR(__xludf.DUMMYFUNCTION("IF(IF(Z$1="""","""",REGEXMATCH(LOWER($E242),XLOOKUP(Z$1,Metadata!$A$2:$A1000,Metadata!$B$2:$B1000))),Z$1,"""")"),"")</f>
        <v/>
      </c>
      <c r="AA242" s="33" t="str">
        <f>IFERROR(__xludf.DUMMYFUNCTION("IF(AA$1="""","""",REGEXMATCH(LOWER($E242),XLOOKUP(AA$1,Metadata!$A$2:$A1000,Metadata!$B$2:$B1000)))"),"")</f>
        <v/>
      </c>
    </row>
    <row r="243">
      <c r="A243" s="33" t="str">
        <f>IFERROR(__xludf.DUMMYFUNCTION("""COMPUTED_VALUE"""),"Ancient Scholar")</f>
        <v>Ancient Scholar</v>
      </c>
      <c r="B243" s="33" t="str">
        <f t="array" ref="B243:I243">XLOOKUP($A243,Cards!$A$2:$A1000,Cards!$B$2:$I1000,"")</f>
        <v>Mortal</v>
      </c>
      <c r="C243" s="33">
        <v>1.0</v>
      </c>
      <c r="D243" s="33" t="s">
        <v>82</v>
      </c>
      <c r="E243" s="33"/>
      <c r="F243" s="33"/>
      <c r="G243" s="33">
        <v>3.0</v>
      </c>
      <c r="H243" s="33" t="s">
        <v>1254</v>
      </c>
      <c r="I243" s="33" t="s">
        <v>26</v>
      </c>
      <c r="J243" s="33">
        <f>IFERROR(__xludf.DUMMYFUNCTION("LEN(REGEXREPLACE(XLOOKUP($A243,Cards!$A$2:$A1000,Cards!$H$2:$H1000,""""),"",\s"",""""))"),2.0)</f>
        <v>2</v>
      </c>
      <c r="K243" s="33" t="str">
        <f t="shared" si="1"/>
        <v>               </v>
      </c>
      <c r="L243" s="33" t="str">
        <f>IFERROR(__xludf.DUMMYFUNCTION("IF(IF(L$1="""","""",REGEXMATCH(LOWER($E243),XLOOKUP(L$1,Metadata!$A$2:$A1000,Metadata!$B$2:$B1000))),L$1,"""")"),"")</f>
        <v/>
      </c>
      <c r="M243" s="33" t="str">
        <f>IFERROR(__xludf.DUMMYFUNCTION("IF(IF(M$1="""","""",REGEXMATCH(LOWER($E243),XLOOKUP(M$1,Metadata!$A$2:$A1000,Metadata!$B$2:$B1000))),M$1,"""")"),"")</f>
        <v/>
      </c>
      <c r="N243" s="33" t="str">
        <f>IFERROR(__xludf.DUMMYFUNCTION("IF(IF(N$1="""","""",REGEXMATCH(LOWER($E243),XLOOKUP(N$1,Metadata!$A$2:$A1000,Metadata!$B$2:$B1000))),N$1,"""")"),"")</f>
        <v/>
      </c>
      <c r="O243" s="33" t="str">
        <f>IFERROR(__xludf.DUMMYFUNCTION("IF(IF(O$1="""","""",REGEXMATCH(LOWER($E243),XLOOKUP(O$1,Metadata!$A$2:$A1000,Metadata!$B$2:$B1000))),O$1,"""")"),"")</f>
        <v/>
      </c>
      <c r="P243" s="33" t="str">
        <f>IFERROR(__xludf.DUMMYFUNCTION("IF(IF(P$1="""","""",REGEXMATCH(LOWER($E243),XLOOKUP(P$1,Metadata!$A$2:$A1000,Metadata!$B$2:$B1000))),P$1,"""")"),"")</f>
        <v/>
      </c>
      <c r="Q243" s="33" t="str">
        <f>IFERROR(__xludf.DUMMYFUNCTION("IF(IF(Q$1="""","""",REGEXMATCH(LOWER($E243),XLOOKUP(Q$1,Metadata!$A$2:$A1000,Metadata!$B$2:$B1000))),Q$1,"""")"),"")</f>
        <v/>
      </c>
      <c r="R243" s="33" t="str">
        <f>IFERROR(__xludf.DUMMYFUNCTION("IF(IF(R$1="""","""",REGEXMATCH(LOWER($E243),XLOOKUP(R$1,Metadata!$A$2:$A1000,Metadata!$B$2:$B1000))),R$1,"""")"),"")</f>
        <v/>
      </c>
      <c r="S243" s="33" t="str">
        <f>IFERROR(__xludf.DUMMYFUNCTION("IF(IF(S$1="""","""",REGEXMATCH(LOWER($E243),XLOOKUP(S$1,Metadata!$A$2:$A1000,Metadata!$B$2:$B1000))),S$1,"""")"),"")</f>
        <v/>
      </c>
      <c r="T243" s="33" t="str">
        <f>IFERROR(__xludf.DUMMYFUNCTION("IF(IF(T$1="""","""",REGEXMATCH(LOWER($E243),XLOOKUP(T$1,Metadata!$A$2:$A1000,Metadata!$B$2:$B1000))),T$1,"""")"),"")</f>
        <v/>
      </c>
      <c r="U243" s="33" t="str">
        <f>IFERROR(__xludf.DUMMYFUNCTION("IF(IF(U$1="""","""",REGEXMATCH(LOWER($E243),XLOOKUP(U$1,Metadata!$A$2:$A1000,Metadata!$B$2:$B1000))),U$1,"""")"),"")</f>
        <v/>
      </c>
      <c r="V243" s="33" t="str">
        <f>IFERROR(__xludf.DUMMYFUNCTION("IF(IF(V$1="""","""",REGEXMATCH(LOWER($E243),XLOOKUP(V$1,Metadata!$A$2:$A1000,Metadata!$B$2:$B1000))),V$1,"""")"),"")</f>
        <v/>
      </c>
      <c r="W243" s="33" t="str">
        <f>IFERROR(__xludf.DUMMYFUNCTION("IF(IF(W$1="""","""",REGEXMATCH(LOWER($E243),XLOOKUP(W$1,Metadata!$A$2:$A1000,Metadata!$B$2:$B1000))),W$1,"""")"),"")</f>
        <v/>
      </c>
      <c r="X243" s="33" t="str">
        <f>IFERROR(__xludf.DUMMYFUNCTION("IF(IF(X$1="""","""",REGEXMATCH(LOWER($E243),XLOOKUP(X$1,Metadata!$A$2:$A1000,Metadata!$B$2:$B1000))),X$1,"""")"),"")</f>
        <v/>
      </c>
      <c r="Y243" s="33" t="str">
        <f>IFERROR(__xludf.DUMMYFUNCTION("IF(IF(Y$1="""","""",REGEXMATCH(LOWER($E243),XLOOKUP(Y$1,Metadata!$A$2:$A1000,Metadata!$B$2:$B1000))),Y$1,"""")"),"")</f>
        <v/>
      </c>
      <c r="Z243" s="33" t="str">
        <f>IFERROR(__xludf.DUMMYFUNCTION("IF(IF(Z$1="""","""",REGEXMATCH(LOWER($E243),XLOOKUP(Z$1,Metadata!$A$2:$A1000,Metadata!$B$2:$B1000))),Z$1,"""")"),"")</f>
        <v/>
      </c>
      <c r="AA243" s="33" t="str">
        <f>IFERROR(__xludf.DUMMYFUNCTION("IF(AA$1="""","""",REGEXMATCH(LOWER($E243),XLOOKUP(AA$1,Metadata!$A$2:$A1000,Metadata!$B$2:$B1000)))"),"")</f>
        <v/>
      </c>
    </row>
    <row r="244">
      <c r="A244" s="33" t="str">
        <f>IFERROR(__xludf.DUMMYFUNCTION("""COMPUTED_VALUE"""),"Little Lamb")</f>
        <v>Little Lamb</v>
      </c>
      <c r="B244" s="33" t="str">
        <f t="array" ref="B244:I244">XLOOKUP($A244,Cards!$A$2:$A1000,Cards!$B$2:$I1000,"")</f>
        <v>Nature</v>
      </c>
      <c r="C244" s="33">
        <v>2.0</v>
      </c>
      <c r="D244" s="33" t="s">
        <v>97</v>
      </c>
      <c r="E244" s="33" t="s">
        <v>1532</v>
      </c>
      <c r="F244" s="33" t="s">
        <v>24</v>
      </c>
      <c r="G244" s="33">
        <v>1.0</v>
      </c>
      <c r="H244" s="33" t="s">
        <v>1446</v>
      </c>
      <c r="I244" s="33" t="s">
        <v>26</v>
      </c>
      <c r="J244" s="33">
        <f>IFERROR(__xludf.DUMMYFUNCTION("LEN(REGEXREPLACE(XLOOKUP($A244,Cards!$A$2:$A1000,Cards!$H$2:$H1000,""""),"",\s"",""""))"),2.0)</f>
        <v>2</v>
      </c>
      <c r="K244" s="33" t="str">
        <f t="shared" si="1"/>
        <v>               </v>
      </c>
      <c r="L244" s="33" t="str">
        <f>IFERROR(__xludf.DUMMYFUNCTION("IF(IF(L$1="""","""",REGEXMATCH(LOWER($E244),XLOOKUP(L$1,Metadata!$A$2:$A1000,Metadata!$B$2:$B1000))),L$1,"""")"),"")</f>
        <v/>
      </c>
      <c r="M244" s="33" t="str">
        <f>IFERROR(__xludf.DUMMYFUNCTION("IF(IF(M$1="""","""",REGEXMATCH(LOWER($E244),XLOOKUP(M$1,Metadata!$A$2:$A1000,Metadata!$B$2:$B1000))),M$1,"""")"),"")</f>
        <v/>
      </c>
      <c r="N244" s="33" t="str">
        <f>IFERROR(__xludf.DUMMYFUNCTION("IF(IF(N$1="""","""",REGEXMATCH(LOWER($E244),XLOOKUP(N$1,Metadata!$A$2:$A1000,Metadata!$B$2:$B1000))),N$1,"""")"),"")</f>
        <v/>
      </c>
      <c r="O244" s="33" t="str">
        <f>IFERROR(__xludf.DUMMYFUNCTION("IF(IF(O$1="""","""",REGEXMATCH(LOWER($E244),XLOOKUP(O$1,Metadata!$A$2:$A1000,Metadata!$B$2:$B1000))),O$1,"""")"),"")</f>
        <v/>
      </c>
      <c r="P244" s="33" t="str">
        <f>IFERROR(__xludf.DUMMYFUNCTION("IF(IF(P$1="""","""",REGEXMATCH(LOWER($E244),XLOOKUP(P$1,Metadata!$A$2:$A1000,Metadata!$B$2:$B1000))),P$1,"""")"),"")</f>
        <v/>
      </c>
      <c r="Q244" s="33" t="str">
        <f>IFERROR(__xludf.DUMMYFUNCTION("IF(IF(Q$1="""","""",REGEXMATCH(LOWER($E244),XLOOKUP(Q$1,Metadata!$A$2:$A1000,Metadata!$B$2:$B1000))),Q$1,"""")"),"")</f>
        <v/>
      </c>
      <c r="R244" s="33" t="str">
        <f>IFERROR(__xludf.DUMMYFUNCTION("IF(IF(R$1="""","""",REGEXMATCH(LOWER($E244),XLOOKUP(R$1,Metadata!$A$2:$A1000,Metadata!$B$2:$B1000))),R$1,"""")"),"")</f>
        <v/>
      </c>
      <c r="S244" s="33" t="str">
        <f>IFERROR(__xludf.DUMMYFUNCTION("IF(IF(S$1="""","""",REGEXMATCH(LOWER($E244),XLOOKUP(S$1,Metadata!$A$2:$A1000,Metadata!$B$2:$B1000))),S$1,"""")"),"")</f>
        <v/>
      </c>
      <c r="T244" s="33" t="str">
        <f>IFERROR(__xludf.DUMMYFUNCTION("IF(IF(T$1="""","""",REGEXMATCH(LOWER($E244),XLOOKUP(T$1,Metadata!$A$2:$A1000,Metadata!$B$2:$B1000))),T$1,"""")"),"")</f>
        <v/>
      </c>
      <c r="U244" s="33" t="str">
        <f>IFERROR(__xludf.DUMMYFUNCTION("IF(IF(U$1="""","""",REGEXMATCH(LOWER($E244),XLOOKUP(U$1,Metadata!$A$2:$A1000,Metadata!$B$2:$B1000))),U$1,"""")"),"")</f>
        <v/>
      </c>
      <c r="V244" s="33" t="str">
        <f>IFERROR(__xludf.DUMMYFUNCTION("IF(IF(V$1="""","""",REGEXMATCH(LOWER($E244),XLOOKUP(V$1,Metadata!$A$2:$A1000,Metadata!$B$2:$B1000))),V$1,"""")"),"")</f>
        <v/>
      </c>
      <c r="W244" s="33" t="str">
        <f>IFERROR(__xludf.DUMMYFUNCTION("IF(IF(W$1="""","""",REGEXMATCH(LOWER($E244),XLOOKUP(W$1,Metadata!$A$2:$A1000,Metadata!$B$2:$B1000))),W$1,"""")"),"")</f>
        <v/>
      </c>
      <c r="X244" s="33" t="str">
        <f>IFERROR(__xludf.DUMMYFUNCTION("IF(IF(X$1="""","""",REGEXMATCH(LOWER($E244),XLOOKUP(X$1,Metadata!$A$2:$A1000,Metadata!$B$2:$B1000))),X$1,"""")"),"")</f>
        <v/>
      </c>
      <c r="Y244" s="33" t="str">
        <f>IFERROR(__xludf.DUMMYFUNCTION("IF(IF(Y$1="""","""",REGEXMATCH(LOWER($E244),XLOOKUP(Y$1,Metadata!$A$2:$A1000,Metadata!$B$2:$B1000))),Y$1,"""")"),"")</f>
        <v/>
      </c>
      <c r="Z244" s="33" t="str">
        <f>IFERROR(__xludf.DUMMYFUNCTION("IF(IF(Z$1="""","""",REGEXMATCH(LOWER($E244),XLOOKUP(Z$1,Metadata!$A$2:$A1000,Metadata!$B$2:$B1000))),Z$1,"""")"),"")</f>
        <v/>
      </c>
      <c r="AA244" s="33" t="str">
        <f>IFERROR(__xludf.DUMMYFUNCTION("IF(AA$1="""","""",REGEXMATCH(LOWER($E244),XLOOKUP(AA$1,Metadata!$A$2:$A1000,Metadata!$B$2:$B1000)))"),"")</f>
        <v/>
      </c>
    </row>
    <row r="245">
      <c r="A245" s="33" t="str">
        <f>IFERROR(__xludf.DUMMYFUNCTION("""COMPUTED_VALUE"""),"Weaponized Pest")</f>
        <v>Weaponized Pest</v>
      </c>
      <c r="B245" s="33" t="str">
        <f t="array" ref="B245:I245">XLOOKUP($A245,Cards!$A$2:$A1000,Cards!$B$2:$I1000,"")</f>
        <v>Mortal</v>
      </c>
      <c r="C245" s="33">
        <v>1.0</v>
      </c>
      <c r="D245" s="33" t="s">
        <v>1313</v>
      </c>
      <c r="E245" s="33"/>
      <c r="F245" s="33" t="s">
        <v>1534</v>
      </c>
      <c r="G245" s="33"/>
      <c r="H245" s="33" t="s">
        <v>1535</v>
      </c>
      <c r="I245" s="33" t="s">
        <v>26</v>
      </c>
      <c r="J245" s="33">
        <f>IFERROR(__xludf.DUMMYFUNCTION("LEN(REGEXREPLACE(XLOOKUP($A245,Cards!$A$2:$A1000,Cards!$H$2:$H1000,""""),"",\s"",""""))"),7.0)</f>
        <v>7</v>
      </c>
      <c r="K245" s="33" t="str">
        <f t="shared" si="1"/>
        <v>               </v>
      </c>
      <c r="L245" s="33" t="str">
        <f>IFERROR(__xludf.DUMMYFUNCTION("IF(IF(L$1="""","""",REGEXMATCH(LOWER($E245),XLOOKUP(L$1,Metadata!$A$2:$A1000,Metadata!$B$2:$B1000))),L$1,"""")"),"")</f>
        <v/>
      </c>
      <c r="M245" s="33" t="str">
        <f>IFERROR(__xludf.DUMMYFUNCTION("IF(IF(M$1="""","""",REGEXMATCH(LOWER($E245),XLOOKUP(M$1,Metadata!$A$2:$A1000,Metadata!$B$2:$B1000))),M$1,"""")"),"")</f>
        <v/>
      </c>
      <c r="N245" s="33" t="str">
        <f>IFERROR(__xludf.DUMMYFUNCTION("IF(IF(N$1="""","""",REGEXMATCH(LOWER($E245),XLOOKUP(N$1,Metadata!$A$2:$A1000,Metadata!$B$2:$B1000))),N$1,"""")"),"")</f>
        <v/>
      </c>
      <c r="O245" s="33" t="str">
        <f>IFERROR(__xludf.DUMMYFUNCTION("IF(IF(O$1="""","""",REGEXMATCH(LOWER($E245),XLOOKUP(O$1,Metadata!$A$2:$A1000,Metadata!$B$2:$B1000))),O$1,"""")"),"")</f>
        <v/>
      </c>
      <c r="P245" s="33" t="str">
        <f>IFERROR(__xludf.DUMMYFUNCTION("IF(IF(P$1="""","""",REGEXMATCH(LOWER($E245),XLOOKUP(P$1,Metadata!$A$2:$A1000,Metadata!$B$2:$B1000))),P$1,"""")"),"")</f>
        <v/>
      </c>
      <c r="Q245" s="33" t="str">
        <f>IFERROR(__xludf.DUMMYFUNCTION("IF(IF(Q$1="""","""",REGEXMATCH(LOWER($E245),XLOOKUP(Q$1,Metadata!$A$2:$A1000,Metadata!$B$2:$B1000))),Q$1,"""")"),"")</f>
        <v/>
      </c>
      <c r="R245" s="33" t="str">
        <f>IFERROR(__xludf.DUMMYFUNCTION("IF(IF(R$1="""","""",REGEXMATCH(LOWER($E245),XLOOKUP(R$1,Metadata!$A$2:$A1000,Metadata!$B$2:$B1000))),R$1,"""")"),"")</f>
        <v/>
      </c>
      <c r="S245" s="33" t="str">
        <f>IFERROR(__xludf.DUMMYFUNCTION("IF(IF(S$1="""","""",REGEXMATCH(LOWER($E245),XLOOKUP(S$1,Metadata!$A$2:$A1000,Metadata!$B$2:$B1000))),S$1,"""")"),"")</f>
        <v/>
      </c>
      <c r="T245" s="33" t="str">
        <f>IFERROR(__xludf.DUMMYFUNCTION("IF(IF(T$1="""","""",REGEXMATCH(LOWER($E245),XLOOKUP(T$1,Metadata!$A$2:$A1000,Metadata!$B$2:$B1000))),T$1,"""")"),"")</f>
        <v/>
      </c>
      <c r="U245" s="33" t="str">
        <f>IFERROR(__xludf.DUMMYFUNCTION("IF(IF(U$1="""","""",REGEXMATCH(LOWER($E245),XLOOKUP(U$1,Metadata!$A$2:$A1000,Metadata!$B$2:$B1000))),U$1,"""")"),"")</f>
        <v/>
      </c>
      <c r="V245" s="33" t="str">
        <f>IFERROR(__xludf.DUMMYFUNCTION("IF(IF(V$1="""","""",REGEXMATCH(LOWER($E245),XLOOKUP(V$1,Metadata!$A$2:$A1000,Metadata!$B$2:$B1000))),V$1,"""")"),"")</f>
        <v/>
      </c>
      <c r="W245" s="33" t="str">
        <f>IFERROR(__xludf.DUMMYFUNCTION("IF(IF(W$1="""","""",REGEXMATCH(LOWER($E245),XLOOKUP(W$1,Metadata!$A$2:$A1000,Metadata!$B$2:$B1000))),W$1,"""")"),"")</f>
        <v/>
      </c>
      <c r="X245" s="33" t="str">
        <f>IFERROR(__xludf.DUMMYFUNCTION("IF(IF(X$1="""","""",REGEXMATCH(LOWER($E245),XLOOKUP(X$1,Metadata!$A$2:$A1000,Metadata!$B$2:$B1000))),X$1,"""")"),"")</f>
        <v/>
      </c>
      <c r="Y245" s="33" t="str">
        <f>IFERROR(__xludf.DUMMYFUNCTION("IF(IF(Y$1="""","""",REGEXMATCH(LOWER($E245),XLOOKUP(Y$1,Metadata!$A$2:$A1000,Metadata!$B$2:$B1000))),Y$1,"""")"),"")</f>
        <v/>
      </c>
      <c r="Z245" s="33" t="str">
        <f>IFERROR(__xludf.DUMMYFUNCTION("IF(IF(Z$1="""","""",REGEXMATCH(LOWER($E245),XLOOKUP(Z$1,Metadata!$A$2:$A1000,Metadata!$B$2:$B1000))),Z$1,"""")"),"")</f>
        <v/>
      </c>
      <c r="AA245" s="33" t="str">
        <f>IFERROR(__xludf.DUMMYFUNCTION("IF(AA$1="""","""",REGEXMATCH(LOWER($E245),XLOOKUP(AA$1,Metadata!$A$2:$A1000,Metadata!$B$2:$B1000)))"),"")</f>
        <v/>
      </c>
    </row>
    <row r="246">
      <c r="A246" s="33" t="str">
        <f>IFERROR(__xludf.DUMMYFUNCTION("""COMPUTED_VALUE"""),"Beastcaster")</f>
        <v>Beastcaster</v>
      </c>
      <c r="B246" s="33" t="str">
        <f t="array" ref="B246:I246">XLOOKUP($A246,Cards!$A$2:$A1000,Cards!$B$2:$I1000,"")</f>
        <v>Mortal</v>
      </c>
      <c r="C246" s="33">
        <v>1.0</v>
      </c>
      <c r="D246" s="33" t="s">
        <v>294</v>
      </c>
      <c r="E246" s="33" t="s">
        <v>1537</v>
      </c>
      <c r="F246" s="33"/>
      <c r="G246" s="33">
        <v>3.0</v>
      </c>
      <c r="H246" s="33" t="s">
        <v>390</v>
      </c>
      <c r="I246" s="33" t="s">
        <v>26</v>
      </c>
      <c r="J246" s="33">
        <f>IFERROR(__xludf.DUMMYFUNCTION("LEN(REGEXREPLACE(XLOOKUP($A246,Cards!$A$2:$A1000,Cards!$H$2:$H1000,""""),"",\s"",""""))"),5.0)</f>
        <v>5</v>
      </c>
      <c r="K246" s="33" t="str">
        <f t="shared" si="1"/>
        <v>           Move    </v>
      </c>
      <c r="L246" s="33" t="str">
        <f>IFERROR(__xludf.DUMMYFUNCTION("IF(IF(L$1="""","""",REGEXMATCH(LOWER($E246),XLOOKUP(L$1,Metadata!$A$2:$A1000,Metadata!$B$2:$B1000))),L$1,"""")"),"")</f>
        <v/>
      </c>
      <c r="M246" s="33" t="str">
        <f>IFERROR(__xludf.DUMMYFUNCTION("IF(IF(M$1="""","""",REGEXMATCH(LOWER($E246),XLOOKUP(M$1,Metadata!$A$2:$A1000,Metadata!$B$2:$B1000))),M$1,"""")"),"")</f>
        <v/>
      </c>
      <c r="N246" s="33" t="str">
        <f>IFERROR(__xludf.DUMMYFUNCTION("IF(IF(N$1="""","""",REGEXMATCH(LOWER($E246),XLOOKUP(N$1,Metadata!$A$2:$A1000,Metadata!$B$2:$B1000))),N$1,"""")"),"")</f>
        <v/>
      </c>
      <c r="O246" s="33" t="str">
        <f>IFERROR(__xludf.DUMMYFUNCTION("IF(IF(O$1="""","""",REGEXMATCH(LOWER($E246),XLOOKUP(O$1,Metadata!$A$2:$A1000,Metadata!$B$2:$B1000))),O$1,"""")"),"")</f>
        <v/>
      </c>
      <c r="P246" s="33" t="str">
        <f>IFERROR(__xludf.DUMMYFUNCTION("IF(IF(P$1="""","""",REGEXMATCH(LOWER($E246),XLOOKUP(P$1,Metadata!$A$2:$A1000,Metadata!$B$2:$B1000))),P$1,"""")"),"")</f>
        <v/>
      </c>
      <c r="Q246" s="33" t="str">
        <f>IFERROR(__xludf.DUMMYFUNCTION("IF(IF(Q$1="""","""",REGEXMATCH(LOWER($E246),XLOOKUP(Q$1,Metadata!$A$2:$A1000,Metadata!$B$2:$B1000))),Q$1,"""")"),"")</f>
        <v/>
      </c>
      <c r="R246" s="33" t="str">
        <f>IFERROR(__xludf.DUMMYFUNCTION("IF(IF(R$1="""","""",REGEXMATCH(LOWER($E246),XLOOKUP(R$1,Metadata!$A$2:$A1000,Metadata!$B$2:$B1000))),R$1,"""")"),"")</f>
        <v/>
      </c>
      <c r="S246" s="33" t="str">
        <f>IFERROR(__xludf.DUMMYFUNCTION("IF(IF(S$1="""","""",REGEXMATCH(LOWER($E246),XLOOKUP(S$1,Metadata!$A$2:$A1000,Metadata!$B$2:$B1000))),S$1,"""")"),"")</f>
        <v/>
      </c>
      <c r="T246" s="33" t="str">
        <f>IFERROR(__xludf.DUMMYFUNCTION("IF(IF(T$1="""","""",REGEXMATCH(LOWER($E246),XLOOKUP(T$1,Metadata!$A$2:$A1000,Metadata!$B$2:$B1000))),T$1,"""")"),"")</f>
        <v/>
      </c>
      <c r="U246" s="33" t="str">
        <f>IFERROR(__xludf.DUMMYFUNCTION("IF(IF(U$1="""","""",REGEXMATCH(LOWER($E246),XLOOKUP(U$1,Metadata!$A$2:$A1000,Metadata!$B$2:$B1000))),U$1,"""")"),"")</f>
        <v/>
      </c>
      <c r="V246" s="33" t="str">
        <f>IFERROR(__xludf.DUMMYFUNCTION("IF(IF(V$1="""","""",REGEXMATCH(LOWER($E246),XLOOKUP(V$1,Metadata!$A$2:$A1000,Metadata!$B$2:$B1000))),V$1,"""")"),"")</f>
        <v/>
      </c>
      <c r="W246" s="33" t="str">
        <f>IFERROR(__xludf.DUMMYFUNCTION("IF(IF(W$1="""","""",REGEXMATCH(LOWER($E246),XLOOKUP(W$1,Metadata!$A$2:$A1000,Metadata!$B$2:$B1000))),W$1,"""")"),"Move")</f>
        <v>Move</v>
      </c>
      <c r="X246" s="33" t="str">
        <f>IFERROR(__xludf.DUMMYFUNCTION("IF(IF(X$1="""","""",REGEXMATCH(LOWER($E246),XLOOKUP(X$1,Metadata!$A$2:$A1000,Metadata!$B$2:$B1000))),X$1,"""")"),"")</f>
        <v/>
      </c>
      <c r="Y246" s="33" t="str">
        <f>IFERROR(__xludf.DUMMYFUNCTION("IF(IF(Y$1="""","""",REGEXMATCH(LOWER($E246),XLOOKUP(Y$1,Metadata!$A$2:$A1000,Metadata!$B$2:$B1000))),Y$1,"""")"),"")</f>
        <v/>
      </c>
      <c r="Z246" s="33" t="str">
        <f>IFERROR(__xludf.DUMMYFUNCTION("IF(IF(Z$1="""","""",REGEXMATCH(LOWER($E246),XLOOKUP(Z$1,Metadata!$A$2:$A1000,Metadata!$B$2:$B1000))),Z$1,"""")"),"")</f>
        <v/>
      </c>
      <c r="AA246" s="33" t="str">
        <f>IFERROR(__xludf.DUMMYFUNCTION("IF(AA$1="""","""",REGEXMATCH(LOWER($E246),XLOOKUP(AA$1,Metadata!$A$2:$A1000,Metadata!$B$2:$B1000)))"),"")</f>
        <v/>
      </c>
    </row>
    <row r="247">
      <c r="A247" s="33" t="str">
        <f>IFERROR(__xludf.DUMMYFUNCTION("""COMPUTED_VALUE"""),"Trained War Elephant")</f>
        <v>Trained War Elephant</v>
      </c>
      <c r="B247" s="33" t="str">
        <f t="array" ref="B247:I247">XLOOKUP($A247,Cards!$A$2:$A1000,Cards!$B$2:$I1000,"")</f>
        <v>Mortal Nature</v>
      </c>
      <c r="C247" s="33">
        <v>1.0</v>
      </c>
      <c r="D247" s="33" t="s">
        <v>946</v>
      </c>
      <c r="E247" s="33" t="s">
        <v>1539</v>
      </c>
      <c r="F247" s="33" t="s">
        <v>1540</v>
      </c>
      <c r="G247" s="33">
        <v>3.0</v>
      </c>
      <c r="H247" s="33" t="s">
        <v>1541</v>
      </c>
      <c r="I247" s="33" t="s">
        <v>62</v>
      </c>
      <c r="J247" s="33">
        <f>IFERROR(__xludf.DUMMYFUNCTION("LEN(REGEXREPLACE(XLOOKUP($A247,Cards!$A$2:$A1000,Cards!$H$2:$H1000,""""),"",\s"",""""))"),4.0)</f>
        <v>4</v>
      </c>
      <c r="K247" s="33" t="str">
        <f t="shared" si="1"/>
        <v>  Mortal             </v>
      </c>
      <c r="L247" s="33" t="str">
        <f>IFERROR(__xludf.DUMMYFUNCTION("IF(IF(L$1="""","""",REGEXMATCH(LOWER($E247),XLOOKUP(L$1,Metadata!$A$2:$A1000,Metadata!$B$2:$B1000))),L$1,"""")"),"")</f>
        <v/>
      </c>
      <c r="M247" s="33" t="str">
        <f>IFERROR(__xludf.DUMMYFUNCTION("IF(IF(M$1="""","""",REGEXMATCH(LOWER($E247),XLOOKUP(M$1,Metadata!$A$2:$A1000,Metadata!$B$2:$B1000))),M$1,"""")"),"")</f>
        <v/>
      </c>
      <c r="N247" s="33" t="str">
        <f>IFERROR(__xludf.DUMMYFUNCTION("IF(IF(N$1="""","""",REGEXMATCH(LOWER($E247),XLOOKUP(N$1,Metadata!$A$2:$A1000,Metadata!$B$2:$B1000))),N$1,"""")"),"Mortal")</f>
        <v>Mortal</v>
      </c>
      <c r="O247" s="33" t="str">
        <f>IFERROR(__xludf.DUMMYFUNCTION("IF(IF(O$1="""","""",REGEXMATCH(LOWER($E247),XLOOKUP(O$1,Metadata!$A$2:$A1000,Metadata!$B$2:$B1000))),O$1,"""")"),"")</f>
        <v/>
      </c>
      <c r="P247" s="33" t="str">
        <f>IFERROR(__xludf.DUMMYFUNCTION("IF(IF(P$1="""","""",REGEXMATCH(LOWER($E247),XLOOKUP(P$1,Metadata!$A$2:$A1000,Metadata!$B$2:$B1000))),P$1,"""")"),"")</f>
        <v/>
      </c>
      <c r="Q247" s="33" t="str">
        <f>IFERROR(__xludf.DUMMYFUNCTION("IF(IF(Q$1="""","""",REGEXMATCH(LOWER($E247),XLOOKUP(Q$1,Metadata!$A$2:$A1000,Metadata!$B$2:$B1000))),Q$1,"""")"),"")</f>
        <v/>
      </c>
      <c r="R247" s="33" t="str">
        <f>IFERROR(__xludf.DUMMYFUNCTION("IF(IF(R$1="""","""",REGEXMATCH(LOWER($E247),XLOOKUP(R$1,Metadata!$A$2:$A1000,Metadata!$B$2:$B1000))),R$1,"""")"),"")</f>
        <v/>
      </c>
      <c r="S247" s="33" t="str">
        <f>IFERROR(__xludf.DUMMYFUNCTION("IF(IF(S$1="""","""",REGEXMATCH(LOWER($E247),XLOOKUP(S$1,Metadata!$A$2:$A1000,Metadata!$B$2:$B1000))),S$1,"""")"),"")</f>
        <v/>
      </c>
      <c r="T247" s="33" t="str">
        <f>IFERROR(__xludf.DUMMYFUNCTION("IF(IF(T$1="""","""",REGEXMATCH(LOWER($E247),XLOOKUP(T$1,Metadata!$A$2:$A1000,Metadata!$B$2:$B1000))),T$1,"""")"),"")</f>
        <v/>
      </c>
      <c r="U247" s="33" t="str">
        <f>IFERROR(__xludf.DUMMYFUNCTION("IF(IF(U$1="""","""",REGEXMATCH(LOWER($E247),XLOOKUP(U$1,Metadata!$A$2:$A1000,Metadata!$B$2:$B1000))),U$1,"""")"),"")</f>
        <v/>
      </c>
      <c r="V247" s="33" t="str">
        <f>IFERROR(__xludf.DUMMYFUNCTION("IF(IF(V$1="""","""",REGEXMATCH(LOWER($E247),XLOOKUP(V$1,Metadata!$A$2:$A1000,Metadata!$B$2:$B1000))),V$1,"""")"),"")</f>
        <v/>
      </c>
      <c r="W247" s="33" t="str">
        <f>IFERROR(__xludf.DUMMYFUNCTION("IF(IF(W$1="""","""",REGEXMATCH(LOWER($E247),XLOOKUP(W$1,Metadata!$A$2:$A1000,Metadata!$B$2:$B1000))),W$1,"""")"),"")</f>
        <v/>
      </c>
      <c r="X247" s="33" t="str">
        <f>IFERROR(__xludf.DUMMYFUNCTION("IF(IF(X$1="""","""",REGEXMATCH(LOWER($E247),XLOOKUP(X$1,Metadata!$A$2:$A1000,Metadata!$B$2:$B1000))),X$1,"""")"),"")</f>
        <v/>
      </c>
      <c r="Y247" s="33" t="str">
        <f>IFERROR(__xludf.DUMMYFUNCTION("IF(IF(Y$1="""","""",REGEXMATCH(LOWER($E247),XLOOKUP(Y$1,Metadata!$A$2:$A1000,Metadata!$B$2:$B1000))),Y$1,"""")"),"")</f>
        <v/>
      </c>
      <c r="Z247" s="33" t="str">
        <f>IFERROR(__xludf.DUMMYFUNCTION("IF(IF(Z$1="""","""",REGEXMATCH(LOWER($E247),XLOOKUP(Z$1,Metadata!$A$2:$A1000,Metadata!$B$2:$B1000))),Z$1,"""")"),"")</f>
        <v/>
      </c>
      <c r="AA247" s="33" t="str">
        <f>IFERROR(__xludf.DUMMYFUNCTION("IF(AA$1="""","""",REGEXMATCH(LOWER($E247),XLOOKUP(AA$1,Metadata!$A$2:$A1000,Metadata!$B$2:$B1000)))"),"")</f>
        <v/>
      </c>
    </row>
    <row r="248">
      <c r="A248" s="33" t="str">
        <f>IFERROR(__xludf.DUMMYFUNCTION("""COMPUTED_VALUE"""),"Starborne Basilisk")</f>
        <v>Starborne Basilisk</v>
      </c>
      <c r="B248" s="33" t="str">
        <f t="array" ref="B248:I248">XLOOKUP($A248,Cards!$A$2:$A1000,Cards!$B$2:$I1000,"")</f>
        <v>Mortal Nature</v>
      </c>
      <c r="C248" s="33">
        <v>1.0</v>
      </c>
      <c r="D248" s="33" t="s">
        <v>1543</v>
      </c>
      <c r="E248" s="33" t="s">
        <v>1544</v>
      </c>
      <c r="F248" s="33" t="s">
        <v>1545</v>
      </c>
      <c r="G248" s="33">
        <v>3.0</v>
      </c>
      <c r="H248" s="33" t="s">
        <v>1546</v>
      </c>
      <c r="I248" s="33" t="s">
        <v>32</v>
      </c>
      <c r="J248" s="33">
        <f>IFERROR(__xludf.DUMMYFUNCTION("LEN(REGEXREPLACE(XLOOKUP($A248,Cards!$A$2:$A1000,Cards!$H$2:$H1000,""""),"",\s"",""""))"),7.0)</f>
        <v>7</v>
      </c>
      <c r="K248" s="33" t="str">
        <f t="shared" si="1"/>
        <v>               </v>
      </c>
      <c r="L248" s="33" t="str">
        <f>IFERROR(__xludf.DUMMYFUNCTION("IF(IF(L$1="""","""",REGEXMATCH(LOWER($E248),XLOOKUP(L$1,Metadata!$A$2:$A1000,Metadata!$B$2:$B1000))),L$1,"""")"),"")</f>
        <v/>
      </c>
      <c r="M248" s="33" t="str">
        <f>IFERROR(__xludf.DUMMYFUNCTION("IF(IF(M$1="""","""",REGEXMATCH(LOWER($E248),XLOOKUP(M$1,Metadata!$A$2:$A1000,Metadata!$B$2:$B1000))),M$1,"""")"),"")</f>
        <v/>
      </c>
      <c r="N248" s="33" t="str">
        <f>IFERROR(__xludf.DUMMYFUNCTION("IF(IF(N$1="""","""",REGEXMATCH(LOWER($E248),XLOOKUP(N$1,Metadata!$A$2:$A1000,Metadata!$B$2:$B1000))),N$1,"""")"),"")</f>
        <v/>
      </c>
      <c r="O248" s="33" t="str">
        <f>IFERROR(__xludf.DUMMYFUNCTION("IF(IF(O$1="""","""",REGEXMATCH(LOWER($E248),XLOOKUP(O$1,Metadata!$A$2:$A1000,Metadata!$B$2:$B1000))),O$1,"""")"),"")</f>
        <v/>
      </c>
      <c r="P248" s="33" t="str">
        <f>IFERROR(__xludf.DUMMYFUNCTION("IF(IF(P$1="""","""",REGEXMATCH(LOWER($E248),XLOOKUP(P$1,Metadata!$A$2:$A1000,Metadata!$B$2:$B1000))),P$1,"""")"),"")</f>
        <v/>
      </c>
      <c r="Q248" s="33" t="str">
        <f>IFERROR(__xludf.DUMMYFUNCTION("IF(IF(Q$1="""","""",REGEXMATCH(LOWER($E248),XLOOKUP(Q$1,Metadata!$A$2:$A1000,Metadata!$B$2:$B1000))),Q$1,"""")"),"")</f>
        <v/>
      </c>
      <c r="R248" s="33" t="str">
        <f>IFERROR(__xludf.DUMMYFUNCTION("IF(IF(R$1="""","""",REGEXMATCH(LOWER($E248),XLOOKUP(R$1,Metadata!$A$2:$A1000,Metadata!$B$2:$B1000))),R$1,"""")"),"")</f>
        <v/>
      </c>
      <c r="S248" s="33" t="str">
        <f>IFERROR(__xludf.DUMMYFUNCTION("IF(IF(S$1="""","""",REGEXMATCH(LOWER($E248),XLOOKUP(S$1,Metadata!$A$2:$A1000,Metadata!$B$2:$B1000))),S$1,"""")"),"")</f>
        <v/>
      </c>
      <c r="T248" s="33" t="str">
        <f>IFERROR(__xludf.DUMMYFUNCTION("IF(IF(T$1="""","""",REGEXMATCH(LOWER($E248),XLOOKUP(T$1,Metadata!$A$2:$A1000,Metadata!$B$2:$B1000))),T$1,"""")"),"")</f>
        <v/>
      </c>
      <c r="U248" s="33" t="str">
        <f>IFERROR(__xludf.DUMMYFUNCTION("IF(IF(U$1="""","""",REGEXMATCH(LOWER($E248),XLOOKUP(U$1,Metadata!$A$2:$A1000,Metadata!$B$2:$B1000))),U$1,"""")"),"")</f>
        <v/>
      </c>
      <c r="V248" s="33" t="str">
        <f>IFERROR(__xludf.DUMMYFUNCTION("IF(IF(V$1="""","""",REGEXMATCH(LOWER($E248),XLOOKUP(V$1,Metadata!$A$2:$A1000,Metadata!$B$2:$B1000))),V$1,"""")"),"")</f>
        <v/>
      </c>
      <c r="W248" s="33" t="str">
        <f>IFERROR(__xludf.DUMMYFUNCTION("IF(IF(W$1="""","""",REGEXMATCH(LOWER($E248),XLOOKUP(W$1,Metadata!$A$2:$A1000,Metadata!$B$2:$B1000))),W$1,"""")"),"")</f>
        <v/>
      </c>
      <c r="X248" s="33" t="str">
        <f>IFERROR(__xludf.DUMMYFUNCTION("IF(IF(X$1="""","""",REGEXMATCH(LOWER($E248),XLOOKUP(X$1,Metadata!$A$2:$A1000,Metadata!$B$2:$B1000))),X$1,"""")"),"")</f>
        <v/>
      </c>
      <c r="Y248" s="33" t="str">
        <f>IFERROR(__xludf.DUMMYFUNCTION("IF(IF(Y$1="""","""",REGEXMATCH(LOWER($E248),XLOOKUP(Y$1,Metadata!$A$2:$A1000,Metadata!$B$2:$B1000))),Y$1,"""")"),"")</f>
        <v/>
      </c>
      <c r="Z248" s="33" t="str">
        <f>IFERROR(__xludf.DUMMYFUNCTION("IF(IF(Z$1="""","""",REGEXMATCH(LOWER($E248),XLOOKUP(Z$1,Metadata!$A$2:$A1000,Metadata!$B$2:$B1000))),Z$1,"""")"),"")</f>
        <v/>
      </c>
      <c r="AA248" s="33" t="str">
        <f>IFERROR(__xludf.DUMMYFUNCTION("IF(AA$1="""","""",REGEXMATCH(LOWER($E248),XLOOKUP(AA$1,Metadata!$A$2:$A1000,Metadata!$B$2:$B1000)))"),"")</f>
        <v/>
      </c>
    </row>
    <row r="249">
      <c r="A249" s="33" t="str">
        <f>IFERROR(__xludf.DUMMYFUNCTION("""COMPUTED_VALUE"""),"Gladehost Kyudo Master")</f>
        <v>Gladehost Kyudo Master</v>
      </c>
      <c r="B249" s="33" t="str">
        <f t="array" ref="B249:I249">XLOOKUP($A249,Cards!$A$2:$A1000,Cards!$B$2:$I1000,"")</f>
        <v>Mortal Nature</v>
      </c>
      <c r="C249" s="33">
        <v>1.0</v>
      </c>
      <c r="D249" s="33" t="s">
        <v>1548</v>
      </c>
      <c r="E249" s="33"/>
      <c r="F249" s="33" t="s">
        <v>1549</v>
      </c>
      <c r="G249" s="33">
        <v>2.0</v>
      </c>
      <c r="H249" s="33" t="s">
        <v>1550</v>
      </c>
      <c r="I249" s="33" t="s">
        <v>26</v>
      </c>
      <c r="J249" s="33">
        <f>IFERROR(__xludf.DUMMYFUNCTION("LEN(REGEXREPLACE(XLOOKUP($A249,Cards!$A$2:$A1000,Cards!$H$2:$H1000,""""),"",\s"",""""))"),2.0)</f>
        <v>2</v>
      </c>
      <c r="K249" s="33" t="str">
        <f t="shared" si="1"/>
        <v>               </v>
      </c>
      <c r="L249" s="33" t="str">
        <f>IFERROR(__xludf.DUMMYFUNCTION("IF(IF(L$1="""","""",REGEXMATCH(LOWER($E249),XLOOKUP(L$1,Metadata!$A$2:$A1000,Metadata!$B$2:$B1000))),L$1,"""")"),"")</f>
        <v/>
      </c>
      <c r="M249" s="33" t="str">
        <f>IFERROR(__xludf.DUMMYFUNCTION("IF(IF(M$1="""","""",REGEXMATCH(LOWER($E249),XLOOKUP(M$1,Metadata!$A$2:$A1000,Metadata!$B$2:$B1000))),M$1,"""")"),"")</f>
        <v/>
      </c>
      <c r="N249" s="33" t="str">
        <f>IFERROR(__xludf.DUMMYFUNCTION("IF(IF(N$1="""","""",REGEXMATCH(LOWER($E249),XLOOKUP(N$1,Metadata!$A$2:$A1000,Metadata!$B$2:$B1000))),N$1,"""")"),"")</f>
        <v/>
      </c>
      <c r="O249" s="33" t="str">
        <f>IFERROR(__xludf.DUMMYFUNCTION("IF(IF(O$1="""","""",REGEXMATCH(LOWER($E249),XLOOKUP(O$1,Metadata!$A$2:$A1000,Metadata!$B$2:$B1000))),O$1,"""")"),"")</f>
        <v/>
      </c>
      <c r="P249" s="33" t="str">
        <f>IFERROR(__xludf.DUMMYFUNCTION("IF(IF(P$1="""","""",REGEXMATCH(LOWER($E249),XLOOKUP(P$1,Metadata!$A$2:$A1000,Metadata!$B$2:$B1000))),P$1,"""")"),"")</f>
        <v/>
      </c>
      <c r="Q249" s="33" t="str">
        <f>IFERROR(__xludf.DUMMYFUNCTION("IF(IF(Q$1="""","""",REGEXMATCH(LOWER($E249),XLOOKUP(Q$1,Metadata!$A$2:$A1000,Metadata!$B$2:$B1000))),Q$1,"""")"),"")</f>
        <v/>
      </c>
      <c r="R249" s="33" t="str">
        <f>IFERROR(__xludf.DUMMYFUNCTION("IF(IF(R$1="""","""",REGEXMATCH(LOWER($E249),XLOOKUP(R$1,Metadata!$A$2:$A1000,Metadata!$B$2:$B1000))),R$1,"""")"),"")</f>
        <v/>
      </c>
      <c r="S249" s="33" t="str">
        <f>IFERROR(__xludf.DUMMYFUNCTION("IF(IF(S$1="""","""",REGEXMATCH(LOWER($E249),XLOOKUP(S$1,Metadata!$A$2:$A1000,Metadata!$B$2:$B1000))),S$1,"""")"),"")</f>
        <v/>
      </c>
      <c r="T249" s="33" t="str">
        <f>IFERROR(__xludf.DUMMYFUNCTION("IF(IF(T$1="""","""",REGEXMATCH(LOWER($E249),XLOOKUP(T$1,Metadata!$A$2:$A1000,Metadata!$B$2:$B1000))),T$1,"""")"),"")</f>
        <v/>
      </c>
      <c r="U249" s="33" t="str">
        <f>IFERROR(__xludf.DUMMYFUNCTION("IF(IF(U$1="""","""",REGEXMATCH(LOWER($E249),XLOOKUP(U$1,Metadata!$A$2:$A1000,Metadata!$B$2:$B1000))),U$1,"""")"),"")</f>
        <v/>
      </c>
      <c r="V249" s="33" t="str">
        <f>IFERROR(__xludf.DUMMYFUNCTION("IF(IF(V$1="""","""",REGEXMATCH(LOWER($E249),XLOOKUP(V$1,Metadata!$A$2:$A1000,Metadata!$B$2:$B1000))),V$1,"""")"),"")</f>
        <v/>
      </c>
      <c r="W249" s="33" t="str">
        <f>IFERROR(__xludf.DUMMYFUNCTION("IF(IF(W$1="""","""",REGEXMATCH(LOWER($E249),XLOOKUP(W$1,Metadata!$A$2:$A1000,Metadata!$B$2:$B1000))),W$1,"""")"),"")</f>
        <v/>
      </c>
      <c r="X249" s="33" t="str">
        <f>IFERROR(__xludf.DUMMYFUNCTION("IF(IF(X$1="""","""",REGEXMATCH(LOWER($E249),XLOOKUP(X$1,Metadata!$A$2:$A1000,Metadata!$B$2:$B1000))),X$1,"""")"),"")</f>
        <v/>
      </c>
      <c r="Y249" s="33" t="str">
        <f>IFERROR(__xludf.DUMMYFUNCTION("IF(IF(Y$1="""","""",REGEXMATCH(LOWER($E249),XLOOKUP(Y$1,Metadata!$A$2:$A1000,Metadata!$B$2:$B1000))),Y$1,"""")"),"")</f>
        <v/>
      </c>
      <c r="Z249" s="33" t="str">
        <f>IFERROR(__xludf.DUMMYFUNCTION("IF(IF(Z$1="""","""",REGEXMATCH(LOWER($E249),XLOOKUP(Z$1,Metadata!$A$2:$A1000,Metadata!$B$2:$B1000))),Z$1,"""")"),"")</f>
        <v/>
      </c>
      <c r="AA249" s="33" t="str">
        <f>IFERROR(__xludf.DUMMYFUNCTION("IF(AA$1="""","""",REGEXMATCH(LOWER($E249),XLOOKUP(AA$1,Metadata!$A$2:$A1000,Metadata!$B$2:$B1000)))"),"")</f>
        <v/>
      </c>
    </row>
    <row r="250">
      <c r="A250" s="33" t="str">
        <f>IFERROR(__xludf.DUMMYFUNCTION("""COMPUTED_VALUE"""),"Chalice Bloodbrewer")</f>
        <v>Chalice Bloodbrewer</v>
      </c>
      <c r="B250" s="33" t="str">
        <f t="array" ref="B250:I250">XLOOKUP($A250,Cards!$A$2:$A1000,Cards!$B$2:$I1000,"")</f>
        <v>Mortal Void</v>
      </c>
      <c r="C250" s="33">
        <v>1.0</v>
      </c>
      <c r="D250" s="33" t="s">
        <v>1552</v>
      </c>
      <c r="E250" s="33" t="s">
        <v>1553</v>
      </c>
      <c r="F250" s="33" t="s">
        <v>1554</v>
      </c>
      <c r="G250" s="33">
        <v>1.0</v>
      </c>
      <c r="H250" s="33" t="s">
        <v>1555</v>
      </c>
      <c r="I250" s="33" t="s">
        <v>62</v>
      </c>
      <c r="J250" s="33">
        <f>IFERROR(__xludf.DUMMYFUNCTION("LEN(REGEXREPLACE(XLOOKUP($A250,Cards!$A$2:$A1000,Cards!$H$2:$H1000,""""),"",\s"",""""))"),4.0)</f>
        <v>4</v>
      </c>
      <c r="K250" s="33" t="str">
        <f t="shared" si="1"/>
        <v>  Mortal     Control   Empty-Crystal  Ambush   </v>
      </c>
      <c r="L250" s="33" t="str">
        <f>IFERROR(__xludf.DUMMYFUNCTION("IF(IF(L$1="""","""",REGEXMATCH(LOWER($E250),XLOOKUP(L$1,Metadata!$A$2:$A1000,Metadata!$B$2:$B1000))),L$1,"""")"),"")</f>
        <v/>
      </c>
      <c r="M250" s="33" t="str">
        <f>IFERROR(__xludf.DUMMYFUNCTION("IF(IF(M$1="""","""",REGEXMATCH(LOWER($E250),XLOOKUP(M$1,Metadata!$A$2:$A1000,Metadata!$B$2:$B1000))),M$1,"""")"),"")</f>
        <v/>
      </c>
      <c r="N250" s="33" t="str">
        <f>IFERROR(__xludf.DUMMYFUNCTION("IF(IF(N$1="""","""",REGEXMATCH(LOWER($E250),XLOOKUP(N$1,Metadata!$A$2:$A1000,Metadata!$B$2:$B1000))),N$1,"""")"),"Mortal")</f>
        <v>Mortal</v>
      </c>
      <c r="O250" s="33" t="str">
        <f>IFERROR(__xludf.DUMMYFUNCTION("IF(IF(O$1="""","""",REGEXMATCH(LOWER($E250),XLOOKUP(O$1,Metadata!$A$2:$A1000,Metadata!$B$2:$B1000))),O$1,"""")"),"")</f>
        <v/>
      </c>
      <c r="P250" s="33" t="str">
        <f>IFERROR(__xludf.DUMMYFUNCTION("IF(IF(P$1="""","""",REGEXMATCH(LOWER($E250),XLOOKUP(P$1,Metadata!$A$2:$A1000,Metadata!$B$2:$B1000))),P$1,"""")"),"")</f>
        <v/>
      </c>
      <c r="Q250" s="33" t="str">
        <f>IFERROR(__xludf.DUMMYFUNCTION("IF(IF(Q$1="""","""",REGEXMATCH(LOWER($E250),XLOOKUP(Q$1,Metadata!$A$2:$A1000,Metadata!$B$2:$B1000))),Q$1,"""")"),"")</f>
        <v/>
      </c>
      <c r="R250" s="33" t="str">
        <f>IFERROR(__xludf.DUMMYFUNCTION("IF(IF(R$1="""","""",REGEXMATCH(LOWER($E250),XLOOKUP(R$1,Metadata!$A$2:$A1000,Metadata!$B$2:$B1000))),R$1,"""")"),"")</f>
        <v/>
      </c>
      <c r="S250" s="33" t="str">
        <f>IFERROR(__xludf.DUMMYFUNCTION("IF(IF(S$1="""","""",REGEXMATCH(LOWER($E250),XLOOKUP(S$1,Metadata!$A$2:$A1000,Metadata!$B$2:$B1000))),S$1,"""")"),"Control")</f>
        <v>Control</v>
      </c>
      <c r="T250" s="33" t="str">
        <f>IFERROR(__xludf.DUMMYFUNCTION("IF(IF(T$1="""","""",REGEXMATCH(LOWER($E250),XLOOKUP(T$1,Metadata!$A$2:$A1000,Metadata!$B$2:$B1000))),T$1,"""")"),"")</f>
        <v/>
      </c>
      <c r="U250" s="33" t="str">
        <f>IFERROR(__xludf.DUMMYFUNCTION("IF(IF(U$1="""","""",REGEXMATCH(LOWER($E250),XLOOKUP(U$1,Metadata!$A$2:$A1000,Metadata!$B$2:$B1000))),U$1,"""")"),"")</f>
        <v/>
      </c>
      <c r="V250" s="33" t="str">
        <f>IFERROR(__xludf.DUMMYFUNCTION("IF(IF(V$1="""","""",REGEXMATCH(LOWER($E250),XLOOKUP(V$1,Metadata!$A$2:$A1000,Metadata!$B$2:$B1000))),V$1,"""")"),"Empty-Crystal")</f>
        <v>Empty-Crystal</v>
      </c>
      <c r="W250" s="33" t="str">
        <f>IFERROR(__xludf.DUMMYFUNCTION("IF(IF(W$1="""","""",REGEXMATCH(LOWER($E250),XLOOKUP(W$1,Metadata!$A$2:$A1000,Metadata!$B$2:$B1000))),W$1,"""")"),"")</f>
        <v/>
      </c>
      <c r="X250" s="33" t="str">
        <f>IFERROR(__xludf.DUMMYFUNCTION("IF(IF(X$1="""","""",REGEXMATCH(LOWER($E250),XLOOKUP(X$1,Metadata!$A$2:$A1000,Metadata!$B$2:$B1000))),X$1,"""")"),"Ambush")</f>
        <v>Ambush</v>
      </c>
      <c r="Y250" s="33" t="str">
        <f>IFERROR(__xludf.DUMMYFUNCTION("IF(IF(Y$1="""","""",REGEXMATCH(LOWER($E250),XLOOKUP(Y$1,Metadata!$A$2:$A1000,Metadata!$B$2:$B1000))),Y$1,"""")"),"")</f>
        <v/>
      </c>
      <c r="Z250" s="33" t="str">
        <f>IFERROR(__xludf.DUMMYFUNCTION("IF(IF(Z$1="""","""",REGEXMATCH(LOWER($E250),XLOOKUP(Z$1,Metadata!$A$2:$A1000,Metadata!$B$2:$B1000))),Z$1,"""")"),"")</f>
        <v/>
      </c>
      <c r="AA250" s="33" t="str">
        <f>IFERROR(__xludf.DUMMYFUNCTION("IF(AA$1="""","""",REGEXMATCH(LOWER($E250),XLOOKUP(AA$1,Metadata!$A$2:$A1000,Metadata!$B$2:$B1000)))"),"")</f>
        <v/>
      </c>
    </row>
    <row r="251">
      <c r="A251" s="33" t="str">
        <f>IFERROR(__xludf.DUMMYFUNCTION("""COMPUTED_VALUE"""),"Packhunting Crystalbeast")</f>
        <v>Packhunting Crystalbeast</v>
      </c>
      <c r="B251" s="33" t="str">
        <f t="array" ref="B251:I251">XLOOKUP($A251,Cards!$A$2:$A1000,Cards!$B$2:$I1000,"")</f>
        <v>Nature</v>
      </c>
      <c r="C251" s="33">
        <v>2.0</v>
      </c>
      <c r="D251" s="33" t="s">
        <v>1557</v>
      </c>
      <c r="E251" s="33" t="s">
        <v>1558</v>
      </c>
      <c r="F251" s="33" t="s">
        <v>891</v>
      </c>
      <c r="G251" s="33">
        <v>4.0</v>
      </c>
      <c r="H251" s="33" t="s">
        <v>1559</v>
      </c>
      <c r="I251" s="33" t="s">
        <v>26</v>
      </c>
      <c r="J251" s="33">
        <f>IFERROR(__xludf.DUMMYFUNCTION("LEN(REGEXREPLACE(XLOOKUP($A251,Cards!$A$2:$A1000,Cards!$H$2:$H1000,""""),"",\s"",""""))"),5.0)</f>
        <v>5</v>
      </c>
      <c r="K251" s="33" t="str">
        <f t="shared" si="1"/>
        <v>               </v>
      </c>
      <c r="L251" s="33" t="str">
        <f>IFERROR(__xludf.DUMMYFUNCTION("IF(IF(L$1="""","""",REGEXMATCH(LOWER($E251),XLOOKUP(L$1,Metadata!$A$2:$A1000,Metadata!$B$2:$B1000))),L$1,"""")"),"")</f>
        <v/>
      </c>
      <c r="M251" s="33" t="str">
        <f>IFERROR(__xludf.DUMMYFUNCTION("IF(IF(M$1="""","""",REGEXMATCH(LOWER($E251),XLOOKUP(M$1,Metadata!$A$2:$A1000,Metadata!$B$2:$B1000))),M$1,"""")"),"")</f>
        <v/>
      </c>
      <c r="N251" s="33" t="str">
        <f>IFERROR(__xludf.DUMMYFUNCTION("IF(IF(N$1="""","""",REGEXMATCH(LOWER($E251),XLOOKUP(N$1,Metadata!$A$2:$A1000,Metadata!$B$2:$B1000))),N$1,"""")"),"")</f>
        <v/>
      </c>
      <c r="O251" s="33" t="str">
        <f>IFERROR(__xludf.DUMMYFUNCTION("IF(IF(O$1="""","""",REGEXMATCH(LOWER($E251),XLOOKUP(O$1,Metadata!$A$2:$A1000,Metadata!$B$2:$B1000))),O$1,"""")"),"")</f>
        <v/>
      </c>
      <c r="P251" s="33" t="str">
        <f>IFERROR(__xludf.DUMMYFUNCTION("IF(IF(P$1="""","""",REGEXMATCH(LOWER($E251),XLOOKUP(P$1,Metadata!$A$2:$A1000,Metadata!$B$2:$B1000))),P$1,"""")"),"")</f>
        <v/>
      </c>
      <c r="Q251" s="33" t="str">
        <f>IFERROR(__xludf.DUMMYFUNCTION("IF(IF(Q$1="""","""",REGEXMATCH(LOWER($E251),XLOOKUP(Q$1,Metadata!$A$2:$A1000,Metadata!$B$2:$B1000))),Q$1,"""")"),"")</f>
        <v/>
      </c>
      <c r="R251" s="33" t="str">
        <f>IFERROR(__xludf.DUMMYFUNCTION("IF(IF(R$1="""","""",REGEXMATCH(LOWER($E251),XLOOKUP(R$1,Metadata!$A$2:$A1000,Metadata!$B$2:$B1000))),R$1,"""")"),"")</f>
        <v/>
      </c>
      <c r="S251" s="33" t="str">
        <f>IFERROR(__xludf.DUMMYFUNCTION("IF(IF(S$1="""","""",REGEXMATCH(LOWER($E251),XLOOKUP(S$1,Metadata!$A$2:$A1000,Metadata!$B$2:$B1000))),S$1,"""")"),"")</f>
        <v/>
      </c>
      <c r="T251" s="33" t="str">
        <f>IFERROR(__xludf.DUMMYFUNCTION("IF(IF(T$1="""","""",REGEXMATCH(LOWER($E251),XLOOKUP(T$1,Metadata!$A$2:$A1000,Metadata!$B$2:$B1000))),T$1,"""")"),"")</f>
        <v/>
      </c>
      <c r="U251" s="33" t="str">
        <f>IFERROR(__xludf.DUMMYFUNCTION("IF(IF(U$1="""","""",REGEXMATCH(LOWER($E251),XLOOKUP(U$1,Metadata!$A$2:$A1000,Metadata!$B$2:$B1000))),U$1,"""")"),"")</f>
        <v/>
      </c>
      <c r="V251" s="33" t="str">
        <f>IFERROR(__xludf.DUMMYFUNCTION("IF(IF(V$1="""","""",REGEXMATCH(LOWER($E251),XLOOKUP(V$1,Metadata!$A$2:$A1000,Metadata!$B$2:$B1000))),V$1,"""")"),"")</f>
        <v/>
      </c>
      <c r="W251" s="33" t="str">
        <f>IFERROR(__xludf.DUMMYFUNCTION("IF(IF(W$1="""","""",REGEXMATCH(LOWER($E251),XLOOKUP(W$1,Metadata!$A$2:$A1000,Metadata!$B$2:$B1000))),W$1,"""")"),"")</f>
        <v/>
      </c>
      <c r="X251" s="33" t="str">
        <f>IFERROR(__xludf.DUMMYFUNCTION("IF(IF(X$1="""","""",REGEXMATCH(LOWER($E251),XLOOKUP(X$1,Metadata!$A$2:$A1000,Metadata!$B$2:$B1000))),X$1,"""")"),"")</f>
        <v/>
      </c>
      <c r="Y251" s="33" t="str">
        <f>IFERROR(__xludf.DUMMYFUNCTION("IF(IF(Y$1="""","""",REGEXMATCH(LOWER($E251),XLOOKUP(Y$1,Metadata!$A$2:$A1000,Metadata!$B$2:$B1000))),Y$1,"""")"),"")</f>
        <v/>
      </c>
      <c r="Z251" s="33" t="str">
        <f>IFERROR(__xludf.DUMMYFUNCTION("IF(IF(Z$1="""","""",REGEXMATCH(LOWER($E251),XLOOKUP(Z$1,Metadata!$A$2:$A1000,Metadata!$B$2:$B1000))),Z$1,"""")"),"")</f>
        <v/>
      </c>
      <c r="AA251" s="33" t="str">
        <f>IFERROR(__xludf.DUMMYFUNCTION("IF(AA$1="""","""",REGEXMATCH(LOWER($E251),XLOOKUP(AA$1,Metadata!$A$2:$A1000,Metadata!$B$2:$B1000)))"),"")</f>
        <v/>
      </c>
    </row>
    <row r="252">
      <c r="A252" s="33" t="str">
        <f>IFERROR(__xludf.DUMMYFUNCTION("""COMPUTED_VALUE"""),"Pebble Gekko")</f>
        <v>Pebble Gekko</v>
      </c>
      <c r="B252" s="33" t="str">
        <f t="array" ref="B252:I252">XLOOKUP($A252,Cards!$A$2:$A1000,Cards!$B$2:$I1000,"")</f>
        <v>Nature</v>
      </c>
      <c r="C252" s="33">
        <v>0.0</v>
      </c>
      <c r="D252" s="33" t="s">
        <v>1464</v>
      </c>
      <c r="E252" s="33" t="s">
        <v>1561</v>
      </c>
      <c r="F252" s="33" t="s">
        <v>1562</v>
      </c>
      <c r="G252" s="33">
        <v>5.0</v>
      </c>
      <c r="H252" s="33" t="s">
        <v>1559</v>
      </c>
      <c r="I252" s="33" t="s">
        <v>26</v>
      </c>
      <c r="J252" s="33">
        <f>IFERROR(__xludf.DUMMYFUNCTION("LEN(REGEXREPLACE(XLOOKUP($A252,Cards!$A$2:$A1000,Cards!$H$2:$H1000,""""),"",\s"",""""))"),5.0)</f>
        <v>5</v>
      </c>
      <c r="K252" s="33" t="str">
        <f t="shared" si="1"/>
        <v>      Ramp         </v>
      </c>
      <c r="L252" s="33" t="str">
        <f>IFERROR(__xludf.DUMMYFUNCTION("IF(IF(L$1="""","""",REGEXMATCH(LOWER($E252),XLOOKUP(L$1,Metadata!$A$2:$A1000,Metadata!$B$2:$B1000))),L$1,"""")"),"")</f>
        <v/>
      </c>
      <c r="M252" s="33" t="str">
        <f>IFERROR(__xludf.DUMMYFUNCTION("IF(IF(M$1="""","""",REGEXMATCH(LOWER($E252),XLOOKUP(M$1,Metadata!$A$2:$A1000,Metadata!$B$2:$B1000))),M$1,"""")"),"")</f>
        <v/>
      </c>
      <c r="N252" s="33" t="str">
        <f>IFERROR(__xludf.DUMMYFUNCTION("IF(IF(N$1="""","""",REGEXMATCH(LOWER($E252),XLOOKUP(N$1,Metadata!$A$2:$A1000,Metadata!$B$2:$B1000))),N$1,"""")"),"")</f>
        <v/>
      </c>
      <c r="O252" s="33" t="str">
        <f>IFERROR(__xludf.DUMMYFUNCTION("IF(IF(O$1="""","""",REGEXMATCH(LOWER($E252),XLOOKUP(O$1,Metadata!$A$2:$A1000,Metadata!$B$2:$B1000))),O$1,"""")"),"")</f>
        <v/>
      </c>
      <c r="P252" s="33" t="str">
        <f>IFERROR(__xludf.DUMMYFUNCTION("IF(IF(P$1="""","""",REGEXMATCH(LOWER($E252),XLOOKUP(P$1,Metadata!$A$2:$A1000,Metadata!$B$2:$B1000))),P$1,"""")"),"")</f>
        <v/>
      </c>
      <c r="Q252" s="33" t="str">
        <f>IFERROR(__xludf.DUMMYFUNCTION("IF(IF(Q$1="""","""",REGEXMATCH(LOWER($E252),XLOOKUP(Q$1,Metadata!$A$2:$A1000,Metadata!$B$2:$B1000))),Q$1,"""")"),"")</f>
        <v/>
      </c>
      <c r="R252" s="33" t="str">
        <f>IFERROR(__xludf.DUMMYFUNCTION("IF(IF(R$1="""","""",REGEXMATCH(LOWER($E252),XLOOKUP(R$1,Metadata!$A$2:$A1000,Metadata!$B$2:$B1000))),R$1,"""")"),"Ramp")</f>
        <v>Ramp</v>
      </c>
      <c r="S252" s="33" t="str">
        <f>IFERROR(__xludf.DUMMYFUNCTION("IF(IF(S$1="""","""",REGEXMATCH(LOWER($E252),XLOOKUP(S$1,Metadata!$A$2:$A1000,Metadata!$B$2:$B1000))),S$1,"""")"),"")</f>
        <v/>
      </c>
      <c r="T252" s="33" t="str">
        <f>IFERROR(__xludf.DUMMYFUNCTION("IF(IF(T$1="""","""",REGEXMATCH(LOWER($E252),XLOOKUP(T$1,Metadata!$A$2:$A1000,Metadata!$B$2:$B1000))),T$1,"""")"),"")</f>
        <v/>
      </c>
      <c r="U252" s="33" t="str">
        <f>IFERROR(__xludf.DUMMYFUNCTION("IF(IF(U$1="""","""",REGEXMATCH(LOWER($E252),XLOOKUP(U$1,Metadata!$A$2:$A1000,Metadata!$B$2:$B1000))),U$1,"""")"),"")</f>
        <v/>
      </c>
      <c r="V252" s="33" t="str">
        <f>IFERROR(__xludf.DUMMYFUNCTION("IF(IF(V$1="""","""",REGEXMATCH(LOWER($E252),XLOOKUP(V$1,Metadata!$A$2:$A1000,Metadata!$B$2:$B1000))),V$1,"""")"),"")</f>
        <v/>
      </c>
      <c r="W252" s="33" t="str">
        <f>IFERROR(__xludf.DUMMYFUNCTION("IF(IF(W$1="""","""",REGEXMATCH(LOWER($E252),XLOOKUP(W$1,Metadata!$A$2:$A1000,Metadata!$B$2:$B1000))),W$1,"""")"),"")</f>
        <v/>
      </c>
      <c r="X252" s="33" t="str">
        <f>IFERROR(__xludf.DUMMYFUNCTION("IF(IF(X$1="""","""",REGEXMATCH(LOWER($E252),XLOOKUP(X$1,Metadata!$A$2:$A1000,Metadata!$B$2:$B1000))),X$1,"""")"),"")</f>
        <v/>
      </c>
      <c r="Y252" s="33" t="str">
        <f>IFERROR(__xludf.DUMMYFUNCTION("IF(IF(Y$1="""","""",REGEXMATCH(LOWER($E252),XLOOKUP(Y$1,Metadata!$A$2:$A1000,Metadata!$B$2:$B1000))),Y$1,"""")"),"")</f>
        <v/>
      </c>
      <c r="Z252" s="33" t="str">
        <f>IFERROR(__xludf.DUMMYFUNCTION("IF(IF(Z$1="""","""",REGEXMATCH(LOWER($E252),XLOOKUP(Z$1,Metadata!$A$2:$A1000,Metadata!$B$2:$B1000))),Z$1,"""")"),"")</f>
        <v/>
      </c>
      <c r="AA252" s="33" t="str">
        <f>IFERROR(__xludf.DUMMYFUNCTION("IF(AA$1="""","""",REGEXMATCH(LOWER($E252),XLOOKUP(AA$1,Metadata!$A$2:$A1000,Metadata!$B$2:$B1000)))"),"")</f>
        <v/>
      </c>
    </row>
    <row r="253">
      <c r="A253" s="33" t="str">
        <f>IFERROR(__xludf.DUMMYFUNCTION("""COMPUTED_VALUE"""),"Platinum Ladybug")</f>
        <v>Platinum Ladybug</v>
      </c>
      <c r="B253" s="33" t="str">
        <f t="array" ref="B253:I253">XLOOKUP($A253,Cards!$A$2:$A1000,Cards!$B$2:$I1000,"")</f>
        <v>Nature</v>
      </c>
      <c r="C253" s="33">
        <v>2.0</v>
      </c>
      <c r="D253" s="33" t="s">
        <v>609</v>
      </c>
      <c r="E253" s="33" t="s">
        <v>1564</v>
      </c>
      <c r="F253" s="33" t="s">
        <v>1565</v>
      </c>
      <c r="G253" s="33">
        <v>1.0</v>
      </c>
      <c r="H253" s="33" t="s">
        <v>1470</v>
      </c>
      <c r="I253" s="33" t="s">
        <v>62</v>
      </c>
      <c r="J253" s="33">
        <f>IFERROR(__xludf.DUMMYFUNCTION("LEN(REGEXREPLACE(XLOOKUP($A253,Cards!$A$2:$A1000,Cards!$H$2:$H1000,""""),"",\s"",""""))"),3.0)</f>
        <v>3</v>
      </c>
      <c r="K253" s="33" t="str">
        <f t="shared" si="1"/>
        <v>   Nature            </v>
      </c>
      <c r="L253" s="33" t="str">
        <f>IFERROR(__xludf.DUMMYFUNCTION("IF(IF(L$1="""","""",REGEXMATCH(LOWER($E253),XLOOKUP(L$1,Metadata!$A$2:$A1000,Metadata!$B$2:$B1000))),L$1,"""")"),"")</f>
        <v/>
      </c>
      <c r="M253" s="33" t="str">
        <f>IFERROR(__xludf.DUMMYFUNCTION("IF(IF(M$1="""","""",REGEXMATCH(LOWER($E253),XLOOKUP(M$1,Metadata!$A$2:$A1000,Metadata!$B$2:$B1000))),M$1,"""")"),"")</f>
        <v/>
      </c>
      <c r="N253" s="33" t="str">
        <f>IFERROR(__xludf.DUMMYFUNCTION("IF(IF(N$1="""","""",REGEXMATCH(LOWER($E253),XLOOKUP(N$1,Metadata!$A$2:$A1000,Metadata!$B$2:$B1000))),N$1,"""")"),"")</f>
        <v/>
      </c>
      <c r="O253" s="33" t="str">
        <f>IFERROR(__xludf.DUMMYFUNCTION("IF(IF(O$1="""","""",REGEXMATCH(LOWER($E253),XLOOKUP(O$1,Metadata!$A$2:$A1000,Metadata!$B$2:$B1000))),O$1,"""")"),"Nature")</f>
        <v>Nature</v>
      </c>
      <c r="P253" s="33" t="str">
        <f>IFERROR(__xludf.DUMMYFUNCTION("IF(IF(P$1="""","""",REGEXMATCH(LOWER($E253),XLOOKUP(P$1,Metadata!$A$2:$A1000,Metadata!$B$2:$B1000))),P$1,"""")"),"")</f>
        <v/>
      </c>
      <c r="Q253" s="33" t="str">
        <f>IFERROR(__xludf.DUMMYFUNCTION("IF(IF(Q$1="""","""",REGEXMATCH(LOWER($E253),XLOOKUP(Q$1,Metadata!$A$2:$A1000,Metadata!$B$2:$B1000))),Q$1,"""")"),"")</f>
        <v/>
      </c>
      <c r="R253" s="33" t="str">
        <f>IFERROR(__xludf.DUMMYFUNCTION("IF(IF(R$1="""","""",REGEXMATCH(LOWER($E253),XLOOKUP(R$1,Metadata!$A$2:$A1000,Metadata!$B$2:$B1000))),R$1,"""")"),"")</f>
        <v/>
      </c>
      <c r="S253" s="33" t="str">
        <f>IFERROR(__xludf.DUMMYFUNCTION("IF(IF(S$1="""","""",REGEXMATCH(LOWER($E253),XLOOKUP(S$1,Metadata!$A$2:$A1000,Metadata!$B$2:$B1000))),S$1,"""")"),"")</f>
        <v/>
      </c>
      <c r="T253" s="33" t="str">
        <f>IFERROR(__xludf.DUMMYFUNCTION("IF(IF(T$1="""","""",REGEXMATCH(LOWER($E253),XLOOKUP(T$1,Metadata!$A$2:$A1000,Metadata!$B$2:$B1000))),T$1,"""")"),"")</f>
        <v/>
      </c>
      <c r="U253" s="33" t="str">
        <f>IFERROR(__xludf.DUMMYFUNCTION("IF(IF(U$1="""","""",REGEXMATCH(LOWER($E253),XLOOKUP(U$1,Metadata!$A$2:$A1000,Metadata!$B$2:$B1000))),U$1,"""")"),"")</f>
        <v/>
      </c>
      <c r="V253" s="33" t="str">
        <f>IFERROR(__xludf.DUMMYFUNCTION("IF(IF(V$1="""","""",REGEXMATCH(LOWER($E253),XLOOKUP(V$1,Metadata!$A$2:$A1000,Metadata!$B$2:$B1000))),V$1,"""")"),"")</f>
        <v/>
      </c>
      <c r="W253" s="33" t="str">
        <f>IFERROR(__xludf.DUMMYFUNCTION("IF(IF(W$1="""","""",REGEXMATCH(LOWER($E253),XLOOKUP(W$1,Metadata!$A$2:$A1000,Metadata!$B$2:$B1000))),W$1,"""")"),"")</f>
        <v/>
      </c>
      <c r="X253" s="33" t="str">
        <f>IFERROR(__xludf.DUMMYFUNCTION("IF(IF(X$1="""","""",REGEXMATCH(LOWER($E253),XLOOKUP(X$1,Metadata!$A$2:$A1000,Metadata!$B$2:$B1000))),X$1,"""")"),"")</f>
        <v/>
      </c>
      <c r="Y253" s="33" t="str">
        <f>IFERROR(__xludf.DUMMYFUNCTION("IF(IF(Y$1="""","""",REGEXMATCH(LOWER($E253),XLOOKUP(Y$1,Metadata!$A$2:$A1000,Metadata!$B$2:$B1000))),Y$1,"""")"),"")</f>
        <v/>
      </c>
      <c r="Z253" s="33" t="str">
        <f>IFERROR(__xludf.DUMMYFUNCTION("IF(IF(Z$1="""","""",REGEXMATCH(LOWER($E253),XLOOKUP(Z$1,Metadata!$A$2:$A1000,Metadata!$B$2:$B1000))),Z$1,"""")"),"")</f>
        <v/>
      </c>
      <c r="AA253" s="33" t="str">
        <f>IFERROR(__xludf.DUMMYFUNCTION("IF(AA$1="""","""",REGEXMATCH(LOWER($E253),XLOOKUP(AA$1,Metadata!$A$2:$A1000,Metadata!$B$2:$B1000)))"),"")</f>
        <v/>
      </c>
    </row>
    <row r="254">
      <c r="A254" s="33" t="str">
        <f>IFERROR(__xludf.DUMMYFUNCTION("""COMPUTED_VALUE"""),"Necromancer")</f>
        <v>Necromancer</v>
      </c>
      <c r="B254" s="33" t="str">
        <f t="array" ref="B254:I254">XLOOKUP($A254,Cards!$A$2:$A1000,Cards!$B$2:$I1000,"")</f>
        <v>Mortal Void</v>
      </c>
      <c r="C254" s="33">
        <v>1.0</v>
      </c>
      <c r="D254" s="33" t="s">
        <v>1389</v>
      </c>
      <c r="E254" s="33" t="s">
        <v>1567</v>
      </c>
      <c r="F254" s="33" t="s">
        <v>1568</v>
      </c>
      <c r="G254" s="33">
        <v>2.0</v>
      </c>
      <c r="H254" s="33" t="s">
        <v>1569</v>
      </c>
      <c r="I254" s="33" t="s">
        <v>32</v>
      </c>
      <c r="J254" s="33">
        <f>IFERROR(__xludf.DUMMYFUNCTION("LEN(REGEXREPLACE(XLOOKUP($A254,Cards!$A$2:$A1000,Cards!$H$2:$H1000,""""),"",\s"",""""))"),5.0)</f>
        <v>5</v>
      </c>
      <c r="K254" s="33" t="str">
        <f t="shared" si="1"/>
        <v>         Aggro      </v>
      </c>
      <c r="L254" s="33" t="str">
        <f>IFERROR(__xludf.DUMMYFUNCTION("IF(IF(L$1="""","""",REGEXMATCH(LOWER($E254),XLOOKUP(L$1,Metadata!$A$2:$A1000,Metadata!$B$2:$B1000))),L$1,"""")"),"")</f>
        <v/>
      </c>
      <c r="M254" s="33" t="str">
        <f>IFERROR(__xludf.DUMMYFUNCTION("IF(IF(M$1="""","""",REGEXMATCH(LOWER($E254),XLOOKUP(M$1,Metadata!$A$2:$A1000,Metadata!$B$2:$B1000))),M$1,"""")"),"")</f>
        <v/>
      </c>
      <c r="N254" s="33" t="str">
        <f>IFERROR(__xludf.DUMMYFUNCTION("IF(IF(N$1="""","""",REGEXMATCH(LOWER($E254),XLOOKUP(N$1,Metadata!$A$2:$A1000,Metadata!$B$2:$B1000))),N$1,"""")"),"")</f>
        <v/>
      </c>
      <c r="O254" s="33" t="str">
        <f>IFERROR(__xludf.DUMMYFUNCTION("IF(IF(O$1="""","""",REGEXMATCH(LOWER($E254),XLOOKUP(O$1,Metadata!$A$2:$A1000,Metadata!$B$2:$B1000))),O$1,"""")"),"")</f>
        <v/>
      </c>
      <c r="P254" s="33" t="str">
        <f>IFERROR(__xludf.DUMMYFUNCTION("IF(IF(P$1="""","""",REGEXMATCH(LOWER($E254),XLOOKUP(P$1,Metadata!$A$2:$A1000,Metadata!$B$2:$B1000))),P$1,"""")"),"")</f>
        <v/>
      </c>
      <c r="Q254" s="33" t="str">
        <f>IFERROR(__xludf.DUMMYFUNCTION("IF(IF(Q$1="""","""",REGEXMATCH(LOWER($E254),XLOOKUP(Q$1,Metadata!$A$2:$A1000,Metadata!$B$2:$B1000))),Q$1,"""")"),"")</f>
        <v/>
      </c>
      <c r="R254" s="33" t="str">
        <f>IFERROR(__xludf.DUMMYFUNCTION("IF(IF(R$1="""","""",REGEXMATCH(LOWER($E254),XLOOKUP(R$1,Metadata!$A$2:$A1000,Metadata!$B$2:$B1000))),R$1,"""")"),"")</f>
        <v/>
      </c>
      <c r="S254" s="33" t="str">
        <f>IFERROR(__xludf.DUMMYFUNCTION("IF(IF(S$1="""","""",REGEXMATCH(LOWER($E254),XLOOKUP(S$1,Metadata!$A$2:$A1000,Metadata!$B$2:$B1000))),S$1,"""")"),"")</f>
        <v/>
      </c>
      <c r="T254" s="33" t="str">
        <f>IFERROR(__xludf.DUMMYFUNCTION("IF(IF(T$1="""","""",REGEXMATCH(LOWER($E254),XLOOKUP(T$1,Metadata!$A$2:$A1000,Metadata!$B$2:$B1000))),T$1,"""")"),"")</f>
        <v/>
      </c>
      <c r="U254" s="33" t="str">
        <f>IFERROR(__xludf.DUMMYFUNCTION("IF(IF(U$1="""","""",REGEXMATCH(LOWER($E254),XLOOKUP(U$1,Metadata!$A$2:$A1000,Metadata!$B$2:$B1000))),U$1,"""")"),"Aggro")</f>
        <v>Aggro</v>
      </c>
      <c r="V254" s="33" t="str">
        <f>IFERROR(__xludf.DUMMYFUNCTION("IF(IF(V$1="""","""",REGEXMATCH(LOWER($E254),XLOOKUP(V$1,Metadata!$A$2:$A1000,Metadata!$B$2:$B1000))),V$1,"""")"),"")</f>
        <v/>
      </c>
      <c r="W254" s="33" t="str">
        <f>IFERROR(__xludf.DUMMYFUNCTION("IF(IF(W$1="""","""",REGEXMATCH(LOWER($E254),XLOOKUP(W$1,Metadata!$A$2:$A1000,Metadata!$B$2:$B1000))),W$1,"""")"),"")</f>
        <v/>
      </c>
      <c r="X254" s="33" t="str">
        <f>IFERROR(__xludf.DUMMYFUNCTION("IF(IF(X$1="""","""",REGEXMATCH(LOWER($E254),XLOOKUP(X$1,Metadata!$A$2:$A1000,Metadata!$B$2:$B1000))),X$1,"""")"),"")</f>
        <v/>
      </c>
      <c r="Y254" s="33" t="str">
        <f>IFERROR(__xludf.DUMMYFUNCTION("IF(IF(Y$1="""","""",REGEXMATCH(LOWER($E254),XLOOKUP(Y$1,Metadata!$A$2:$A1000,Metadata!$B$2:$B1000))),Y$1,"""")"),"")</f>
        <v/>
      </c>
      <c r="Z254" s="33" t="str">
        <f>IFERROR(__xludf.DUMMYFUNCTION("IF(IF(Z$1="""","""",REGEXMATCH(LOWER($E254),XLOOKUP(Z$1,Metadata!$A$2:$A1000,Metadata!$B$2:$B1000))),Z$1,"""")"),"")</f>
        <v/>
      </c>
      <c r="AA254" s="33" t="str">
        <f>IFERROR(__xludf.DUMMYFUNCTION("IF(AA$1="""","""",REGEXMATCH(LOWER($E254),XLOOKUP(AA$1,Metadata!$A$2:$A1000,Metadata!$B$2:$B1000)))"),"")</f>
        <v/>
      </c>
    </row>
    <row r="255">
      <c r="A255" s="33" t="str">
        <f>IFERROR(__xludf.DUMMYFUNCTION("""COMPUTED_VALUE"""),"Pollen Buzz")</f>
        <v>Pollen Buzz</v>
      </c>
      <c r="B255" s="33" t="str">
        <f t="array" ref="B255:I255">XLOOKUP($A255,Cards!$A$2:$A1000,Cards!$B$2:$I1000,"")</f>
        <v>Nature</v>
      </c>
      <c r="C255" s="33">
        <v>2.0</v>
      </c>
      <c r="D255" s="33" t="s">
        <v>1571</v>
      </c>
      <c r="E255" s="33" t="s">
        <v>1572</v>
      </c>
      <c r="F255" s="33" t="s">
        <v>1573</v>
      </c>
      <c r="G255" s="33">
        <v>4.0</v>
      </c>
      <c r="H255" s="33" t="s">
        <v>1475</v>
      </c>
      <c r="I255" s="33" t="s">
        <v>62</v>
      </c>
      <c r="J255" s="33">
        <f>IFERROR(__xludf.DUMMYFUNCTION("LEN(REGEXREPLACE(XLOOKUP($A255,Cards!$A$2:$A1000,Cards!$H$2:$H1000,""""),"",\s"",""""))"),6.0)</f>
        <v>6</v>
      </c>
      <c r="K255" s="33" t="str">
        <f t="shared" si="1"/>
        <v>   Nature            </v>
      </c>
      <c r="L255" s="33" t="str">
        <f>IFERROR(__xludf.DUMMYFUNCTION("IF(IF(L$1="""","""",REGEXMATCH(LOWER($E255),XLOOKUP(L$1,Metadata!$A$2:$A1000,Metadata!$B$2:$B1000))),L$1,"""")"),"")</f>
        <v/>
      </c>
      <c r="M255" s="33" t="str">
        <f>IFERROR(__xludf.DUMMYFUNCTION("IF(IF(M$1="""","""",REGEXMATCH(LOWER($E255),XLOOKUP(M$1,Metadata!$A$2:$A1000,Metadata!$B$2:$B1000))),M$1,"""")"),"")</f>
        <v/>
      </c>
      <c r="N255" s="33" t="str">
        <f>IFERROR(__xludf.DUMMYFUNCTION("IF(IF(N$1="""","""",REGEXMATCH(LOWER($E255),XLOOKUP(N$1,Metadata!$A$2:$A1000,Metadata!$B$2:$B1000))),N$1,"""")"),"")</f>
        <v/>
      </c>
      <c r="O255" s="33" t="str">
        <f>IFERROR(__xludf.DUMMYFUNCTION("IF(IF(O$1="""","""",REGEXMATCH(LOWER($E255),XLOOKUP(O$1,Metadata!$A$2:$A1000,Metadata!$B$2:$B1000))),O$1,"""")"),"Nature")</f>
        <v>Nature</v>
      </c>
      <c r="P255" s="33" t="str">
        <f>IFERROR(__xludf.DUMMYFUNCTION("IF(IF(P$1="""","""",REGEXMATCH(LOWER($E255),XLOOKUP(P$1,Metadata!$A$2:$A1000,Metadata!$B$2:$B1000))),P$1,"""")"),"")</f>
        <v/>
      </c>
      <c r="Q255" s="33" t="str">
        <f>IFERROR(__xludf.DUMMYFUNCTION("IF(IF(Q$1="""","""",REGEXMATCH(LOWER($E255),XLOOKUP(Q$1,Metadata!$A$2:$A1000,Metadata!$B$2:$B1000))),Q$1,"""")"),"")</f>
        <v/>
      </c>
      <c r="R255" s="33" t="str">
        <f>IFERROR(__xludf.DUMMYFUNCTION("IF(IF(R$1="""","""",REGEXMATCH(LOWER($E255),XLOOKUP(R$1,Metadata!$A$2:$A1000,Metadata!$B$2:$B1000))),R$1,"""")"),"")</f>
        <v/>
      </c>
      <c r="S255" s="33" t="str">
        <f>IFERROR(__xludf.DUMMYFUNCTION("IF(IF(S$1="""","""",REGEXMATCH(LOWER($E255),XLOOKUP(S$1,Metadata!$A$2:$A1000,Metadata!$B$2:$B1000))),S$1,"""")"),"")</f>
        <v/>
      </c>
      <c r="T255" s="33" t="str">
        <f>IFERROR(__xludf.DUMMYFUNCTION("IF(IF(T$1="""","""",REGEXMATCH(LOWER($E255),XLOOKUP(T$1,Metadata!$A$2:$A1000,Metadata!$B$2:$B1000))),T$1,"""")"),"")</f>
        <v/>
      </c>
      <c r="U255" s="33" t="str">
        <f>IFERROR(__xludf.DUMMYFUNCTION("IF(IF(U$1="""","""",REGEXMATCH(LOWER($E255),XLOOKUP(U$1,Metadata!$A$2:$A1000,Metadata!$B$2:$B1000))),U$1,"""")"),"")</f>
        <v/>
      </c>
      <c r="V255" s="33" t="str">
        <f>IFERROR(__xludf.DUMMYFUNCTION("IF(IF(V$1="""","""",REGEXMATCH(LOWER($E255),XLOOKUP(V$1,Metadata!$A$2:$A1000,Metadata!$B$2:$B1000))),V$1,"""")"),"")</f>
        <v/>
      </c>
      <c r="W255" s="33" t="str">
        <f>IFERROR(__xludf.DUMMYFUNCTION("IF(IF(W$1="""","""",REGEXMATCH(LOWER($E255),XLOOKUP(W$1,Metadata!$A$2:$A1000,Metadata!$B$2:$B1000))),W$1,"""")"),"")</f>
        <v/>
      </c>
      <c r="X255" s="33" t="str">
        <f>IFERROR(__xludf.DUMMYFUNCTION("IF(IF(X$1="""","""",REGEXMATCH(LOWER($E255),XLOOKUP(X$1,Metadata!$A$2:$A1000,Metadata!$B$2:$B1000))),X$1,"""")"),"")</f>
        <v/>
      </c>
      <c r="Y255" s="33" t="str">
        <f>IFERROR(__xludf.DUMMYFUNCTION("IF(IF(Y$1="""","""",REGEXMATCH(LOWER($E255),XLOOKUP(Y$1,Metadata!$A$2:$A1000,Metadata!$B$2:$B1000))),Y$1,"""")"),"")</f>
        <v/>
      </c>
      <c r="Z255" s="33" t="str">
        <f>IFERROR(__xludf.DUMMYFUNCTION("IF(IF(Z$1="""","""",REGEXMATCH(LOWER($E255),XLOOKUP(Z$1,Metadata!$A$2:$A1000,Metadata!$B$2:$B1000))),Z$1,"""")"),"")</f>
        <v/>
      </c>
      <c r="AA255" s="33" t="str">
        <f>IFERROR(__xludf.DUMMYFUNCTION("IF(AA$1="""","""",REGEXMATCH(LOWER($E255),XLOOKUP(AA$1,Metadata!$A$2:$A1000,Metadata!$B$2:$B1000)))"),"")</f>
        <v/>
      </c>
    </row>
    <row r="256">
      <c r="A256" s="33" t="str">
        <f>IFERROR(__xludf.DUMMYFUNCTION("""COMPUTED_VALUE"""),"Primal Horde")</f>
        <v>Primal Horde</v>
      </c>
      <c r="B256" s="33" t="str">
        <f t="array" ref="B256:I256">XLOOKUP($A256,Cards!$A$2:$A1000,Cards!$B$2:$I1000,"")</f>
        <v>Nature</v>
      </c>
      <c r="C256" s="33">
        <v>2.0</v>
      </c>
      <c r="D256" s="33" t="s">
        <v>97</v>
      </c>
      <c r="E256" s="33" t="s">
        <v>1575</v>
      </c>
      <c r="F256" s="33" t="s">
        <v>1576</v>
      </c>
      <c r="G256" s="33">
        <v>6.0</v>
      </c>
      <c r="H256" s="33" t="s">
        <v>1577</v>
      </c>
      <c r="I256" s="33" t="s">
        <v>32</v>
      </c>
      <c r="J256" s="33">
        <f>IFERROR(__xludf.DUMMYFUNCTION("LEN(REGEXREPLACE(XLOOKUP($A256,Cards!$A$2:$A1000,Cards!$H$2:$H1000,""""),"",\s"",""""))"),6.0)</f>
        <v>6</v>
      </c>
      <c r="K256" s="33" t="str">
        <f t="shared" si="1"/>
        <v>      Ramp   Aggro      </v>
      </c>
      <c r="L256" s="33" t="str">
        <f>IFERROR(__xludf.DUMMYFUNCTION("IF(IF(L$1="""","""",REGEXMATCH(LOWER($E256),XLOOKUP(L$1,Metadata!$A$2:$A1000,Metadata!$B$2:$B1000))),L$1,"""")"),"")</f>
        <v/>
      </c>
      <c r="M256" s="33" t="str">
        <f>IFERROR(__xludf.DUMMYFUNCTION("IF(IF(M$1="""","""",REGEXMATCH(LOWER($E256),XLOOKUP(M$1,Metadata!$A$2:$A1000,Metadata!$B$2:$B1000))),M$1,"""")"),"")</f>
        <v/>
      </c>
      <c r="N256" s="33" t="str">
        <f>IFERROR(__xludf.DUMMYFUNCTION("IF(IF(N$1="""","""",REGEXMATCH(LOWER($E256),XLOOKUP(N$1,Metadata!$A$2:$A1000,Metadata!$B$2:$B1000))),N$1,"""")"),"")</f>
        <v/>
      </c>
      <c r="O256" s="33" t="str">
        <f>IFERROR(__xludf.DUMMYFUNCTION("IF(IF(O$1="""","""",REGEXMATCH(LOWER($E256),XLOOKUP(O$1,Metadata!$A$2:$A1000,Metadata!$B$2:$B1000))),O$1,"""")"),"")</f>
        <v/>
      </c>
      <c r="P256" s="33" t="str">
        <f>IFERROR(__xludf.DUMMYFUNCTION("IF(IF(P$1="""","""",REGEXMATCH(LOWER($E256),XLOOKUP(P$1,Metadata!$A$2:$A1000,Metadata!$B$2:$B1000))),P$1,"""")"),"")</f>
        <v/>
      </c>
      <c r="Q256" s="33" t="str">
        <f>IFERROR(__xludf.DUMMYFUNCTION("IF(IF(Q$1="""","""",REGEXMATCH(LOWER($E256),XLOOKUP(Q$1,Metadata!$A$2:$A1000,Metadata!$B$2:$B1000))),Q$1,"""")"),"")</f>
        <v/>
      </c>
      <c r="R256" s="33" t="str">
        <f>IFERROR(__xludf.DUMMYFUNCTION("IF(IF(R$1="""","""",REGEXMATCH(LOWER($E256),XLOOKUP(R$1,Metadata!$A$2:$A1000,Metadata!$B$2:$B1000))),R$1,"""")"),"Ramp")</f>
        <v>Ramp</v>
      </c>
      <c r="S256" s="33" t="str">
        <f>IFERROR(__xludf.DUMMYFUNCTION("IF(IF(S$1="""","""",REGEXMATCH(LOWER($E256),XLOOKUP(S$1,Metadata!$A$2:$A1000,Metadata!$B$2:$B1000))),S$1,"""")"),"")</f>
        <v/>
      </c>
      <c r="T256" s="33" t="str">
        <f>IFERROR(__xludf.DUMMYFUNCTION("IF(IF(T$1="""","""",REGEXMATCH(LOWER($E256),XLOOKUP(T$1,Metadata!$A$2:$A1000,Metadata!$B$2:$B1000))),T$1,"""")"),"")</f>
        <v/>
      </c>
      <c r="U256" s="33" t="str">
        <f>IFERROR(__xludf.DUMMYFUNCTION("IF(IF(U$1="""","""",REGEXMATCH(LOWER($E256),XLOOKUP(U$1,Metadata!$A$2:$A1000,Metadata!$B$2:$B1000))),U$1,"""")"),"Aggro")</f>
        <v>Aggro</v>
      </c>
      <c r="V256" s="33" t="str">
        <f>IFERROR(__xludf.DUMMYFUNCTION("IF(IF(V$1="""","""",REGEXMATCH(LOWER($E256),XLOOKUP(V$1,Metadata!$A$2:$A1000,Metadata!$B$2:$B1000))),V$1,"""")"),"")</f>
        <v/>
      </c>
      <c r="W256" s="33" t="str">
        <f>IFERROR(__xludf.DUMMYFUNCTION("IF(IF(W$1="""","""",REGEXMATCH(LOWER($E256),XLOOKUP(W$1,Metadata!$A$2:$A1000,Metadata!$B$2:$B1000))),W$1,"""")"),"")</f>
        <v/>
      </c>
      <c r="X256" s="33" t="str">
        <f>IFERROR(__xludf.DUMMYFUNCTION("IF(IF(X$1="""","""",REGEXMATCH(LOWER($E256),XLOOKUP(X$1,Metadata!$A$2:$A1000,Metadata!$B$2:$B1000))),X$1,"""")"),"")</f>
        <v/>
      </c>
      <c r="Y256" s="33" t="str">
        <f>IFERROR(__xludf.DUMMYFUNCTION("IF(IF(Y$1="""","""",REGEXMATCH(LOWER($E256),XLOOKUP(Y$1,Metadata!$A$2:$A1000,Metadata!$B$2:$B1000))),Y$1,"""")"),"")</f>
        <v/>
      </c>
      <c r="Z256" s="33" t="str">
        <f>IFERROR(__xludf.DUMMYFUNCTION("IF(IF(Z$1="""","""",REGEXMATCH(LOWER($E256),XLOOKUP(Z$1,Metadata!$A$2:$A1000,Metadata!$B$2:$B1000))),Z$1,"""")"),"")</f>
        <v/>
      </c>
      <c r="AA256" s="33" t="str">
        <f>IFERROR(__xludf.DUMMYFUNCTION("IF(AA$1="""","""",REGEXMATCH(LOWER($E256),XLOOKUP(AA$1,Metadata!$A$2:$A1000,Metadata!$B$2:$B1000)))"),"")</f>
        <v/>
      </c>
    </row>
    <row r="257">
      <c r="A257" s="33" t="str">
        <f>IFERROR(__xludf.DUMMYFUNCTION("""COMPUTED_VALUE"""),"Prowling Puma")</f>
        <v>Prowling Puma</v>
      </c>
      <c r="B257" s="33" t="str">
        <f t="array" ref="B257:I257">XLOOKUP($A257,Cards!$A$2:$A1000,Cards!$B$2:$I1000,"")</f>
        <v>Nature</v>
      </c>
      <c r="C257" s="33">
        <v>2.0</v>
      </c>
      <c r="D257" s="33" t="s">
        <v>266</v>
      </c>
      <c r="E257" s="33" t="s">
        <v>1579</v>
      </c>
      <c r="F257" s="33" t="s">
        <v>1116</v>
      </c>
      <c r="G257" s="33">
        <v>3.0</v>
      </c>
      <c r="H257" s="33" t="s">
        <v>1559</v>
      </c>
      <c r="I257" s="33" t="s">
        <v>62</v>
      </c>
      <c r="J257" s="33">
        <f>IFERROR(__xludf.DUMMYFUNCTION("LEN(REGEXREPLACE(XLOOKUP($A257,Cards!$A$2:$A1000,Cards!$H$2:$H1000,""""),"",\s"",""""))"),5.0)</f>
        <v>5</v>
      </c>
      <c r="K257" s="33" t="str">
        <f t="shared" si="1"/>
        <v>         Aggro      </v>
      </c>
      <c r="L257" s="33" t="str">
        <f>IFERROR(__xludf.DUMMYFUNCTION("IF(IF(L$1="""","""",REGEXMATCH(LOWER($E257),XLOOKUP(L$1,Metadata!$A$2:$A1000,Metadata!$B$2:$B1000))),L$1,"""")"),"")</f>
        <v/>
      </c>
      <c r="M257" s="33" t="str">
        <f>IFERROR(__xludf.DUMMYFUNCTION("IF(IF(M$1="""","""",REGEXMATCH(LOWER($E257),XLOOKUP(M$1,Metadata!$A$2:$A1000,Metadata!$B$2:$B1000))),M$1,"""")"),"")</f>
        <v/>
      </c>
      <c r="N257" s="33" t="str">
        <f>IFERROR(__xludf.DUMMYFUNCTION("IF(IF(N$1="""","""",REGEXMATCH(LOWER($E257),XLOOKUP(N$1,Metadata!$A$2:$A1000,Metadata!$B$2:$B1000))),N$1,"""")"),"")</f>
        <v/>
      </c>
      <c r="O257" s="33" t="str">
        <f>IFERROR(__xludf.DUMMYFUNCTION("IF(IF(O$1="""","""",REGEXMATCH(LOWER($E257),XLOOKUP(O$1,Metadata!$A$2:$A1000,Metadata!$B$2:$B1000))),O$1,"""")"),"")</f>
        <v/>
      </c>
      <c r="P257" s="33" t="str">
        <f>IFERROR(__xludf.DUMMYFUNCTION("IF(IF(P$1="""","""",REGEXMATCH(LOWER($E257),XLOOKUP(P$1,Metadata!$A$2:$A1000,Metadata!$B$2:$B1000))),P$1,"""")"),"")</f>
        <v/>
      </c>
      <c r="Q257" s="33" t="str">
        <f>IFERROR(__xludf.DUMMYFUNCTION("IF(IF(Q$1="""","""",REGEXMATCH(LOWER($E257),XLOOKUP(Q$1,Metadata!$A$2:$A1000,Metadata!$B$2:$B1000))),Q$1,"""")"),"")</f>
        <v/>
      </c>
      <c r="R257" s="33" t="str">
        <f>IFERROR(__xludf.DUMMYFUNCTION("IF(IF(R$1="""","""",REGEXMATCH(LOWER($E257),XLOOKUP(R$1,Metadata!$A$2:$A1000,Metadata!$B$2:$B1000))),R$1,"""")"),"")</f>
        <v/>
      </c>
      <c r="S257" s="33" t="str">
        <f>IFERROR(__xludf.DUMMYFUNCTION("IF(IF(S$1="""","""",REGEXMATCH(LOWER($E257),XLOOKUP(S$1,Metadata!$A$2:$A1000,Metadata!$B$2:$B1000))),S$1,"""")"),"")</f>
        <v/>
      </c>
      <c r="T257" s="33" t="str">
        <f>IFERROR(__xludf.DUMMYFUNCTION("IF(IF(T$1="""","""",REGEXMATCH(LOWER($E257),XLOOKUP(T$1,Metadata!$A$2:$A1000,Metadata!$B$2:$B1000))),T$1,"""")"),"")</f>
        <v/>
      </c>
      <c r="U257" s="33" t="str">
        <f>IFERROR(__xludf.DUMMYFUNCTION("IF(IF(U$1="""","""",REGEXMATCH(LOWER($E257),XLOOKUP(U$1,Metadata!$A$2:$A1000,Metadata!$B$2:$B1000))),U$1,"""")"),"Aggro")</f>
        <v>Aggro</v>
      </c>
      <c r="V257" s="33" t="str">
        <f>IFERROR(__xludf.DUMMYFUNCTION("IF(IF(V$1="""","""",REGEXMATCH(LOWER($E257),XLOOKUP(V$1,Metadata!$A$2:$A1000,Metadata!$B$2:$B1000))),V$1,"""")"),"")</f>
        <v/>
      </c>
      <c r="W257" s="33" t="str">
        <f>IFERROR(__xludf.DUMMYFUNCTION("IF(IF(W$1="""","""",REGEXMATCH(LOWER($E257),XLOOKUP(W$1,Metadata!$A$2:$A1000,Metadata!$B$2:$B1000))),W$1,"""")"),"")</f>
        <v/>
      </c>
      <c r="X257" s="33" t="str">
        <f>IFERROR(__xludf.DUMMYFUNCTION("IF(IF(X$1="""","""",REGEXMATCH(LOWER($E257),XLOOKUP(X$1,Metadata!$A$2:$A1000,Metadata!$B$2:$B1000))),X$1,"""")"),"")</f>
        <v/>
      </c>
      <c r="Y257" s="33" t="str">
        <f>IFERROR(__xludf.DUMMYFUNCTION("IF(IF(Y$1="""","""",REGEXMATCH(LOWER($E257),XLOOKUP(Y$1,Metadata!$A$2:$A1000,Metadata!$B$2:$B1000))),Y$1,"""")"),"")</f>
        <v/>
      </c>
      <c r="Z257" s="33" t="str">
        <f>IFERROR(__xludf.DUMMYFUNCTION("IF(IF(Z$1="""","""",REGEXMATCH(LOWER($E257),XLOOKUP(Z$1,Metadata!$A$2:$A1000,Metadata!$B$2:$B1000))),Z$1,"""")"),"")</f>
        <v/>
      </c>
      <c r="AA257" s="33" t="str">
        <f>IFERROR(__xludf.DUMMYFUNCTION("IF(AA$1="""","""",REGEXMATCH(LOWER($E257),XLOOKUP(AA$1,Metadata!$A$2:$A1000,Metadata!$B$2:$B1000)))"),"")</f>
        <v/>
      </c>
    </row>
    <row r="258">
      <c r="A258" s="33" t="str">
        <f>IFERROR(__xludf.DUMMYFUNCTION("""COMPUTED_VALUE"""),"Raider of the Crystal Catacombs")</f>
        <v>Raider of the Crystal Catacombs</v>
      </c>
      <c r="B258" s="33" t="str">
        <f t="array" ref="B258:I258">XLOOKUP($A258,Cards!$A$2:$A1000,Cards!$B$2:$I1000,"")</f>
        <v>Nature</v>
      </c>
      <c r="C258" s="33">
        <v>0.0</v>
      </c>
      <c r="D258" s="33" t="s">
        <v>128</v>
      </c>
      <c r="E258" s="33" t="s">
        <v>1581</v>
      </c>
      <c r="F258" s="33" t="s">
        <v>1582</v>
      </c>
      <c r="G258" s="33">
        <v>3.0</v>
      </c>
      <c r="H258" s="33" t="s">
        <v>1583</v>
      </c>
      <c r="I258" s="33" t="s">
        <v>32</v>
      </c>
      <c r="J258" s="33">
        <f>IFERROR(__xludf.DUMMYFUNCTION("LEN(REGEXREPLACE(XLOOKUP($A258,Cards!$A$2:$A1000,Cards!$H$2:$H1000,""""),"",\s"",""""))"),3.0)</f>
        <v>3</v>
      </c>
      <c r="K258" s="33" t="str">
        <f t="shared" si="1"/>
        <v>      Ramp   Aggro      </v>
      </c>
      <c r="L258" s="33" t="str">
        <f>IFERROR(__xludf.DUMMYFUNCTION("IF(IF(L$1="""","""",REGEXMATCH(LOWER($E258),XLOOKUP(L$1,Metadata!$A$2:$A1000,Metadata!$B$2:$B1000))),L$1,"""")"),"")</f>
        <v/>
      </c>
      <c r="M258" s="33" t="str">
        <f>IFERROR(__xludf.DUMMYFUNCTION("IF(IF(M$1="""","""",REGEXMATCH(LOWER($E258),XLOOKUP(M$1,Metadata!$A$2:$A1000,Metadata!$B$2:$B1000))),M$1,"""")"),"")</f>
        <v/>
      </c>
      <c r="N258" s="33" t="str">
        <f>IFERROR(__xludf.DUMMYFUNCTION("IF(IF(N$1="""","""",REGEXMATCH(LOWER($E258),XLOOKUP(N$1,Metadata!$A$2:$A1000,Metadata!$B$2:$B1000))),N$1,"""")"),"")</f>
        <v/>
      </c>
      <c r="O258" s="33" t="str">
        <f>IFERROR(__xludf.DUMMYFUNCTION("IF(IF(O$1="""","""",REGEXMATCH(LOWER($E258),XLOOKUP(O$1,Metadata!$A$2:$A1000,Metadata!$B$2:$B1000))),O$1,"""")"),"")</f>
        <v/>
      </c>
      <c r="P258" s="33" t="str">
        <f>IFERROR(__xludf.DUMMYFUNCTION("IF(IF(P$1="""","""",REGEXMATCH(LOWER($E258),XLOOKUP(P$1,Metadata!$A$2:$A1000,Metadata!$B$2:$B1000))),P$1,"""")"),"")</f>
        <v/>
      </c>
      <c r="Q258" s="33" t="str">
        <f>IFERROR(__xludf.DUMMYFUNCTION("IF(IF(Q$1="""","""",REGEXMATCH(LOWER($E258),XLOOKUP(Q$1,Metadata!$A$2:$A1000,Metadata!$B$2:$B1000))),Q$1,"""")"),"")</f>
        <v/>
      </c>
      <c r="R258" s="33" t="str">
        <f>IFERROR(__xludf.DUMMYFUNCTION("IF(IF(R$1="""","""",REGEXMATCH(LOWER($E258),XLOOKUP(R$1,Metadata!$A$2:$A1000,Metadata!$B$2:$B1000))),R$1,"""")"),"Ramp")</f>
        <v>Ramp</v>
      </c>
      <c r="S258" s="33" t="str">
        <f>IFERROR(__xludf.DUMMYFUNCTION("IF(IF(S$1="""","""",REGEXMATCH(LOWER($E258),XLOOKUP(S$1,Metadata!$A$2:$A1000,Metadata!$B$2:$B1000))),S$1,"""")"),"")</f>
        <v/>
      </c>
      <c r="T258" s="33" t="str">
        <f>IFERROR(__xludf.DUMMYFUNCTION("IF(IF(T$1="""","""",REGEXMATCH(LOWER($E258),XLOOKUP(T$1,Metadata!$A$2:$A1000,Metadata!$B$2:$B1000))),T$1,"""")"),"")</f>
        <v/>
      </c>
      <c r="U258" s="33" t="str">
        <f>IFERROR(__xludf.DUMMYFUNCTION("IF(IF(U$1="""","""",REGEXMATCH(LOWER($E258),XLOOKUP(U$1,Metadata!$A$2:$A1000,Metadata!$B$2:$B1000))),U$1,"""")"),"Aggro")</f>
        <v>Aggro</v>
      </c>
      <c r="V258" s="33" t="str">
        <f>IFERROR(__xludf.DUMMYFUNCTION("IF(IF(V$1="""","""",REGEXMATCH(LOWER($E258),XLOOKUP(V$1,Metadata!$A$2:$A1000,Metadata!$B$2:$B1000))),V$1,"""")"),"")</f>
        <v/>
      </c>
      <c r="W258" s="33" t="str">
        <f>IFERROR(__xludf.DUMMYFUNCTION("IF(IF(W$1="""","""",REGEXMATCH(LOWER($E258),XLOOKUP(W$1,Metadata!$A$2:$A1000,Metadata!$B$2:$B1000))),W$1,"""")"),"")</f>
        <v/>
      </c>
      <c r="X258" s="33" t="str">
        <f>IFERROR(__xludf.DUMMYFUNCTION("IF(IF(X$1="""","""",REGEXMATCH(LOWER($E258),XLOOKUP(X$1,Metadata!$A$2:$A1000,Metadata!$B$2:$B1000))),X$1,"""")"),"")</f>
        <v/>
      </c>
      <c r="Y258" s="33" t="str">
        <f>IFERROR(__xludf.DUMMYFUNCTION("IF(IF(Y$1="""","""",REGEXMATCH(LOWER($E258),XLOOKUP(Y$1,Metadata!$A$2:$A1000,Metadata!$B$2:$B1000))),Y$1,"""")"),"")</f>
        <v/>
      </c>
      <c r="Z258" s="33" t="str">
        <f>IFERROR(__xludf.DUMMYFUNCTION("IF(IF(Z$1="""","""",REGEXMATCH(LOWER($E258),XLOOKUP(Z$1,Metadata!$A$2:$A1000,Metadata!$B$2:$B1000))),Z$1,"""")"),"")</f>
        <v/>
      </c>
      <c r="AA258" s="33" t="str">
        <f>IFERROR(__xludf.DUMMYFUNCTION("IF(AA$1="""","""",REGEXMATCH(LOWER($E258),XLOOKUP(AA$1,Metadata!$A$2:$A1000,Metadata!$B$2:$B1000)))"),"")</f>
        <v/>
      </c>
    </row>
    <row r="259">
      <c r="A259" s="33" t="str">
        <f>IFERROR(__xludf.DUMMYFUNCTION("""COMPUTED_VALUE"""),"Forsaken Aristocrat")</f>
        <v>Forsaken Aristocrat</v>
      </c>
      <c r="B259" s="33" t="str">
        <f t="array" ref="B259:I259">XLOOKUP($A259,Cards!$A$2:$A1000,Cards!$B$2:$I1000,"")</f>
        <v>Mortal Void</v>
      </c>
      <c r="C259" s="33">
        <v>1.0</v>
      </c>
      <c r="D259" s="33" t="s">
        <v>1585</v>
      </c>
      <c r="E259" s="33"/>
      <c r="F259" s="33" t="s">
        <v>1586</v>
      </c>
      <c r="G259" s="33">
        <v>2.0</v>
      </c>
      <c r="H259" s="33" t="s">
        <v>1415</v>
      </c>
      <c r="I259" s="33" t="s">
        <v>26</v>
      </c>
      <c r="J259" s="33">
        <f>IFERROR(__xludf.DUMMYFUNCTION("LEN(REGEXREPLACE(XLOOKUP($A259,Cards!$A$2:$A1000,Cards!$H$2:$H1000,""""),"",\s"",""""))"),2.0)</f>
        <v>2</v>
      </c>
      <c r="K259" s="33" t="str">
        <f t="shared" si="1"/>
        <v>               </v>
      </c>
      <c r="L259" s="33" t="str">
        <f>IFERROR(__xludf.DUMMYFUNCTION("IF(IF(L$1="""","""",REGEXMATCH(LOWER($E259),XLOOKUP(L$1,Metadata!$A$2:$A1000,Metadata!$B$2:$B1000))),L$1,"""")"),"")</f>
        <v/>
      </c>
      <c r="M259" s="33" t="str">
        <f>IFERROR(__xludf.DUMMYFUNCTION("IF(IF(M$1="""","""",REGEXMATCH(LOWER($E259),XLOOKUP(M$1,Metadata!$A$2:$A1000,Metadata!$B$2:$B1000))),M$1,"""")"),"")</f>
        <v/>
      </c>
      <c r="N259" s="33" t="str">
        <f>IFERROR(__xludf.DUMMYFUNCTION("IF(IF(N$1="""","""",REGEXMATCH(LOWER($E259),XLOOKUP(N$1,Metadata!$A$2:$A1000,Metadata!$B$2:$B1000))),N$1,"""")"),"")</f>
        <v/>
      </c>
      <c r="O259" s="33" t="str">
        <f>IFERROR(__xludf.DUMMYFUNCTION("IF(IF(O$1="""","""",REGEXMATCH(LOWER($E259),XLOOKUP(O$1,Metadata!$A$2:$A1000,Metadata!$B$2:$B1000))),O$1,"""")"),"")</f>
        <v/>
      </c>
      <c r="P259" s="33" t="str">
        <f>IFERROR(__xludf.DUMMYFUNCTION("IF(IF(P$1="""","""",REGEXMATCH(LOWER($E259),XLOOKUP(P$1,Metadata!$A$2:$A1000,Metadata!$B$2:$B1000))),P$1,"""")"),"")</f>
        <v/>
      </c>
      <c r="Q259" s="33" t="str">
        <f>IFERROR(__xludf.DUMMYFUNCTION("IF(IF(Q$1="""","""",REGEXMATCH(LOWER($E259),XLOOKUP(Q$1,Metadata!$A$2:$A1000,Metadata!$B$2:$B1000))),Q$1,"""")"),"")</f>
        <v/>
      </c>
      <c r="R259" s="33" t="str">
        <f>IFERROR(__xludf.DUMMYFUNCTION("IF(IF(R$1="""","""",REGEXMATCH(LOWER($E259),XLOOKUP(R$1,Metadata!$A$2:$A1000,Metadata!$B$2:$B1000))),R$1,"""")"),"")</f>
        <v/>
      </c>
      <c r="S259" s="33" t="str">
        <f>IFERROR(__xludf.DUMMYFUNCTION("IF(IF(S$1="""","""",REGEXMATCH(LOWER($E259),XLOOKUP(S$1,Metadata!$A$2:$A1000,Metadata!$B$2:$B1000))),S$1,"""")"),"")</f>
        <v/>
      </c>
      <c r="T259" s="33" t="str">
        <f>IFERROR(__xludf.DUMMYFUNCTION("IF(IF(T$1="""","""",REGEXMATCH(LOWER($E259),XLOOKUP(T$1,Metadata!$A$2:$A1000,Metadata!$B$2:$B1000))),T$1,"""")"),"")</f>
        <v/>
      </c>
      <c r="U259" s="33" t="str">
        <f>IFERROR(__xludf.DUMMYFUNCTION("IF(IF(U$1="""","""",REGEXMATCH(LOWER($E259),XLOOKUP(U$1,Metadata!$A$2:$A1000,Metadata!$B$2:$B1000))),U$1,"""")"),"")</f>
        <v/>
      </c>
      <c r="V259" s="33" t="str">
        <f>IFERROR(__xludf.DUMMYFUNCTION("IF(IF(V$1="""","""",REGEXMATCH(LOWER($E259),XLOOKUP(V$1,Metadata!$A$2:$A1000,Metadata!$B$2:$B1000))),V$1,"""")"),"")</f>
        <v/>
      </c>
      <c r="W259" s="33" t="str">
        <f>IFERROR(__xludf.DUMMYFUNCTION("IF(IF(W$1="""","""",REGEXMATCH(LOWER($E259),XLOOKUP(W$1,Metadata!$A$2:$A1000,Metadata!$B$2:$B1000))),W$1,"""")"),"")</f>
        <v/>
      </c>
      <c r="X259" s="33" t="str">
        <f>IFERROR(__xludf.DUMMYFUNCTION("IF(IF(X$1="""","""",REGEXMATCH(LOWER($E259),XLOOKUP(X$1,Metadata!$A$2:$A1000,Metadata!$B$2:$B1000))),X$1,"""")"),"")</f>
        <v/>
      </c>
      <c r="Y259" s="33" t="str">
        <f>IFERROR(__xludf.DUMMYFUNCTION("IF(IF(Y$1="""","""",REGEXMATCH(LOWER($E259),XLOOKUP(Y$1,Metadata!$A$2:$A1000,Metadata!$B$2:$B1000))),Y$1,"""")"),"")</f>
        <v/>
      </c>
      <c r="Z259" s="33" t="str">
        <f>IFERROR(__xludf.DUMMYFUNCTION("IF(IF(Z$1="""","""",REGEXMATCH(LOWER($E259),XLOOKUP(Z$1,Metadata!$A$2:$A1000,Metadata!$B$2:$B1000))),Z$1,"""")"),"")</f>
        <v/>
      </c>
      <c r="AA259" s="33" t="str">
        <f>IFERROR(__xludf.DUMMYFUNCTION("IF(AA$1="""","""",REGEXMATCH(LOWER($E259),XLOOKUP(AA$1,Metadata!$A$2:$A1000,Metadata!$B$2:$B1000)))"),"")</f>
        <v/>
      </c>
    </row>
    <row r="260">
      <c r="A260" s="33" t="str">
        <f>IFERROR(__xludf.DUMMYFUNCTION("""COMPUTED_VALUE"""),"Roar from the Past")</f>
        <v>Roar from the Past</v>
      </c>
      <c r="B260" s="33" t="str">
        <f t="array" ref="B260:I260">XLOOKUP($A260,Cards!$A$2:$A1000,Cards!$B$2:$I1000,"")</f>
        <v>Nature</v>
      </c>
      <c r="C260" s="33">
        <v>2.0</v>
      </c>
      <c r="D260" s="33" t="s">
        <v>1588</v>
      </c>
      <c r="E260" s="33" t="s">
        <v>1589</v>
      </c>
      <c r="F260" s="33" t="s">
        <v>1590</v>
      </c>
      <c r="G260" s="33">
        <v>6.0</v>
      </c>
      <c r="H260" s="33" t="s">
        <v>1577</v>
      </c>
      <c r="I260" s="33" t="s">
        <v>32</v>
      </c>
      <c r="J260" s="33">
        <f>IFERROR(__xludf.DUMMYFUNCTION("LEN(REGEXREPLACE(XLOOKUP($A260,Cards!$A$2:$A1000,Cards!$H$2:$H1000,""""),"",\s"",""""))"),6.0)</f>
        <v>6</v>
      </c>
      <c r="K260" s="33" t="str">
        <f t="shared" si="1"/>
        <v>   Nature      Aggro      </v>
      </c>
      <c r="L260" s="33" t="str">
        <f>IFERROR(__xludf.DUMMYFUNCTION("IF(IF(L$1="""","""",REGEXMATCH(LOWER($E260),XLOOKUP(L$1,Metadata!$A$2:$A1000,Metadata!$B$2:$B1000))),L$1,"""")"),"")</f>
        <v/>
      </c>
      <c r="M260" s="33" t="str">
        <f>IFERROR(__xludf.DUMMYFUNCTION("IF(IF(M$1="""","""",REGEXMATCH(LOWER($E260),XLOOKUP(M$1,Metadata!$A$2:$A1000,Metadata!$B$2:$B1000))),M$1,"""")"),"")</f>
        <v/>
      </c>
      <c r="N260" s="33" t="str">
        <f>IFERROR(__xludf.DUMMYFUNCTION("IF(IF(N$1="""","""",REGEXMATCH(LOWER($E260),XLOOKUP(N$1,Metadata!$A$2:$A1000,Metadata!$B$2:$B1000))),N$1,"""")"),"")</f>
        <v/>
      </c>
      <c r="O260" s="33" t="str">
        <f>IFERROR(__xludf.DUMMYFUNCTION("IF(IF(O$1="""","""",REGEXMATCH(LOWER($E260),XLOOKUP(O$1,Metadata!$A$2:$A1000,Metadata!$B$2:$B1000))),O$1,"""")"),"Nature")</f>
        <v>Nature</v>
      </c>
      <c r="P260" s="33" t="str">
        <f>IFERROR(__xludf.DUMMYFUNCTION("IF(IF(P$1="""","""",REGEXMATCH(LOWER($E260),XLOOKUP(P$1,Metadata!$A$2:$A1000,Metadata!$B$2:$B1000))),P$1,"""")"),"")</f>
        <v/>
      </c>
      <c r="Q260" s="33" t="str">
        <f>IFERROR(__xludf.DUMMYFUNCTION("IF(IF(Q$1="""","""",REGEXMATCH(LOWER($E260),XLOOKUP(Q$1,Metadata!$A$2:$A1000,Metadata!$B$2:$B1000))),Q$1,"""")"),"")</f>
        <v/>
      </c>
      <c r="R260" s="33" t="str">
        <f>IFERROR(__xludf.DUMMYFUNCTION("IF(IF(R$1="""","""",REGEXMATCH(LOWER($E260),XLOOKUP(R$1,Metadata!$A$2:$A1000,Metadata!$B$2:$B1000))),R$1,"""")"),"")</f>
        <v/>
      </c>
      <c r="S260" s="33" t="str">
        <f>IFERROR(__xludf.DUMMYFUNCTION("IF(IF(S$1="""","""",REGEXMATCH(LOWER($E260),XLOOKUP(S$1,Metadata!$A$2:$A1000,Metadata!$B$2:$B1000))),S$1,"""")"),"")</f>
        <v/>
      </c>
      <c r="T260" s="33" t="str">
        <f>IFERROR(__xludf.DUMMYFUNCTION("IF(IF(T$1="""","""",REGEXMATCH(LOWER($E260),XLOOKUP(T$1,Metadata!$A$2:$A1000,Metadata!$B$2:$B1000))),T$1,"""")"),"")</f>
        <v/>
      </c>
      <c r="U260" s="33" t="str">
        <f>IFERROR(__xludf.DUMMYFUNCTION("IF(IF(U$1="""","""",REGEXMATCH(LOWER($E260),XLOOKUP(U$1,Metadata!$A$2:$A1000,Metadata!$B$2:$B1000))),U$1,"""")"),"Aggro")</f>
        <v>Aggro</v>
      </c>
      <c r="V260" s="33" t="str">
        <f>IFERROR(__xludf.DUMMYFUNCTION("IF(IF(V$1="""","""",REGEXMATCH(LOWER($E260),XLOOKUP(V$1,Metadata!$A$2:$A1000,Metadata!$B$2:$B1000))),V$1,"""")"),"")</f>
        <v/>
      </c>
      <c r="W260" s="33" t="str">
        <f>IFERROR(__xludf.DUMMYFUNCTION("IF(IF(W$1="""","""",REGEXMATCH(LOWER($E260),XLOOKUP(W$1,Metadata!$A$2:$A1000,Metadata!$B$2:$B1000))),W$1,"""")"),"")</f>
        <v/>
      </c>
      <c r="X260" s="33" t="str">
        <f>IFERROR(__xludf.DUMMYFUNCTION("IF(IF(X$1="""","""",REGEXMATCH(LOWER($E260),XLOOKUP(X$1,Metadata!$A$2:$A1000,Metadata!$B$2:$B1000))),X$1,"""")"),"")</f>
        <v/>
      </c>
      <c r="Y260" s="33" t="str">
        <f>IFERROR(__xludf.DUMMYFUNCTION("IF(IF(Y$1="""","""",REGEXMATCH(LOWER($E260),XLOOKUP(Y$1,Metadata!$A$2:$A1000,Metadata!$B$2:$B1000))),Y$1,"""")"),"")</f>
        <v/>
      </c>
      <c r="Z260" s="33" t="str">
        <f>IFERROR(__xludf.DUMMYFUNCTION("IF(IF(Z$1="""","""",REGEXMATCH(LOWER($E260),XLOOKUP(Z$1,Metadata!$A$2:$A1000,Metadata!$B$2:$B1000))),Z$1,"""")"),"")</f>
        <v/>
      </c>
      <c r="AA260" s="33" t="str">
        <f>IFERROR(__xludf.DUMMYFUNCTION("IF(AA$1="""","""",REGEXMATCH(LOWER($E260),XLOOKUP(AA$1,Metadata!$A$2:$A1000,Metadata!$B$2:$B1000)))"),"")</f>
        <v/>
      </c>
    </row>
    <row r="261">
      <c r="A261" s="33" t="str">
        <f>IFERROR(__xludf.DUMMYFUNCTION("""COMPUTED_VALUE"""),"Rootseed Snapscale")</f>
        <v>Rootseed Snapscale</v>
      </c>
      <c r="B261" s="33" t="str">
        <f t="array" ref="B261:I261">XLOOKUP($A261,Cards!$A$2:$A1000,Cards!$B$2:$I1000,"")</f>
        <v>Nature</v>
      </c>
      <c r="C261" s="33">
        <v>2.0</v>
      </c>
      <c r="D261" s="33" t="s">
        <v>292</v>
      </c>
      <c r="E261" s="33" t="s">
        <v>1592</v>
      </c>
      <c r="F261" s="33" t="s">
        <v>1593</v>
      </c>
      <c r="G261" s="33">
        <v>3.0</v>
      </c>
      <c r="H261" s="33" t="s">
        <v>1594</v>
      </c>
      <c r="I261" s="33" t="s">
        <v>26</v>
      </c>
      <c r="J261" s="33">
        <f>IFERROR(__xludf.DUMMYFUNCTION("LEN(REGEXREPLACE(XLOOKUP($A261,Cards!$A$2:$A1000,Cards!$H$2:$H1000,""""),"",\s"",""""))"),4.0)</f>
        <v>4</v>
      </c>
      <c r="K261" s="33" t="str">
        <f t="shared" si="1"/>
        <v>               </v>
      </c>
      <c r="L261" s="33" t="str">
        <f>IFERROR(__xludf.DUMMYFUNCTION("IF(IF(L$1="""","""",REGEXMATCH(LOWER($E261),XLOOKUP(L$1,Metadata!$A$2:$A1000,Metadata!$B$2:$B1000))),L$1,"""")"),"")</f>
        <v/>
      </c>
      <c r="M261" s="33" t="str">
        <f>IFERROR(__xludf.DUMMYFUNCTION("IF(IF(M$1="""","""",REGEXMATCH(LOWER($E261),XLOOKUP(M$1,Metadata!$A$2:$A1000,Metadata!$B$2:$B1000))),M$1,"""")"),"")</f>
        <v/>
      </c>
      <c r="N261" s="33" t="str">
        <f>IFERROR(__xludf.DUMMYFUNCTION("IF(IF(N$1="""","""",REGEXMATCH(LOWER($E261),XLOOKUP(N$1,Metadata!$A$2:$A1000,Metadata!$B$2:$B1000))),N$1,"""")"),"")</f>
        <v/>
      </c>
      <c r="O261" s="33" t="str">
        <f>IFERROR(__xludf.DUMMYFUNCTION("IF(IF(O$1="""","""",REGEXMATCH(LOWER($E261),XLOOKUP(O$1,Metadata!$A$2:$A1000,Metadata!$B$2:$B1000))),O$1,"""")"),"")</f>
        <v/>
      </c>
      <c r="P261" s="33" t="str">
        <f>IFERROR(__xludf.DUMMYFUNCTION("IF(IF(P$1="""","""",REGEXMATCH(LOWER($E261),XLOOKUP(P$1,Metadata!$A$2:$A1000,Metadata!$B$2:$B1000))),P$1,"""")"),"")</f>
        <v/>
      </c>
      <c r="Q261" s="33" t="str">
        <f>IFERROR(__xludf.DUMMYFUNCTION("IF(IF(Q$1="""","""",REGEXMATCH(LOWER($E261),XLOOKUP(Q$1,Metadata!$A$2:$A1000,Metadata!$B$2:$B1000))),Q$1,"""")"),"")</f>
        <v/>
      </c>
      <c r="R261" s="33" t="str">
        <f>IFERROR(__xludf.DUMMYFUNCTION("IF(IF(R$1="""","""",REGEXMATCH(LOWER($E261),XLOOKUP(R$1,Metadata!$A$2:$A1000,Metadata!$B$2:$B1000))),R$1,"""")"),"")</f>
        <v/>
      </c>
      <c r="S261" s="33" t="str">
        <f>IFERROR(__xludf.DUMMYFUNCTION("IF(IF(S$1="""","""",REGEXMATCH(LOWER($E261),XLOOKUP(S$1,Metadata!$A$2:$A1000,Metadata!$B$2:$B1000))),S$1,"""")"),"")</f>
        <v/>
      </c>
      <c r="T261" s="33" t="str">
        <f>IFERROR(__xludf.DUMMYFUNCTION("IF(IF(T$1="""","""",REGEXMATCH(LOWER($E261),XLOOKUP(T$1,Metadata!$A$2:$A1000,Metadata!$B$2:$B1000))),T$1,"""")"),"")</f>
        <v/>
      </c>
      <c r="U261" s="33" t="str">
        <f>IFERROR(__xludf.DUMMYFUNCTION("IF(IF(U$1="""","""",REGEXMATCH(LOWER($E261),XLOOKUP(U$1,Metadata!$A$2:$A1000,Metadata!$B$2:$B1000))),U$1,"""")"),"")</f>
        <v/>
      </c>
      <c r="V261" s="33" t="str">
        <f>IFERROR(__xludf.DUMMYFUNCTION("IF(IF(V$1="""","""",REGEXMATCH(LOWER($E261),XLOOKUP(V$1,Metadata!$A$2:$A1000,Metadata!$B$2:$B1000))),V$1,"""")"),"")</f>
        <v/>
      </c>
      <c r="W261" s="33" t="str">
        <f>IFERROR(__xludf.DUMMYFUNCTION("IF(IF(W$1="""","""",REGEXMATCH(LOWER($E261),XLOOKUP(W$1,Metadata!$A$2:$A1000,Metadata!$B$2:$B1000))),W$1,"""")"),"")</f>
        <v/>
      </c>
      <c r="X261" s="33" t="str">
        <f>IFERROR(__xludf.DUMMYFUNCTION("IF(IF(X$1="""","""",REGEXMATCH(LOWER($E261),XLOOKUP(X$1,Metadata!$A$2:$A1000,Metadata!$B$2:$B1000))),X$1,"""")"),"")</f>
        <v/>
      </c>
      <c r="Y261" s="33" t="str">
        <f>IFERROR(__xludf.DUMMYFUNCTION("IF(IF(Y$1="""","""",REGEXMATCH(LOWER($E261),XLOOKUP(Y$1,Metadata!$A$2:$A1000,Metadata!$B$2:$B1000))),Y$1,"""")"),"")</f>
        <v/>
      </c>
      <c r="Z261" s="33" t="str">
        <f>IFERROR(__xludf.DUMMYFUNCTION("IF(IF(Z$1="""","""",REGEXMATCH(LOWER($E261),XLOOKUP(Z$1,Metadata!$A$2:$A1000,Metadata!$B$2:$B1000))),Z$1,"""")"),"")</f>
        <v/>
      </c>
      <c r="AA261" s="33" t="str">
        <f>IFERROR(__xludf.DUMMYFUNCTION("IF(AA$1="""","""",REGEXMATCH(LOWER($E261),XLOOKUP(AA$1,Metadata!$A$2:$A1000,Metadata!$B$2:$B1000)))"),"")</f>
        <v/>
      </c>
    </row>
    <row r="262">
      <c r="A262" s="33" t="str">
        <f>IFERROR(__xludf.DUMMYFUNCTION("""COMPUTED_VALUE"""),"Alpha of the Stampede")</f>
        <v>Alpha of the Stampede</v>
      </c>
      <c r="B262" s="33" t="str">
        <f t="array" ref="B262:I262">XLOOKUP($A262,Cards!$A$2:$A1000,Cards!$B$2:$I1000,"")</f>
        <v>Nature</v>
      </c>
      <c r="C262" s="33">
        <v>1.0</v>
      </c>
      <c r="D262" s="33" t="s">
        <v>334</v>
      </c>
      <c r="E262" s="33" t="s">
        <v>1596</v>
      </c>
      <c r="F262" s="33" t="s">
        <v>891</v>
      </c>
      <c r="G262" s="33">
        <v>3.0</v>
      </c>
      <c r="H262" s="33" t="s">
        <v>1470</v>
      </c>
      <c r="I262" s="33" t="s">
        <v>26</v>
      </c>
      <c r="J262" s="33">
        <f>IFERROR(__xludf.DUMMYFUNCTION("LEN(REGEXREPLACE(XLOOKUP($A262,Cards!$A$2:$A1000,Cards!$H$2:$H1000,""""),"",\s"",""""))"),3.0)</f>
        <v>3</v>
      </c>
      <c r="K262" s="33" t="str">
        <f t="shared" si="1"/>
        <v>           Move    </v>
      </c>
      <c r="L262" s="33" t="str">
        <f>IFERROR(__xludf.DUMMYFUNCTION("IF(IF(L$1="""","""",REGEXMATCH(LOWER($E262),XLOOKUP(L$1,Metadata!$A$2:$A1000,Metadata!$B$2:$B1000))),L$1,"""")"),"")</f>
        <v/>
      </c>
      <c r="M262" s="33" t="str">
        <f>IFERROR(__xludf.DUMMYFUNCTION("IF(IF(M$1="""","""",REGEXMATCH(LOWER($E262),XLOOKUP(M$1,Metadata!$A$2:$A1000,Metadata!$B$2:$B1000))),M$1,"""")"),"")</f>
        <v/>
      </c>
      <c r="N262" s="33" t="str">
        <f>IFERROR(__xludf.DUMMYFUNCTION("IF(IF(N$1="""","""",REGEXMATCH(LOWER($E262),XLOOKUP(N$1,Metadata!$A$2:$A1000,Metadata!$B$2:$B1000))),N$1,"""")"),"")</f>
        <v/>
      </c>
      <c r="O262" s="33" t="str">
        <f>IFERROR(__xludf.DUMMYFUNCTION("IF(IF(O$1="""","""",REGEXMATCH(LOWER($E262),XLOOKUP(O$1,Metadata!$A$2:$A1000,Metadata!$B$2:$B1000))),O$1,"""")"),"")</f>
        <v/>
      </c>
      <c r="P262" s="33" t="str">
        <f>IFERROR(__xludf.DUMMYFUNCTION("IF(IF(P$1="""","""",REGEXMATCH(LOWER($E262),XLOOKUP(P$1,Metadata!$A$2:$A1000,Metadata!$B$2:$B1000))),P$1,"""")"),"")</f>
        <v/>
      </c>
      <c r="Q262" s="33" t="str">
        <f>IFERROR(__xludf.DUMMYFUNCTION("IF(IF(Q$1="""","""",REGEXMATCH(LOWER($E262),XLOOKUP(Q$1,Metadata!$A$2:$A1000,Metadata!$B$2:$B1000))),Q$1,"""")"),"")</f>
        <v/>
      </c>
      <c r="R262" s="33" t="str">
        <f>IFERROR(__xludf.DUMMYFUNCTION("IF(IF(R$1="""","""",REGEXMATCH(LOWER($E262),XLOOKUP(R$1,Metadata!$A$2:$A1000,Metadata!$B$2:$B1000))),R$1,"""")"),"")</f>
        <v/>
      </c>
      <c r="S262" s="33" t="str">
        <f>IFERROR(__xludf.DUMMYFUNCTION("IF(IF(S$1="""","""",REGEXMATCH(LOWER($E262),XLOOKUP(S$1,Metadata!$A$2:$A1000,Metadata!$B$2:$B1000))),S$1,"""")"),"")</f>
        <v/>
      </c>
      <c r="T262" s="33" t="str">
        <f>IFERROR(__xludf.DUMMYFUNCTION("IF(IF(T$1="""","""",REGEXMATCH(LOWER($E262),XLOOKUP(T$1,Metadata!$A$2:$A1000,Metadata!$B$2:$B1000))),T$1,"""")"),"")</f>
        <v/>
      </c>
      <c r="U262" s="33" t="str">
        <f>IFERROR(__xludf.DUMMYFUNCTION("IF(IF(U$1="""","""",REGEXMATCH(LOWER($E262),XLOOKUP(U$1,Metadata!$A$2:$A1000,Metadata!$B$2:$B1000))),U$1,"""")"),"")</f>
        <v/>
      </c>
      <c r="V262" s="33" t="str">
        <f>IFERROR(__xludf.DUMMYFUNCTION("IF(IF(V$1="""","""",REGEXMATCH(LOWER($E262),XLOOKUP(V$1,Metadata!$A$2:$A1000,Metadata!$B$2:$B1000))),V$1,"""")"),"")</f>
        <v/>
      </c>
      <c r="W262" s="33" t="str">
        <f>IFERROR(__xludf.DUMMYFUNCTION("IF(IF(W$1="""","""",REGEXMATCH(LOWER($E262),XLOOKUP(W$1,Metadata!$A$2:$A1000,Metadata!$B$2:$B1000))),W$1,"""")"),"Move")</f>
        <v>Move</v>
      </c>
      <c r="X262" s="33" t="str">
        <f>IFERROR(__xludf.DUMMYFUNCTION("IF(IF(X$1="""","""",REGEXMATCH(LOWER($E262),XLOOKUP(X$1,Metadata!$A$2:$A1000,Metadata!$B$2:$B1000))),X$1,"""")"),"")</f>
        <v/>
      </c>
      <c r="Y262" s="33" t="str">
        <f>IFERROR(__xludf.DUMMYFUNCTION("IF(IF(Y$1="""","""",REGEXMATCH(LOWER($E262),XLOOKUP(Y$1,Metadata!$A$2:$A1000,Metadata!$B$2:$B1000))),Y$1,"""")"),"")</f>
        <v/>
      </c>
      <c r="Z262" s="33" t="str">
        <f>IFERROR(__xludf.DUMMYFUNCTION("IF(IF(Z$1="""","""",REGEXMATCH(LOWER($E262),XLOOKUP(Z$1,Metadata!$A$2:$A1000,Metadata!$B$2:$B1000))),Z$1,"""")"),"")</f>
        <v/>
      </c>
      <c r="AA262" s="33" t="str">
        <f>IFERROR(__xludf.DUMMYFUNCTION("IF(AA$1="""","""",REGEXMATCH(LOWER($E262),XLOOKUP(AA$1,Metadata!$A$2:$A1000,Metadata!$B$2:$B1000)))"),"")</f>
        <v/>
      </c>
    </row>
    <row r="263">
      <c r="A263" s="33" t="str">
        <f>IFERROR(__xludf.DUMMYFUNCTION("""COMPUTED_VALUE"""),"Amethyst Argosaurus")</f>
        <v>Amethyst Argosaurus</v>
      </c>
      <c r="B263" s="33" t="str">
        <f t="array" ref="B263:I263">XLOOKUP($A263,Cards!$A$2:$A1000,Cards!$B$2:$I1000,"")</f>
        <v>Nature</v>
      </c>
      <c r="C263" s="33">
        <v>1.0</v>
      </c>
      <c r="D263" s="33" t="s">
        <v>330</v>
      </c>
      <c r="E263" s="33" t="s">
        <v>1598</v>
      </c>
      <c r="F263" s="33" t="s">
        <v>1599</v>
      </c>
      <c r="G263" s="33">
        <v>6.0</v>
      </c>
      <c r="H263" s="33" t="s">
        <v>1559</v>
      </c>
      <c r="I263" s="33" t="s">
        <v>62</v>
      </c>
      <c r="J263" s="33">
        <f>IFERROR(__xludf.DUMMYFUNCTION("LEN(REGEXREPLACE(XLOOKUP($A263,Cards!$A$2:$A1000,Cards!$H$2:$H1000,""""),"",\s"",""""))"),5.0)</f>
        <v>5</v>
      </c>
      <c r="K263" s="33" t="str">
        <f t="shared" si="1"/>
        <v>      Ramp         </v>
      </c>
      <c r="L263" s="33" t="str">
        <f>IFERROR(__xludf.DUMMYFUNCTION("IF(IF(L$1="""","""",REGEXMATCH(LOWER($E263),XLOOKUP(L$1,Metadata!$A$2:$A1000,Metadata!$B$2:$B1000))),L$1,"""")"),"")</f>
        <v/>
      </c>
      <c r="M263" s="33" t="str">
        <f>IFERROR(__xludf.DUMMYFUNCTION("IF(IF(M$1="""","""",REGEXMATCH(LOWER($E263),XLOOKUP(M$1,Metadata!$A$2:$A1000,Metadata!$B$2:$B1000))),M$1,"""")"),"")</f>
        <v/>
      </c>
      <c r="N263" s="33" t="str">
        <f>IFERROR(__xludf.DUMMYFUNCTION("IF(IF(N$1="""","""",REGEXMATCH(LOWER($E263),XLOOKUP(N$1,Metadata!$A$2:$A1000,Metadata!$B$2:$B1000))),N$1,"""")"),"")</f>
        <v/>
      </c>
      <c r="O263" s="33" t="str">
        <f>IFERROR(__xludf.DUMMYFUNCTION("IF(IF(O$1="""","""",REGEXMATCH(LOWER($E263),XLOOKUP(O$1,Metadata!$A$2:$A1000,Metadata!$B$2:$B1000))),O$1,"""")"),"")</f>
        <v/>
      </c>
      <c r="P263" s="33" t="str">
        <f>IFERROR(__xludf.DUMMYFUNCTION("IF(IF(P$1="""","""",REGEXMATCH(LOWER($E263),XLOOKUP(P$1,Metadata!$A$2:$A1000,Metadata!$B$2:$B1000))),P$1,"""")"),"")</f>
        <v/>
      </c>
      <c r="Q263" s="33" t="str">
        <f>IFERROR(__xludf.DUMMYFUNCTION("IF(IF(Q$1="""","""",REGEXMATCH(LOWER($E263),XLOOKUP(Q$1,Metadata!$A$2:$A1000,Metadata!$B$2:$B1000))),Q$1,"""")"),"")</f>
        <v/>
      </c>
      <c r="R263" s="33" t="str">
        <f>IFERROR(__xludf.DUMMYFUNCTION("IF(IF(R$1="""","""",REGEXMATCH(LOWER($E263),XLOOKUP(R$1,Metadata!$A$2:$A1000,Metadata!$B$2:$B1000))),R$1,"""")"),"Ramp")</f>
        <v>Ramp</v>
      </c>
      <c r="S263" s="33" t="str">
        <f>IFERROR(__xludf.DUMMYFUNCTION("IF(IF(S$1="""","""",REGEXMATCH(LOWER($E263),XLOOKUP(S$1,Metadata!$A$2:$A1000,Metadata!$B$2:$B1000))),S$1,"""")"),"")</f>
        <v/>
      </c>
      <c r="T263" s="33" t="str">
        <f>IFERROR(__xludf.DUMMYFUNCTION("IF(IF(T$1="""","""",REGEXMATCH(LOWER($E263),XLOOKUP(T$1,Metadata!$A$2:$A1000,Metadata!$B$2:$B1000))),T$1,"""")"),"")</f>
        <v/>
      </c>
      <c r="U263" s="33" t="str">
        <f>IFERROR(__xludf.DUMMYFUNCTION("IF(IF(U$1="""","""",REGEXMATCH(LOWER($E263),XLOOKUP(U$1,Metadata!$A$2:$A1000,Metadata!$B$2:$B1000))),U$1,"""")"),"")</f>
        <v/>
      </c>
      <c r="V263" s="33" t="str">
        <f>IFERROR(__xludf.DUMMYFUNCTION("IF(IF(V$1="""","""",REGEXMATCH(LOWER($E263),XLOOKUP(V$1,Metadata!$A$2:$A1000,Metadata!$B$2:$B1000))),V$1,"""")"),"")</f>
        <v/>
      </c>
      <c r="W263" s="33" t="str">
        <f>IFERROR(__xludf.DUMMYFUNCTION("IF(IF(W$1="""","""",REGEXMATCH(LOWER($E263),XLOOKUP(W$1,Metadata!$A$2:$A1000,Metadata!$B$2:$B1000))),W$1,"""")"),"")</f>
        <v/>
      </c>
      <c r="X263" s="33" t="str">
        <f>IFERROR(__xludf.DUMMYFUNCTION("IF(IF(X$1="""","""",REGEXMATCH(LOWER($E263),XLOOKUP(X$1,Metadata!$A$2:$A1000,Metadata!$B$2:$B1000))),X$1,"""")"),"")</f>
        <v/>
      </c>
      <c r="Y263" s="33" t="str">
        <f>IFERROR(__xludf.DUMMYFUNCTION("IF(IF(Y$1="""","""",REGEXMATCH(LOWER($E263),XLOOKUP(Y$1,Metadata!$A$2:$A1000,Metadata!$B$2:$B1000))),Y$1,"""")"),"")</f>
        <v/>
      </c>
      <c r="Z263" s="33" t="str">
        <f>IFERROR(__xludf.DUMMYFUNCTION("IF(IF(Z$1="""","""",REGEXMATCH(LOWER($E263),XLOOKUP(Z$1,Metadata!$A$2:$A1000,Metadata!$B$2:$B1000))),Z$1,"""")"),"")</f>
        <v/>
      </c>
      <c r="AA263" s="33" t="str">
        <f>IFERROR(__xludf.DUMMYFUNCTION("IF(AA$1="""","""",REGEXMATCH(LOWER($E263),XLOOKUP(AA$1,Metadata!$A$2:$A1000,Metadata!$B$2:$B1000)))"),"")</f>
        <v/>
      </c>
    </row>
    <row r="264">
      <c r="A264" s="33" t="str">
        <f>IFERROR(__xludf.DUMMYFUNCTION("""COMPUTED_VALUE"""),"Astral Unicorn")</f>
        <v>Astral Unicorn</v>
      </c>
      <c r="B264" s="33" t="str">
        <f t="array" ref="B264:I264">XLOOKUP($A264,Cards!$A$2:$A1000,Cards!$B$2:$I1000,"")</f>
        <v>Nature</v>
      </c>
      <c r="C264" s="33">
        <v>1.0</v>
      </c>
      <c r="D264" s="33" t="s">
        <v>97</v>
      </c>
      <c r="E264" s="33" t="s">
        <v>1601</v>
      </c>
      <c r="F264" s="33" t="s">
        <v>1602</v>
      </c>
      <c r="G264" s="33">
        <v>4.0</v>
      </c>
      <c r="H264" s="33" t="s">
        <v>1559</v>
      </c>
      <c r="I264" s="33" t="s">
        <v>62</v>
      </c>
      <c r="J264" s="33">
        <f>IFERROR(__xludf.DUMMYFUNCTION("LEN(REGEXREPLACE(XLOOKUP($A264,Cards!$A$2:$A1000,Cards!$H$2:$H1000,""""),"",\s"",""""))"),5.0)</f>
        <v>5</v>
      </c>
      <c r="K264" s="33" t="str">
        <f t="shared" si="1"/>
        <v>               </v>
      </c>
      <c r="L264" s="33" t="str">
        <f>IFERROR(__xludf.DUMMYFUNCTION("IF(IF(L$1="""","""",REGEXMATCH(LOWER($E264),XLOOKUP(L$1,Metadata!$A$2:$A1000,Metadata!$B$2:$B1000))),L$1,"""")"),"")</f>
        <v/>
      </c>
      <c r="M264" s="33" t="str">
        <f>IFERROR(__xludf.DUMMYFUNCTION("IF(IF(M$1="""","""",REGEXMATCH(LOWER($E264),XLOOKUP(M$1,Metadata!$A$2:$A1000,Metadata!$B$2:$B1000))),M$1,"""")"),"")</f>
        <v/>
      </c>
      <c r="N264" s="33" t="str">
        <f>IFERROR(__xludf.DUMMYFUNCTION("IF(IF(N$1="""","""",REGEXMATCH(LOWER($E264),XLOOKUP(N$1,Metadata!$A$2:$A1000,Metadata!$B$2:$B1000))),N$1,"""")"),"")</f>
        <v/>
      </c>
      <c r="O264" s="33" t="str">
        <f>IFERROR(__xludf.DUMMYFUNCTION("IF(IF(O$1="""","""",REGEXMATCH(LOWER($E264),XLOOKUP(O$1,Metadata!$A$2:$A1000,Metadata!$B$2:$B1000))),O$1,"""")"),"")</f>
        <v/>
      </c>
      <c r="P264" s="33" t="str">
        <f>IFERROR(__xludf.DUMMYFUNCTION("IF(IF(P$1="""","""",REGEXMATCH(LOWER($E264),XLOOKUP(P$1,Metadata!$A$2:$A1000,Metadata!$B$2:$B1000))),P$1,"""")"),"")</f>
        <v/>
      </c>
      <c r="Q264" s="33" t="str">
        <f>IFERROR(__xludf.DUMMYFUNCTION("IF(IF(Q$1="""","""",REGEXMATCH(LOWER($E264),XLOOKUP(Q$1,Metadata!$A$2:$A1000,Metadata!$B$2:$B1000))),Q$1,"""")"),"")</f>
        <v/>
      </c>
      <c r="R264" s="33" t="str">
        <f>IFERROR(__xludf.DUMMYFUNCTION("IF(IF(R$1="""","""",REGEXMATCH(LOWER($E264),XLOOKUP(R$1,Metadata!$A$2:$A1000,Metadata!$B$2:$B1000))),R$1,"""")"),"")</f>
        <v/>
      </c>
      <c r="S264" s="33" t="str">
        <f>IFERROR(__xludf.DUMMYFUNCTION("IF(IF(S$1="""","""",REGEXMATCH(LOWER($E264),XLOOKUP(S$1,Metadata!$A$2:$A1000,Metadata!$B$2:$B1000))),S$1,"""")"),"")</f>
        <v/>
      </c>
      <c r="T264" s="33" t="str">
        <f>IFERROR(__xludf.DUMMYFUNCTION("IF(IF(T$1="""","""",REGEXMATCH(LOWER($E264),XLOOKUP(T$1,Metadata!$A$2:$A1000,Metadata!$B$2:$B1000))),T$1,"""")"),"")</f>
        <v/>
      </c>
      <c r="U264" s="33" t="str">
        <f>IFERROR(__xludf.DUMMYFUNCTION("IF(IF(U$1="""","""",REGEXMATCH(LOWER($E264),XLOOKUP(U$1,Metadata!$A$2:$A1000,Metadata!$B$2:$B1000))),U$1,"""")"),"")</f>
        <v/>
      </c>
      <c r="V264" s="33" t="str">
        <f>IFERROR(__xludf.DUMMYFUNCTION("IF(IF(V$1="""","""",REGEXMATCH(LOWER($E264),XLOOKUP(V$1,Metadata!$A$2:$A1000,Metadata!$B$2:$B1000))),V$1,"""")"),"")</f>
        <v/>
      </c>
      <c r="W264" s="33" t="str">
        <f>IFERROR(__xludf.DUMMYFUNCTION("IF(IF(W$1="""","""",REGEXMATCH(LOWER($E264),XLOOKUP(W$1,Metadata!$A$2:$A1000,Metadata!$B$2:$B1000))),W$1,"""")"),"")</f>
        <v/>
      </c>
      <c r="X264" s="33" t="str">
        <f>IFERROR(__xludf.DUMMYFUNCTION("IF(IF(X$1="""","""",REGEXMATCH(LOWER($E264),XLOOKUP(X$1,Metadata!$A$2:$A1000,Metadata!$B$2:$B1000))),X$1,"""")"),"")</f>
        <v/>
      </c>
      <c r="Y264" s="33" t="str">
        <f>IFERROR(__xludf.DUMMYFUNCTION("IF(IF(Y$1="""","""",REGEXMATCH(LOWER($E264),XLOOKUP(Y$1,Metadata!$A$2:$A1000,Metadata!$B$2:$B1000))),Y$1,"""")"),"")</f>
        <v/>
      </c>
      <c r="Z264" s="33" t="str">
        <f>IFERROR(__xludf.DUMMYFUNCTION("IF(IF(Z$1="""","""",REGEXMATCH(LOWER($E264),XLOOKUP(Z$1,Metadata!$A$2:$A1000,Metadata!$B$2:$B1000))),Z$1,"""")"),"")</f>
        <v/>
      </c>
      <c r="AA264" s="33" t="str">
        <f>IFERROR(__xludf.DUMMYFUNCTION("IF(AA$1="""","""",REGEXMATCH(LOWER($E264),XLOOKUP(AA$1,Metadata!$A$2:$A1000,Metadata!$B$2:$B1000)))"),"")</f>
        <v/>
      </c>
    </row>
    <row r="265">
      <c r="A265" s="33" t="str">
        <f>IFERROR(__xludf.DUMMYFUNCTION("""COMPUTED_VALUE"""),"Spectra Stick Bug")</f>
        <v>Spectra Stick Bug</v>
      </c>
      <c r="B265" s="33" t="str">
        <f t="array" ref="B265:I265">XLOOKUP($A265,Cards!$A$2:$A1000,Cards!$B$2:$I1000,"")</f>
        <v>Nature</v>
      </c>
      <c r="C265" s="33">
        <v>2.0</v>
      </c>
      <c r="D265" s="33" t="s">
        <v>1571</v>
      </c>
      <c r="E265" s="33" t="s">
        <v>1604</v>
      </c>
      <c r="F265" s="33" t="s">
        <v>1605</v>
      </c>
      <c r="G265" s="33">
        <v>3.0</v>
      </c>
      <c r="H265" s="33" t="s">
        <v>1594</v>
      </c>
      <c r="I265" s="33" t="s">
        <v>26</v>
      </c>
      <c r="J265" s="33">
        <f>IFERROR(__xludf.DUMMYFUNCTION("LEN(REGEXREPLACE(XLOOKUP($A265,Cards!$A$2:$A1000,Cards!$H$2:$H1000,""""),"",\s"",""""))"),4.0)</f>
        <v>4</v>
      </c>
      <c r="K265" s="33" t="str">
        <f t="shared" si="1"/>
        <v>         Aggro      </v>
      </c>
      <c r="L265" s="33" t="str">
        <f>IFERROR(__xludf.DUMMYFUNCTION("IF(IF(L$1="""","""",REGEXMATCH(LOWER($E265),XLOOKUP(L$1,Metadata!$A$2:$A1000,Metadata!$B$2:$B1000))),L$1,"""")"),"")</f>
        <v/>
      </c>
      <c r="M265" s="33" t="str">
        <f>IFERROR(__xludf.DUMMYFUNCTION("IF(IF(M$1="""","""",REGEXMATCH(LOWER($E265),XLOOKUP(M$1,Metadata!$A$2:$A1000,Metadata!$B$2:$B1000))),M$1,"""")"),"")</f>
        <v/>
      </c>
      <c r="N265" s="33" t="str">
        <f>IFERROR(__xludf.DUMMYFUNCTION("IF(IF(N$1="""","""",REGEXMATCH(LOWER($E265),XLOOKUP(N$1,Metadata!$A$2:$A1000,Metadata!$B$2:$B1000))),N$1,"""")"),"")</f>
        <v/>
      </c>
      <c r="O265" s="33" t="str">
        <f>IFERROR(__xludf.DUMMYFUNCTION("IF(IF(O$1="""","""",REGEXMATCH(LOWER($E265),XLOOKUP(O$1,Metadata!$A$2:$A1000,Metadata!$B$2:$B1000))),O$1,"""")"),"")</f>
        <v/>
      </c>
      <c r="P265" s="33" t="str">
        <f>IFERROR(__xludf.DUMMYFUNCTION("IF(IF(P$1="""","""",REGEXMATCH(LOWER($E265),XLOOKUP(P$1,Metadata!$A$2:$A1000,Metadata!$B$2:$B1000))),P$1,"""")"),"")</f>
        <v/>
      </c>
      <c r="Q265" s="33" t="str">
        <f>IFERROR(__xludf.DUMMYFUNCTION("IF(IF(Q$1="""","""",REGEXMATCH(LOWER($E265),XLOOKUP(Q$1,Metadata!$A$2:$A1000,Metadata!$B$2:$B1000))),Q$1,"""")"),"")</f>
        <v/>
      </c>
      <c r="R265" s="33" t="str">
        <f>IFERROR(__xludf.DUMMYFUNCTION("IF(IF(R$1="""","""",REGEXMATCH(LOWER($E265),XLOOKUP(R$1,Metadata!$A$2:$A1000,Metadata!$B$2:$B1000))),R$1,"""")"),"")</f>
        <v/>
      </c>
      <c r="S265" s="33" t="str">
        <f>IFERROR(__xludf.DUMMYFUNCTION("IF(IF(S$1="""","""",REGEXMATCH(LOWER($E265),XLOOKUP(S$1,Metadata!$A$2:$A1000,Metadata!$B$2:$B1000))),S$1,"""")"),"")</f>
        <v/>
      </c>
      <c r="T265" s="33" t="str">
        <f>IFERROR(__xludf.DUMMYFUNCTION("IF(IF(T$1="""","""",REGEXMATCH(LOWER($E265),XLOOKUP(T$1,Metadata!$A$2:$A1000,Metadata!$B$2:$B1000))),T$1,"""")"),"")</f>
        <v/>
      </c>
      <c r="U265" s="33" t="str">
        <f>IFERROR(__xludf.DUMMYFUNCTION("IF(IF(U$1="""","""",REGEXMATCH(LOWER($E265),XLOOKUP(U$1,Metadata!$A$2:$A1000,Metadata!$B$2:$B1000))),U$1,"""")"),"Aggro")</f>
        <v>Aggro</v>
      </c>
      <c r="V265" s="33" t="str">
        <f>IFERROR(__xludf.DUMMYFUNCTION("IF(IF(V$1="""","""",REGEXMATCH(LOWER($E265),XLOOKUP(V$1,Metadata!$A$2:$A1000,Metadata!$B$2:$B1000))),V$1,"""")"),"")</f>
        <v/>
      </c>
      <c r="W265" s="33" t="str">
        <f>IFERROR(__xludf.DUMMYFUNCTION("IF(IF(W$1="""","""",REGEXMATCH(LOWER($E265),XLOOKUP(W$1,Metadata!$A$2:$A1000,Metadata!$B$2:$B1000))),W$1,"""")"),"")</f>
        <v/>
      </c>
      <c r="X265" s="33" t="str">
        <f>IFERROR(__xludf.DUMMYFUNCTION("IF(IF(X$1="""","""",REGEXMATCH(LOWER($E265),XLOOKUP(X$1,Metadata!$A$2:$A1000,Metadata!$B$2:$B1000))),X$1,"""")"),"")</f>
        <v/>
      </c>
      <c r="Y265" s="33" t="str">
        <f>IFERROR(__xludf.DUMMYFUNCTION("IF(IF(Y$1="""","""",REGEXMATCH(LOWER($E265),XLOOKUP(Y$1,Metadata!$A$2:$A1000,Metadata!$B$2:$B1000))),Y$1,"""")"),"")</f>
        <v/>
      </c>
      <c r="Z265" s="33" t="str">
        <f>IFERROR(__xludf.DUMMYFUNCTION("IF(IF(Z$1="""","""",REGEXMATCH(LOWER($E265),XLOOKUP(Z$1,Metadata!$A$2:$A1000,Metadata!$B$2:$B1000))),Z$1,"""")"),"")</f>
        <v/>
      </c>
      <c r="AA265" s="33" t="str">
        <f>IFERROR(__xludf.DUMMYFUNCTION("IF(AA$1="""","""",REGEXMATCH(LOWER($E265),XLOOKUP(AA$1,Metadata!$A$2:$A1000,Metadata!$B$2:$B1000)))"),"")</f>
        <v/>
      </c>
    </row>
    <row r="266">
      <c r="A266" s="33" t="str">
        <f>IFERROR(__xludf.DUMMYFUNCTION("""COMPUTED_VALUE"""),"Calming Apparition")</f>
        <v>Calming Apparition</v>
      </c>
      <c r="B266" s="33" t="str">
        <f t="array" ref="B266:I266">XLOOKUP($A266,Cards!$A$2:$A1000,Cards!$B$2:$I1000,"")</f>
        <v>Nature</v>
      </c>
      <c r="C266" s="33">
        <v>1.0</v>
      </c>
      <c r="D266" s="33" t="s">
        <v>217</v>
      </c>
      <c r="E266" s="33" t="s">
        <v>71</v>
      </c>
      <c r="F266" s="33" t="s">
        <v>1607</v>
      </c>
      <c r="G266" s="33">
        <v>2.0</v>
      </c>
      <c r="H266" s="33" t="s">
        <v>1608</v>
      </c>
      <c r="I266" s="33" t="s">
        <v>26</v>
      </c>
      <c r="J266" s="33">
        <f>IFERROR(__xludf.DUMMYFUNCTION("LEN(REGEXREPLACE(XLOOKUP($A266,Cards!$A$2:$A1000,Cards!$H$2:$H1000,""""),"",\s"",""""))"),1.0)</f>
        <v>1</v>
      </c>
      <c r="K266" s="33" t="str">
        <f t="shared" si="1"/>
        <v>      Ramp         </v>
      </c>
      <c r="L266" s="33" t="str">
        <f>IFERROR(__xludf.DUMMYFUNCTION("IF(IF(L$1="""","""",REGEXMATCH(LOWER($E266),XLOOKUP(L$1,Metadata!$A$2:$A1000,Metadata!$B$2:$B1000))),L$1,"""")"),"")</f>
        <v/>
      </c>
      <c r="M266" s="33" t="str">
        <f>IFERROR(__xludf.DUMMYFUNCTION("IF(IF(M$1="""","""",REGEXMATCH(LOWER($E266),XLOOKUP(M$1,Metadata!$A$2:$A1000,Metadata!$B$2:$B1000))),M$1,"""")"),"")</f>
        <v/>
      </c>
      <c r="N266" s="33" t="str">
        <f>IFERROR(__xludf.DUMMYFUNCTION("IF(IF(N$1="""","""",REGEXMATCH(LOWER($E266),XLOOKUP(N$1,Metadata!$A$2:$A1000,Metadata!$B$2:$B1000))),N$1,"""")"),"")</f>
        <v/>
      </c>
      <c r="O266" s="33" t="str">
        <f>IFERROR(__xludf.DUMMYFUNCTION("IF(IF(O$1="""","""",REGEXMATCH(LOWER($E266),XLOOKUP(O$1,Metadata!$A$2:$A1000,Metadata!$B$2:$B1000))),O$1,"""")"),"")</f>
        <v/>
      </c>
      <c r="P266" s="33" t="str">
        <f>IFERROR(__xludf.DUMMYFUNCTION("IF(IF(P$1="""","""",REGEXMATCH(LOWER($E266),XLOOKUP(P$1,Metadata!$A$2:$A1000,Metadata!$B$2:$B1000))),P$1,"""")"),"")</f>
        <v/>
      </c>
      <c r="Q266" s="33" t="str">
        <f>IFERROR(__xludf.DUMMYFUNCTION("IF(IF(Q$1="""","""",REGEXMATCH(LOWER($E266),XLOOKUP(Q$1,Metadata!$A$2:$A1000,Metadata!$B$2:$B1000))),Q$1,"""")"),"")</f>
        <v/>
      </c>
      <c r="R266" s="33" t="str">
        <f>IFERROR(__xludf.DUMMYFUNCTION("IF(IF(R$1="""","""",REGEXMATCH(LOWER($E266),XLOOKUP(R$1,Metadata!$A$2:$A1000,Metadata!$B$2:$B1000))),R$1,"""")"),"Ramp")</f>
        <v>Ramp</v>
      </c>
      <c r="S266" s="33" t="str">
        <f>IFERROR(__xludf.DUMMYFUNCTION("IF(IF(S$1="""","""",REGEXMATCH(LOWER($E266),XLOOKUP(S$1,Metadata!$A$2:$A1000,Metadata!$B$2:$B1000))),S$1,"""")"),"")</f>
        <v/>
      </c>
      <c r="T266" s="33" t="str">
        <f>IFERROR(__xludf.DUMMYFUNCTION("IF(IF(T$1="""","""",REGEXMATCH(LOWER($E266),XLOOKUP(T$1,Metadata!$A$2:$A1000,Metadata!$B$2:$B1000))),T$1,"""")"),"")</f>
        <v/>
      </c>
      <c r="U266" s="33" t="str">
        <f>IFERROR(__xludf.DUMMYFUNCTION("IF(IF(U$1="""","""",REGEXMATCH(LOWER($E266),XLOOKUP(U$1,Metadata!$A$2:$A1000,Metadata!$B$2:$B1000))),U$1,"""")"),"")</f>
        <v/>
      </c>
      <c r="V266" s="33" t="str">
        <f>IFERROR(__xludf.DUMMYFUNCTION("IF(IF(V$1="""","""",REGEXMATCH(LOWER($E266),XLOOKUP(V$1,Metadata!$A$2:$A1000,Metadata!$B$2:$B1000))),V$1,"""")"),"")</f>
        <v/>
      </c>
      <c r="W266" s="33" t="str">
        <f>IFERROR(__xludf.DUMMYFUNCTION("IF(IF(W$1="""","""",REGEXMATCH(LOWER($E266),XLOOKUP(W$1,Metadata!$A$2:$A1000,Metadata!$B$2:$B1000))),W$1,"""")"),"")</f>
        <v/>
      </c>
      <c r="X266" s="33" t="str">
        <f>IFERROR(__xludf.DUMMYFUNCTION("IF(IF(X$1="""","""",REGEXMATCH(LOWER($E266),XLOOKUP(X$1,Metadata!$A$2:$A1000,Metadata!$B$2:$B1000))),X$1,"""")"),"")</f>
        <v/>
      </c>
      <c r="Y266" s="33" t="str">
        <f>IFERROR(__xludf.DUMMYFUNCTION("IF(IF(Y$1="""","""",REGEXMATCH(LOWER($E266),XLOOKUP(Y$1,Metadata!$A$2:$A1000,Metadata!$B$2:$B1000))),Y$1,"""")"),"")</f>
        <v/>
      </c>
      <c r="Z266" s="33" t="str">
        <f>IFERROR(__xludf.DUMMYFUNCTION("IF(IF(Z$1="""","""",REGEXMATCH(LOWER($E266),XLOOKUP(Z$1,Metadata!$A$2:$A1000,Metadata!$B$2:$B1000))),Z$1,"""")"),"")</f>
        <v/>
      </c>
      <c r="AA266" s="33" t="str">
        <f>IFERROR(__xludf.DUMMYFUNCTION("IF(AA$1="""","""",REGEXMATCH(LOWER($E266),XLOOKUP(AA$1,Metadata!$A$2:$A1000,Metadata!$B$2:$B1000)))"),"")</f>
        <v/>
      </c>
    </row>
    <row r="267">
      <c r="A267" s="33" t="str">
        <f>IFERROR(__xludf.DUMMYFUNCTION("""COMPUTED_VALUE"""),"Sylvan Gamekeeper")</f>
        <v>Sylvan Gamekeeper</v>
      </c>
      <c r="B267" s="33" t="str">
        <f t="array" ref="B267:I267">XLOOKUP($A267,Cards!$A$2:$A1000,Cards!$B$2:$I1000,"")</f>
        <v>Nature</v>
      </c>
      <c r="C267" s="33">
        <v>2.0</v>
      </c>
      <c r="D267" s="33" t="s">
        <v>1610</v>
      </c>
      <c r="E267" s="33" t="s">
        <v>1611</v>
      </c>
      <c r="F267" s="33" t="s">
        <v>1203</v>
      </c>
      <c r="G267" s="33">
        <v>4.0</v>
      </c>
      <c r="H267" s="33" t="s">
        <v>1594</v>
      </c>
      <c r="I267" s="33" t="s">
        <v>26</v>
      </c>
      <c r="J267" s="33">
        <f>IFERROR(__xludf.DUMMYFUNCTION("LEN(REGEXREPLACE(XLOOKUP($A267,Cards!$A$2:$A1000,Cards!$H$2:$H1000,""""),"",\s"",""""))"),4.0)</f>
        <v>4</v>
      </c>
      <c r="K267" s="33" t="str">
        <f t="shared" si="1"/>
        <v>               </v>
      </c>
      <c r="L267" s="33" t="str">
        <f>IFERROR(__xludf.DUMMYFUNCTION("IF(IF(L$1="""","""",REGEXMATCH(LOWER($E267),XLOOKUP(L$1,Metadata!$A$2:$A1000,Metadata!$B$2:$B1000))),L$1,"""")"),"")</f>
        <v/>
      </c>
      <c r="M267" s="33" t="str">
        <f>IFERROR(__xludf.DUMMYFUNCTION("IF(IF(M$1="""","""",REGEXMATCH(LOWER($E267),XLOOKUP(M$1,Metadata!$A$2:$A1000,Metadata!$B$2:$B1000))),M$1,"""")"),"")</f>
        <v/>
      </c>
      <c r="N267" s="33" t="str">
        <f>IFERROR(__xludf.DUMMYFUNCTION("IF(IF(N$1="""","""",REGEXMATCH(LOWER($E267),XLOOKUP(N$1,Metadata!$A$2:$A1000,Metadata!$B$2:$B1000))),N$1,"""")"),"")</f>
        <v/>
      </c>
      <c r="O267" s="33" t="str">
        <f>IFERROR(__xludf.DUMMYFUNCTION("IF(IF(O$1="""","""",REGEXMATCH(LOWER($E267),XLOOKUP(O$1,Metadata!$A$2:$A1000,Metadata!$B$2:$B1000))),O$1,"""")"),"")</f>
        <v/>
      </c>
      <c r="P267" s="33" t="str">
        <f>IFERROR(__xludf.DUMMYFUNCTION("IF(IF(P$1="""","""",REGEXMATCH(LOWER($E267),XLOOKUP(P$1,Metadata!$A$2:$A1000,Metadata!$B$2:$B1000))),P$1,"""")"),"")</f>
        <v/>
      </c>
      <c r="Q267" s="33" t="str">
        <f>IFERROR(__xludf.DUMMYFUNCTION("IF(IF(Q$1="""","""",REGEXMATCH(LOWER($E267),XLOOKUP(Q$1,Metadata!$A$2:$A1000,Metadata!$B$2:$B1000))),Q$1,"""")"),"")</f>
        <v/>
      </c>
      <c r="R267" s="33" t="str">
        <f>IFERROR(__xludf.DUMMYFUNCTION("IF(IF(R$1="""","""",REGEXMATCH(LOWER($E267),XLOOKUP(R$1,Metadata!$A$2:$A1000,Metadata!$B$2:$B1000))),R$1,"""")"),"")</f>
        <v/>
      </c>
      <c r="S267" s="33" t="str">
        <f>IFERROR(__xludf.DUMMYFUNCTION("IF(IF(S$1="""","""",REGEXMATCH(LOWER($E267),XLOOKUP(S$1,Metadata!$A$2:$A1000,Metadata!$B$2:$B1000))),S$1,"""")"),"")</f>
        <v/>
      </c>
      <c r="T267" s="33" t="str">
        <f>IFERROR(__xludf.DUMMYFUNCTION("IF(IF(T$1="""","""",REGEXMATCH(LOWER($E267),XLOOKUP(T$1,Metadata!$A$2:$A1000,Metadata!$B$2:$B1000))),T$1,"""")"),"")</f>
        <v/>
      </c>
      <c r="U267" s="33" t="str">
        <f>IFERROR(__xludf.DUMMYFUNCTION("IF(IF(U$1="""","""",REGEXMATCH(LOWER($E267),XLOOKUP(U$1,Metadata!$A$2:$A1000,Metadata!$B$2:$B1000))),U$1,"""")"),"")</f>
        <v/>
      </c>
      <c r="V267" s="33" t="str">
        <f>IFERROR(__xludf.DUMMYFUNCTION("IF(IF(V$1="""","""",REGEXMATCH(LOWER($E267),XLOOKUP(V$1,Metadata!$A$2:$A1000,Metadata!$B$2:$B1000))),V$1,"""")"),"")</f>
        <v/>
      </c>
      <c r="W267" s="33" t="str">
        <f>IFERROR(__xludf.DUMMYFUNCTION("IF(IF(W$1="""","""",REGEXMATCH(LOWER($E267),XLOOKUP(W$1,Metadata!$A$2:$A1000,Metadata!$B$2:$B1000))),W$1,"""")"),"")</f>
        <v/>
      </c>
      <c r="X267" s="33" t="str">
        <f>IFERROR(__xludf.DUMMYFUNCTION("IF(IF(X$1="""","""",REGEXMATCH(LOWER($E267),XLOOKUP(X$1,Metadata!$A$2:$A1000,Metadata!$B$2:$B1000))),X$1,"""")"),"")</f>
        <v/>
      </c>
      <c r="Y267" s="33" t="str">
        <f>IFERROR(__xludf.DUMMYFUNCTION("IF(IF(Y$1="""","""",REGEXMATCH(LOWER($E267),XLOOKUP(Y$1,Metadata!$A$2:$A1000,Metadata!$B$2:$B1000))),Y$1,"""")"),"")</f>
        <v/>
      </c>
      <c r="Z267" s="33" t="str">
        <f>IFERROR(__xludf.DUMMYFUNCTION("IF(IF(Z$1="""","""",REGEXMATCH(LOWER($E267),XLOOKUP(Z$1,Metadata!$A$2:$A1000,Metadata!$B$2:$B1000))),Z$1,"""")"),"")</f>
        <v/>
      </c>
      <c r="AA267" s="33" t="str">
        <f>IFERROR(__xludf.DUMMYFUNCTION("IF(AA$1="""","""",REGEXMATCH(LOWER($E267),XLOOKUP(AA$1,Metadata!$A$2:$A1000,Metadata!$B$2:$B1000)))"),"")</f>
        <v/>
      </c>
    </row>
    <row r="268">
      <c r="A268" s="33" t="str">
        <f>IFERROR(__xludf.DUMMYFUNCTION("""COMPUTED_VALUE"""),"Tainted Jade Monstrosity")</f>
        <v>Tainted Jade Monstrosity</v>
      </c>
      <c r="B268" s="33" t="str">
        <f t="array" ref="B268:I268">XLOOKUP($A268,Cards!$A$2:$A1000,Cards!$B$2:$I1000,"")</f>
        <v>Nature</v>
      </c>
      <c r="C268" s="33">
        <v>2.0</v>
      </c>
      <c r="D268" s="33" t="s">
        <v>1613</v>
      </c>
      <c r="E268" s="33" t="s">
        <v>1614</v>
      </c>
      <c r="F268" s="33" t="s">
        <v>1615</v>
      </c>
      <c r="G268" s="33">
        <v>6.0</v>
      </c>
      <c r="H268" s="33" t="s">
        <v>1616</v>
      </c>
      <c r="I268" s="33" t="s">
        <v>32</v>
      </c>
      <c r="J268" s="33">
        <f>IFERROR(__xludf.DUMMYFUNCTION("LEN(REGEXREPLACE(XLOOKUP($A268,Cards!$A$2:$A1000,Cards!$H$2:$H1000,""""),"",\s"",""""))"),7.0)</f>
        <v>7</v>
      </c>
      <c r="K268" s="33" t="str">
        <f t="shared" si="1"/>
        <v>      Ramp         </v>
      </c>
      <c r="L268" s="33" t="str">
        <f>IFERROR(__xludf.DUMMYFUNCTION("IF(IF(L$1="""","""",REGEXMATCH(LOWER($E268),XLOOKUP(L$1,Metadata!$A$2:$A1000,Metadata!$B$2:$B1000))),L$1,"""")"),"")</f>
        <v/>
      </c>
      <c r="M268" s="33" t="str">
        <f>IFERROR(__xludf.DUMMYFUNCTION("IF(IF(M$1="""","""",REGEXMATCH(LOWER($E268),XLOOKUP(M$1,Metadata!$A$2:$A1000,Metadata!$B$2:$B1000))),M$1,"""")"),"")</f>
        <v/>
      </c>
      <c r="N268" s="33" t="str">
        <f>IFERROR(__xludf.DUMMYFUNCTION("IF(IF(N$1="""","""",REGEXMATCH(LOWER($E268),XLOOKUP(N$1,Metadata!$A$2:$A1000,Metadata!$B$2:$B1000))),N$1,"""")"),"")</f>
        <v/>
      </c>
      <c r="O268" s="33" t="str">
        <f>IFERROR(__xludf.DUMMYFUNCTION("IF(IF(O$1="""","""",REGEXMATCH(LOWER($E268),XLOOKUP(O$1,Metadata!$A$2:$A1000,Metadata!$B$2:$B1000))),O$1,"""")"),"")</f>
        <v/>
      </c>
      <c r="P268" s="33" t="str">
        <f>IFERROR(__xludf.DUMMYFUNCTION("IF(IF(P$1="""","""",REGEXMATCH(LOWER($E268),XLOOKUP(P$1,Metadata!$A$2:$A1000,Metadata!$B$2:$B1000))),P$1,"""")"),"")</f>
        <v/>
      </c>
      <c r="Q268" s="33" t="str">
        <f>IFERROR(__xludf.DUMMYFUNCTION("IF(IF(Q$1="""","""",REGEXMATCH(LOWER($E268),XLOOKUP(Q$1,Metadata!$A$2:$A1000,Metadata!$B$2:$B1000))),Q$1,"""")"),"")</f>
        <v/>
      </c>
      <c r="R268" s="33" t="str">
        <f>IFERROR(__xludf.DUMMYFUNCTION("IF(IF(R$1="""","""",REGEXMATCH(LOWER($E268),XLOOKUP(R$1,Metadata!$A$2:$A1000,Metadata!$B$2:$B1000))),R$1,"""")"),"Ramp")</f>
        <v>Ramp</v>
      </c>
      <c r="S268" s="33" t="str">
        <f>IFERROR(__xludf.DUMMYFUNCTION("IF(IF(S$1="""","""",REGEXMATCH(LOWER($E268),XLOOKUP(S$1,Metadata!$A$2:$A1000,Metadata!$B$2:$B1000))),S$1,"""")"),"")</f>
        <v/>
      </c>
      <c r="T268" s="33" t="str">
        <f>IFERROR(__xludf.DUMMYFUNCTION("IF(IF(T$1="""","""",REGEXMATCH(LOWER($E268),XLOOKUP(T$1,Metadata!$A$2:$A1000,Metadata!$B$2:$B1000))),T$1,"""")"),"")</f>
        <v/>
      </c>
      <c r="U268" s="33" t="str">
        <f>IFERROR(__xludf.DUMMYFUNCTION("IF(IF(U$1="""","""",REGEXMATCH(LOWER($E268),XLOOKUP(U$1,Metadata!$A$2:$A1000,Metadata!$B$2:$B1000))),U$1,"""")"),"")</f>
        <v/>
      </c>
      <c r="V268" s="33" t="str">
        <f>IFERROR(__xludf.DUMMYFUNCTION("IF(IF(V$1="""","""",REGEXMATCH(LOWER($E268),XLOOKUP(V$1,Metadata!$A$2:$A1000,Metadata!$B$2:$B1000))),V$1,"""")"),"")</f>
        <v/>
      </c>
      <c r="W268" s="33" t="str">
        <f>IFERROR(__xludf.DUMMYFUNCTION("IF(IF(W$1="""","""",REGEXMATCH(LOWER($E268),XLOOKUP(W$1,Metadata!$A$2:$A1000,Metadata!$B$2:$B1000))),W$1,"""")"),"")</f>
        <v/>
      </c>
      <c r="X268" s="33" t="str">
        <f>IFERROR(__xludf.DUMMYFUNCTION("IF(IF(X$1="""","""",REGEXMATCH(LOWER($E268),XLOOKUP(X$1,Metadata!$A$2:$A1000,Metadata!$B$2:$B1000))),X$1,"""")"),"")</f>
        <v/>
      </c>
      <c r="Y268" s="33" t="str">
        <f>IFERROR(__xludf.DUMMYFUNCTION("IF(IF(Y$1="""","""",REGEXMATCH(LOWER($E268),XLOOKUP(Y$1,Metadata!$A$2:$A1000,Metadata!$B$2:$B1000))),Y$1,"""")"),"")</f>
        <v/>
      </c>
      <c r="Z268" s="33" t="str">
        <f>IFERROR(__xludf.DUMMYFUNCTION("IF(IF(Z$1="""","""",REGEXMATCH(LOWER($E268),XLOOKUP(Z$1,Metadata!$A$2:$A1000,Metadata!$B$2:$B1000))),Z$1,"""")"),"")</f>
        <v/>
      </c>
      <c r="AA268" s="33" t="str">
        <f>IFERROR(__xludf.DUMMYFUNCTION("IF(AA$1="""","""",REGEXMATCH(LOWER($E268),XLOOKUP(AA$1,Metadata!$A$2:$A1000,Metadata!$B$2:$B1000)))"),"")</f>
        <v/>
      </c>
    </row>
    <row r="269">
      <c r="A269" s="33" t="str">
        <f>IFERROR(__xludf.DUMMYFUNCTION("""COMPUTED_VALUE"""),"Tainted Jade Mycomancer")</f>
        <v>Tainted Jade Mycomancer</v>
      </c>
      <c r="B269" s="33" t="str">
        <f t="array" ref="B269:I269">XLOOKUP($A269,Cards!$A$2:$A1000,Cards!$B$2:$I1000,"")</f>
        <v>Nature</v>
      </c>
      <c r="C269" s="33">
        <v>2.0</v>
      </c>
      <c r="D269" s="33" t="s">
        <v>867</v>
      </c>
      <c r="E269" s="33" t="s">
        <v>1618</v>
      </c>
      <c r="F269" s="33" t="s">
        <v>1619</v>
      </c>
      <c r="G269" s="33">
        <v>3.0</v>
      </c>
      <c r="H269" s="33" t="s">
        <v>1466</v>
      </c>
      <c r="I269" s="33" t="s">
        <v>62</v>
      </c>
      <c r="J269" s="33">
        <f>IFERROR(__xludf.DUMMYFUNCTION("LEN(REGEXREPLACE(XLOOKUP($A269,Cards!$A$2:$A1000,Cards!$H$2:$H1000,""""),"",\s"",""""))"),4.0)</f>
        <v>4</v>
      </c>
      <c r="K269" s="33" t="str">
        <f t="shared" si="1"/>
        <v>       Control  Aggro Empty-Crystal  Ambush   </v>
      </c>
      <c r="L269" s="33" t="str">
        <f>IFERROR(__xludf.DUMMYFUNCTION("IF(IF(L$1="""","""",REGEXMATCH(LOWER($E269),XLOOKUP(L$1,Metadata!$A$2:$A1000,Metadata!$B$2:$B1000))),L$1,"""")"),"")</f>
        <v/>
      </c>
      <c r="M269" s="33" t="str">
        <f>IFERROR(__xludf.DUMMYFUNCTION("IF(IF(M$1="""","""",REGEXMATCH(LOWER($E269),XLOOKUP(M$1,Metadata!$A$2:$A1000,Metadata!$B$2:$B1000))),M$1,"""")"),"")</f>
        <v/>
      </c>
      <c r="N269" s="33" t="str">
        <f>IFERROR(__xludf.DUMMYFUNCTION("IF(IF(N$1="""","""",REGEXMATCH(LOWER($E269),XLOOKUP(N$1,Metadata!$A$2:$A1000,Metadata!$B$2:$B1000))),N$1,"""")"),"")</f>
        <v/>
      </c>
      <c r="O269" s="33" t="str">
        <f>IFERROR(__xludf.DUMMYFUNCTION("IF(IF(O$1="""","""",REGEXMATCH(LOWER($E269),XLOOKUP(O$1,Metadata!$A$2:$A1000,Metadata!$B$2:$B1000))),O$1,"""")"),"")</f>
        <v/>
      </c>
      <c r="P269" s="33" t="str">
        <f>IFERROR(__xludf.DUMMYFUNCTION("IF(IF(P$1="""","""",REGEXMATCH(LOWER($E269),XLOOKUP(P$1,Metadata!$A$2:$A1000,Metadata!$B$2:$B1000))),P$1,"""")"),"")</f>
        <v/>
      </c>
      <c r="Q269" s="33" t="str">
        <f>IFERROR(__xludf.DUMMYFUNCTION("IF(IF(Q$1="""","""",REGEXMATCH(LOWER($E269),XLOOKUP(Q$1,Metadata!$A$2:$A1000,Metadata!$B$2:$B1000))),Q$1,"""")"),"")</f>
        <v/>
      </c>
      <c r="R269" s="33" t="str">
        <f>IFERROR(__xludf.DUMMYFUNCTION("IF(IF(R$1="""","""",REGEXMATCH(LOWER($E269),XLOOKUP(R$1,Metadata!$A$2:$A1000,Metadata!$B$2:$B1000))),R$1,"""")"),"")</f>
        <v/>
      </c>
      <c r="S269" s="33" t="str">
        <f>IFERROR(__xludf.DUMMYFUNCTION("IF(IF(S$1="""","""",REGEXMATCH(LOWER($E269),XLOOKUP(S$1,Metadata!$A$2:$A1000,Metadata!$B$2:$B1000))),S$1,"""")"),"Control")</f>
        <v>Control</v>
      </c>
      <c r="T269" s="33" t="str">
        <f>IFERROR(__xludf.DUMMYFUNCTION("IF(IF(T$1="""","""",REGEXMATCH(LOWER($E269),XLOOKUP(T$1,Metadata!$A$2:$A1000,Metadata!$B$2:$B1000))),T$1,"""")"),"")</f>
        <v/>
      </c>
      <c r="U269" s="33" t="str">
        <f>IFERROR(__xludf.DUMMYFUNCTION("IF(IF(U$1="""","""",REGEXMATCH(LOWER($E269),XLOOKUP(U$1,Metadata!$A$2:$A1000,Metadata!$B$2:$B1000))),U$1,"""")"),"Aggro")</f>
        <v>Aggro</v>
      </c>
      <c r="V269" s="33" t="str">
        <f>IFERROR(__xludf.DUMMYFUNCTION("IF(IF(V$1="""","""",REGEXMATCH(LOWER($E269),XLOOKUP(V$1,Metadata!$A$2:$A1000,Metadata!$B$2:$B1000))),V$1,"""")"),"Empty-Crystal")</f>
        <v>Empty-Crystal</v>
      </c>
      <c r="W269" s="33" t="str">
        <f>IFERROR(__xludf.DUMMYFUNCTION("IF(IF(W$1="""","""",REGEXMATCH(LOWER($E269),XLOOKUP(W$1,Metadata!$A$2:$A1000,Metadata!$B$2:$B1000))),W$1,"""")"),"")</f>
        <v/>
      </c>
      <c r="X269" s="33" t="str">
        <f>IFERROR(__xludf.DUMMYFUNCTION("IF(IF(X$1="""","""",REGEXMATCH(LOWER($E269),XLOOKUP(X$1,Metadata!$A$2:$A1000,Metadata!$B$2:$B1000))),X$1,"""")"),"Ambush")</f>
        <v>Ambush</v>
      </c>
      <c r="Y269" s="33" t="str">
        <f>IFERROR(__xludf.DUMMYFUNCTION("IF(IF(Y$1="""","""",REGEXMATCH(LOWER($E269),XLOOKUP(Y$1,Metadata!$A$2:$A1000,Metadata!$B$2:$B1000))),Y$1,"""")"),"")</f>
        <v/>
      </c>
      <c r="Z269" s="33" t="str">
        <f>IFERROR(__xludf.DUMMYFUNCTION("IF(IF(Z$1="""","""",REGEXMATCH(LOWER($E269),XLOOKUP(Z$1,Metadata!$A$2:$A1000,Metadata!$B$2:$B1000))),Z$1,"""")"),"")</f>
        <v/>
      </c>
      <c r="AA269" s="33" t="str">
        <f>IFERROR(__xludf.DUMMYFUNCTION("IF(AA$1="""","""",REGEXMATCH(LOWER($E269),XLOOKUP(AA$1,Metadata!$A$2:$A1000,Metadata!$B$2:$B1000)))"),"")</f>
        <v/>
      </c>
    </row>
    <row r="270">
      <c r="A270" s="33" t="str">
        <f>IFERROR(__xludf.DUMMYFUNCTION("""COMPUTED_VALUE"""),"Caring Matriarch")</f>
        <v>Caring Matriarch</v>
      </c>
      <c r="B270" s="33" t="str">
        <f t="array" ref="B270:I270">XLOOKUP($A270,Cards!$A$2:$A1000,Cards!$B$2:$I1000,"")</f>
        <v>Nature</v>
      </c>
      <c r="C270" s="33">
        <v>1.0</v>
      </c>
      <c r="D270" s="33" t="s">
        <v>334</v>
      </c>
      <c r="E270" s="33" t="s">
        <v>1621</v>
      </c>
      <c r="F270" s="33" t="s">
        <v>1622</v>
      </c>
      <c r="G270" s="33">
        <v>2.0</v>
      </c>
      <c r="H270" s="33" t="s">
        <v>1470</v>
      </c>
      <c r="I270" s="33" t="s">
        <v>62</v>
      </c>
      <c r="J270" s="33">
        <f>IFERROR(__xludf.DUMMYFUNCTION("LEN(REGEXREPLACE(XLOOKUP($A270,Cards!$A$2:$A1000,Cards!$H$2:$H1000,""""),"",\s"",""""))"),3.0)</f>
        <v>3</v>
      </c>
      <c r="K270" s="33" t="str">
        <f t="shared" si="1"/>
        <v>      Ramp         </v>
      </c>
      <c r="L270" s="33" t="str">
        <f>IFERROR(__xludf.DUMMYFUNCTION("IF(IF(L$1="""","""",REGEXMATCH(LOWER($E270),XLOOKUP(L$1,Metadata!$A$2:$A1000,Metadata!$B$2:$B1000))),L$1,"""")"),"")</f>
        <v/>
      </c>
      <c r="M270" s="33" t="str">
        <f>IFERROR(__xludf.DUMMYFUNCTION("IF(IF(M$1="""","""",REGEXMATCH(LOWER($E270),XLOOKUP(M$1,Metadata!$A$2:$A1000,Metadata!$B$2:$B1000))),M$1,"""")"),"")</f>
        <v/>
      </c>
      <c r="N270" s="33" t="str">
        <f>IFERROR(__xludf.DUMMYFUNCTION("IF(IF(N$1="""","""",REGEXMATCH(LOWER($E270),XLOOKUP(N$1,Metadata!$A$2:$A1000,Metadata!$B$2:$B1000))),N$1,"""")"),"")</f>
        <v/>
      </c>
      <c r="O270" s="33" t="str">
        <f>IFERROR(__xludf.DUMMYFUNCTION("IF(IF(O$1="""","""",REGEXMATCH(LOWER($E270),XLOOKUP(O$1,Metadata!$A$2:$A1000,Metadata!$B$2:$B1000))),O$1,"""")"),"")</f>
        <v/>
      </c>
      <c r="P270" s="33" t="str">
        <f>IFERROR(__xludf.DUMMYFUNCTION("IF(IF(P$1="""","""",REGEXMATCH(LOWER($E270),XLOOKUP(P$1,Metadata!$A$2:$A1000,Metadata!$B$2:$B1000))),P$1,"""")"),"")</f>
        <v/>
      </c>
      <c r="Q270" s="33" t="str">
        <f>IFERROR(__xludf.DUMMYFUNCTION("IF(IF(Q$1="""","""",REGEXMATCH(LOWER($E270),XLOOKUP(Q$1,Metadata!$A$2:$A1000,Metadata!$B$2:$B1000))),Q$1,"""")"),"")</f>
        <v/>
      </c>
      <c r="R270" s="33" t="str">
        <f>IFERROR(__xludf.DUMMYFUNCTION("IF(IF(R$1="""","""",REGEXMATCH(LOWER($E270),XLOOKUP(R$1,Metadata!$A$2:$A1000,Metadata!$B$2:$B1000))),R$1,"""")"),"Ramp")</f>
        <v>Ramp</v>
      </c>
      <c r="S270" s="33" t="str">
        <f>IFERROR(__xludf.DUMMYFUNCTION("IF(IF(S$1="""","""",REGEXMATCH(LOWER($E270),XLOOKUP(S$1,Metadata!$A$2:$A1000,Metadata!$B$2:$B1000))),S$1,"""")"),"")</f>
        <v/>
      </c>
      <c r="T270" s="33" t="str">
        <f>IFERROR(__xludf.DUMMYFUNCTION("IF(IF(T$1="""","""",REGEXMATCH(LOWER($E270),XLOOKUP(T$1,Metadata!$A$2:$A1000,Metadata!$B$2:$B1000))),T$1,"""")"),"")</f>
        <v/>
      </c>
      <c r="U270" s="33" t="str">
        <f>IFERROR(__xludf.DUMMYFUNCTION("IF(IF(U$1="""","""",REGEXMATCH(LOWER($E270),XLOOKUP(U$1,Metadata!$A$2:$A1000,Metadata!$B$2:$B1000))),U$1,"""")"),"")</f>
        <v/>
      </c>
      <c r="V270" s="33" t="str">
        <f>IFERROR(__xludf.DUMMYFUNCTION("IF(IF(V$1="""","""",REGEXMATCH(LOWER($E270),XLOOKUP(V$1,Metadata!$A$2:$A1000,Metadata!$B$2:$B1000))),V$1,"""")"),"")</f>
        <v/>
      </c>
      <c r="W270" s="33" t="str">
        <f>IFERROR(__xludf.DUMMYFUNCTION("IF(IF(W$1="""","""",REGEXMATCH(LOWER($E270),XLOOKUP(W$1,Metadata!$A$2:$A1000,Metadata!$B$2:$B1000))),W$1,"""")"),"")</f>
        <v/>
      </c>
      <c r="X270" s="33" t="str">
        <f>IFERROR(__xludf.DUMMYFUNCTION("IF(IF(X$1="""","""",REGEXMATCH(LOWER($E270),XLOOKUP(X$1,Metadata!$A$2:$A1000,Metadata!$B$2:$B1000))),X$1,"""")"),"")</f>
        <v/>
      </c>
      <c r="Y270" s="33" t="str">
        <f>IFERROR(__xludf.DUMMYFUNCTION("IF(IF(Y$1="""","""",REGEXMATCH(LOWER($E270),XLOOKUP(Y$1,Metadata!$A$2:$A1000,Metadata!$B$2:$B1000))),Y$1,"""")"),"")</f>
        <v/>
      </c>
      <c r="Z270" s="33" t="str">
        <f>IFERROR(__xludf.DUMMYFUNCTION("IF(IF(Z$1="""","""",REGEXMATCH(LOWER($E270),XLOOKUP(Z$1,Metadata!$A$2:$A1000,Metadata!$B$2:$B1000))),Z$1,"""")"),"")</f>
        <v/>
      </c>
      <c r="AA270" s="33" t="str">
        <f>IFERROR(__xludf.DUMMYFUNCTION("IF(AA$1="""","""",REGEXMATCH(LOWER($E270),XLOOKUP(AA$1,Metadata!$A$2:$A1000,Metadata!$B$2:$B1000)))"),"")</f>
        <v/>
      </c>
    </row>
    <row r="271">
      <c r="A271" s="33" t="str">
        <f>IFERROR(__xludf.DUMMYFUNCTION("""COMPUTED_VALUE"""),"Trickster Sprite")</f>
        <v>Trickster Sprite</v>
      </c>
      <c r="B271" s="33" t="str">
        <f t="array" ref="B271:I271">XLOOKUP($A271,Cards!$A$2:$A1000,Cards!$B$2:$I1000,"")</f>
        <v>Nature</v>
      </c>
      <c r="C271" s="33">
        <v>2.0</v>
      </c>
      <c r="D271" s="33" t="s">
        <v>487</v>
      </c>
      <c r="E271" s="33" t="s">
        <v>1624</v>
      </c>
      <c r="F271" s="33" t="s">
        <v>104</v>
      </c>
      <c r="G271" s="33">
        <v>2.0</v>
      </c>
      <c r="H271" s="33" t="s">
        <v>1470</v>
      </c>
      <c r="I271" s="33" t="s">
        <v>26</v>
      </c>
      <c r="J271" s="33">
        <f>IFERROR(__xludf.DUMMYFUNCTION("LEN(REGEXREPLACE(XLOOKUP($A271,Cards!$A$2:$A1000,Cards!$H$2:$H1000,""""),"",\s"",""""))"),3.0)</f>
        <v>3</v>
      </c>
      <c r="K271" s="33" t="str">
        <f t="shared" si="1"/>
        <v>               </v>
      </c>
      <c r="L271" s="33" t="str">
        <f>IFERROR(__xludf.DUMMYFUNCTION("IF(IF(L$1="""","""",REGEXMATCH(LOWER($E271),XLOOKUP(L$1,Metadata!$A$2:$A1000,Metadata!$B$2:$B1000))),L$1,"""")"),"")</f>
        <v/>
      </c>
      <c r="M271" s="33" t="str">
        <f>IFERROR(__xludf.DUMMYFUNCTION("IF(IF(M$1="""","""",REGEXMATCH(LOWER($E271),XLOOKUP(M$1,Metadata!$A$2:$A1000,Metadata!$B$2:$B1000))),M$1,"""")"),"")</f>
        <v/>
      </c>
      <c r="N271" s="33" t="str">
        <f>IFERROR(__xludf.DUMMYFUNCTION("IF(IF(N$1="""","""",REGEXMATCH(LOWER($E271),XLOOKUP(N$1,Metadata!$A$2:$A1000,Metadata!$B$2:$B1000))),N$1,"""")"),"")</f>
        <v/>
      </c>
      <c r="O271" s="33" t="str">
        <f>IFERROR(__xludf.DUMMYFUNCTION("IF(IF(O$1="""","""",REGEXMATCH(LOWER($E271),XLOOKUP(O$1,Metadata!$A$2:$A1000,Metadata!$B$2:$B1000))),O$1,"""")"),"")</f>
        <v/>
      </c>
      <c r="P271" s="33" t="str">
        <f>IFERROR(__xludf.DUMMYFUNCTION("IF(IF(P$1="""","""",REGEXMATCH(LOWER($E271),XLOOKUP(P$1,Metadata!$A$2:$A1000,Metadata!$B$2:$B1000))),P$1,"""")"),"")</f>
        <v/>
      </c>
      <c r="Q271" s="33" t="str">
        <f>IFERROR(__xludf.DUMMYFUNCTION("IF(IF(Q$1="""","""",REGEXMATCH(LOWER($E271),XLOOKUP(Q$1,Metadata!$A$2:$A1000,Metadata!$B$2:$B1000))),Q$1,"""")"),"")</f>
        <v/>
      </c>
      <c r="R271" s="33" t="str">
        <f>IFERROR(__xludf.DUMMYFUNCTION("IF(IF(R$1="""","""",REGEXMATCH(LOWER($E271),XLOOKUP(R$1,Metadata!$A$2:$A1000,Metadata!$B$2:$B1000))),R$1,"""")"),"")</f>
        <v/>
      </c>
      <c r="S271" s="33" t="str">
        <f>IFERROR(__xludf.DUMMYFUNCTION("IF(IF(S$1="""","""",REGEXMATCH(LOWER($E271),XLOOKUP(S$1,Metadata!$A$2:$A1000,Metadata!$B$2:$B1000))),S$1,"""")"),"")</f>
        <v/>
      </c>
      <c r="T271" s="33" t="str">
        <f>IFERROR(__xludf.DUMMYFUNCTION("IF(IF(T$1="""","""",REGEXMATCH(LOWER($E271),XLOOKUP(T$1,Metadata!$A$2:$A1000,Metadata!$B$2:$B1000))),T$1,"""")"),"")</f>
        <v/>
      </c>
      <c r="U271" s="33" t="str">
        <f>IFERROR(__xludf.DUMMYFUNCTION("IF(IF(U$1="""","""",REGEXMATCH(LOWER($E271),XLOOKUP(U$1,Metadata!$A$2:$A1000,Metadata!$B$2:$B1000))),U$1,"""")"),"")</f>
        <v/>
      </c>
      <c r="V271" s="33" t="str">
        <f>IFERROR(__xludf.DUMMYFUNCTION("IF(IF(V$1="""","""",REGEXMATCH(LOWER($E271),XLOOKUP(V$1,Metadata!$A$2:$A1000,Metadata!$B$2:$B1000))),V$1,"""")"),"")</f>
        <v/>
      </c>
      <c r="W271" s="33" t="str">
        <f>IFERROR(__xludf.DUMMYFUNCTION("IF(IF(W$1="""","""",REGEXMATCH(LOWER($E271),XLOOKUP(W$1,Metadata!$A$2:$A1000,Metadata!$B$2:$B1000))),W$1,"""")"),"")</f>
        <v/>
      </c>
      <c r="X271" s="33" t="str">
        <f>IFERROR(__xludf.DUMMYFUNCTION("IF(IF(X$1="""","""",REGEXMATCH(LOWER($E271),XLOOKUP(X$1,Metadata!$A$2:$A1000,Metadata!$B$2:$B1000))),X$1,"""")"),"")</f>
        <v/>
      </c>
      <c r="Y271" s="33" t="str">
        <f>IFERROR(__xludf.DUMMYFUNCTION("IF(IF(Y$1="""","""",REGEXMATCH(LOWER($E271),XLOOKUP(Y$1,Metadata!$A$2:$A1000,Metadata!$B$2:$B1000))),Y$1,"""")"),"")</f>
        <v/>
      </c>
      <c r="Z271" s="33" t="str">
        <f>IFERROR(__xludf.DUMMYFUNCTION("IF(IF(Z$1="""","""",REGEXMATCH(LOWER($E271),XLOOKUP(Z$1,Metadata!$A$2:$A1000,Metadata!$B$2:$B1000))),Z$1,"""")"),"")</f>
        <v/>
      </c>
      <c r="AA271" s="33" t="str">
        <f>IFERROR(__xludf.DUMMYFUNCTION("IF(AA$1="""","""",REGEXMATCH(LOWER($E271),XLOOKUP(AA$1,Metadata!$A$2:$A1000,Metadata!$B$2:$B1000)))"),"")</f>
        <v/>
      </c>
    </row>
    <row r="272">
      <c r="A272" s="33" t="str">
        <f>IFERROR(__xludf.DUMMYFUNCTION("""COMPUTED_VALUE"""),"Venomleaf Croaker")</f>
        <v>Venomleaf Croaker</v>
      </c>
      <c r="B272" s="33" t="str">
        <f t="array" ref="B272:I272">XLOOKUP($A272,Cards!$A$2:$A1000,Cards!$B$2:$I1000,"")</f>
        <v>Nature</v>
      </c>
      <c r="C272" s="33">
        <v>2.0</v>
      </c>
      <c r="D272" s="33" t="s">
        <v>1464</v>
      </c>
      <c r="E272" s="33" t="s">
        <v>1626</v>
      </c>
      <c r="F272" s="33" t="s">
        <v>1627</v>
      </c>
      <c r="G272" s="33">
        <v>5.0</v>
      </c>
      <c r="H272" s="33" t="s">
        <v>1475</v>
      </c>
      <c r="I272" s="33" t="s">
        <v>26</v>
      </c>
      <c r="J272" s="33">
        <f>IFERROR(__xludf.DUMMYFUNCTION("LEN(REGEXREPLACE(XLOOKUP($A272,Cards!$A$2:$A1000,Cards!$H$2:$H1000,""""),"",\s"",""""))"),6.0)</f>
        <v>6</v>
      </c>
      <c r="K272" s="33" t="str">
        <f t="shared" si="1"/>
        <v>               </v>
      </c>
      <c r="L272" s="33" t="str">
        <f>IFERROR(__xludf.DUMMYFUNCTION("IF(IF(L$1="""","""",REGEXMATCH(LOWER($E272),XLOOKUP(L$1,Metadata!$A$2:$A1000,Metadata!$B$2:$B1000))),L$1,"""")"),"")</f>
        <v/>
      </c>
      <c r="M272" s="33" t="str">
        <f>IFERROR(__xludf.DUMMYFUNCTION("IF(IF(M$1="""","""",REGEXMATCH(LOWER($E272),XLOOKUP(M$1,Metadata!$A$2:$A1000,Metadata!$B$2:$B1000))),M$1,"""")"),"")</f>
        <v/>
      </c>
      <c r="N272" s="33" t="str">
        <f>IFERROR(__xludf.DUMMYFUNCTION("IF(IF(N$1="""","""",REGEXMATCH(LOWER($E272),XLOOKUP(N$1,Metadata!$A$2:$A1000,Metadata!$B$2:$B1000))),N$1,"""")"),"")</f>
        <v/>
      </c>
      <c r="O272" s="33" t="str">
        <f>IFERROR(__xludf.DUMMYFUNCTION("IF(IF(O$1="""","""",REGEXMATCH(LOWER($E272),XLOOKUP(O$1,Metadata!$A$2:$A1000,Metadata!$B$2:$B1000))),O$1,"""")"),"")</f>
        <v/>
      </c>
      <c r="P272" s="33" t="str">
        <f>IFERROR(__xludf.DUMMYFUNCTION("IF(IF(P$1="""","""",REGEXMATCH(LOWER($E272),XLOOKUP(P$1,Metadata!$A$2:$A1000,Metadata!$B$2:$B1000))),P$1,"""")"),"")</f>
        <v/>
      </c>
      <c r="Q272" s="33" t="str">
        <f>IFERROR(__xludf.DUMMYFUNCTION("IF(IF(Q$1="""","""",REGEXMATCH(LOWER($E272),XLOOKUP(Q$1,Metadata!$A$2:$A1000,Metadata!$B$2:$B1000))),Q$1,"""")"),"")</f>
        <v/>
      </c>
      <c r="R272" s="33" t="str">
        <f>IFERROR(__xludf.DUMMYFUNCTION("IF(IF(R$1="""","""",REGEXMATCH(LOWER($E272),XLOOKUP(R$1,Metadata!$A$2:$A1000,Metadata!$B$2:$B1000))),R$1,"""")"),"")</f>
        <v/>
      </c>
      <c r="S272" s="33" t="str">
        <f>IFERROR(__xludf.DUMMYFUNCTION("IF(IF(S$1="""","""",REGEXMATCH(LOWER($E272),XLOOKUP(S$1,Metadata!$A$2:$A1000,Metadata!$B$2:$B1000))),S$1,"""")"),"")</f>
        <v/>
      </c>
      <c r="T272" s="33" t="str">
        <f>IFERROR(__xludf.DUMMYFUNCTION("IF(IF(T$1="""","""",REGEXMATCH(LOWER($E272),XLOOKUP(T$1,Metadata!$A$2:$A1000,Metadata!$B$2:$B1000))),T$1,"""")"),"")</f>
        <v/>
      </c>
      <c r="U272" s="33" t="str">
        <f>IFERROR(__xludf.DUMMYFUNCTION("IF(IF(U$1="""","""",REGEXMATCH(LOWER($E272),XLOOKUP(U$1,Metadata!$A$2:$A1000,Metadata!$B$2:$B1000))),U$1,"""")"),"")</f>
        <v/>
      </c>
      <c r="V272" s="33" t="str">
        <f>IFERROR(__xludf.DUMMYFUNCTION("IF(IF(V$1="""","""",REGEXMATCH(LOWER($E272),XLOOKUP(V$1,Metadata!$A$2:$A1000,Metadata!$B$2:$B1000))),V$1,"""")"),"")</f>
        <v/>
      </c>
      <c r="W272" s="33" t="str">
        <f>IFERROR(__xludf.DUMMYFUNCTION("IF(IF(W$1="""","""",REGEXMATCH(LOWER($E272),XLOOKUP(W$1,Metadata!$A$2:$A1000,Metadata!$B$2:$B1000))),W$1,"""")"),"")</f>
        <v/>
      </c>
      <c r="X272" s="33" t="str">
        <f>IFERROR(__xludf.DUMMYFUNCTION("IF(IF(X$1="""","""",REGEXMATCH(LOWER($E272),XLOOKUP(X$1,Metadata!$A$2:$A1000,Metadata!$B$2:$B1000))),X$1,"""")"),"")</f>
        <v/>
      </c>
      <c r="Y272" s="33" t="str">
        <f>IFERROR(__xludf.DUMMYFUNCTION("IF(IF(Y$1="""","""",REGEXMATCH(LOWER($E272),XLOOKUP(Y$1,Metadata!$A$2:$A1000,Metadata!$B$2:$B1000))),Y$1,"""")"),"")</f>
        <v/>
      </c>
      <c r="Z272" s="33" t="str">
        <f>IFERROR(__xludf.DUMMYFUNCTION("IF(IF(Z$1="""","""",REGEXMATCH(LOWER($E272),XLOOKUP(Z$1,Metadata!$A$2:$A1000,Metadata!$B$2:$B1000))),Z$1,"""")"),"")</f>
        <v/>
      </c>
      <c r="AA272" s="33" t="str">
        <f>IFERROR(__xludf.DUMMYFUNCTION("IF(AA$1="""","""",REGEXMATCH(LOWER($E272),XLOOKUP(AA$1,Metadata!$A$2:$A1000,Metadata!$B$2:$B1000)))"),"")</f>
        <v/>
      </c>
    </row>
    <row r="273">
      <c r="A273" s="33" t="str">
        <f>IFERROR(__xludf.DUMMYFUNCTION("""COMPUTED_VALUE"""),"Darkwood Tracker")</f>
        <v>Darkwood Tracker</v>
      </c>
      <c r="B273" s="33" t="str">
        <f t="array" ref="B273:I273">XLOOKUP($A273,Cards!$A$2:$A1000,Cards!$B$2:$I1000,"")</f>
        <v>Nature</v>
      </c>
      <c r="C273" s="33">
        <v>1.0</v>
      </c>
      <c r="D273" s="33" t="s">
        <v>1610</v>
      </c>
      <c r="E273" s="33" t="s">
        <v>1629</v>
      </c>
      <c r="F273" s="33" t="s">
        <v>1630</v>
      </c>
      <c r="G273" s="33">
        <v>3.0</v>
      </c>
      <c r="H273" s="33" t="s">
        <v>1470</v>
      </c>
      <c r="I273" s="33" t="s">
        <v>26</v>
      </c>
      <c r="J273" s="33">
        <f>IFERROR(__xludf.DUMMYFUNCTION("LEN(REGEXREPLACE(XLOOKUP($A273,Cards!$A$2:$A1000,Cards!$H$2:$H1000,""""),"",\s"",""""))"),3.0)</f>
        <v>3</v>
      </c>
      <c r="K273" s="33" t="str">
        <f t="shared" si="1"/>
        <v>     Unearth       Ambush   </v>
      </c>
      <c r="L273" s="33" t="str">
        <f>IFERROR(__xludf.DUMMYFUNCTION("IF(IF(L$1="""","""",REGEXMATCH(LOWER($E273),XLOOKUP(L$1,Metadata!$A$2:$A1000,Metadata!$B$2:$B1000))),L$1,"""")"),"")</f>
        <v/>
      </c>
      <c r="M273" s="33" t="str">
        <f>IFERROR(__xludf.DUMMYFUNCTION("IF(IF(M$1="""","""",REGEXMATCH(LOWER($E273),XLOOKUP(M$1,Metadata!$A$2:$A1000,Metadata!$B$2:$B1000))),M$1,"""")"),"")</f>
        <v/>
      </c>
      <c r="N273" s="33" t="str">
        <f>IFERROR(__xludf.DUMMYFUNCTION("IF(IF(N$1="""","""",REGEXMATCH(LOWER($E273),XLOOKUP(N$1,Metadata!$A$2:$A1000,Metadata!$B$2:$B1000))),N$1,"""")"),"")</f>
        <v/>
      </c>
      <c r="O273" s="33" t="str">
        <f>IFERROR(__xludf.DUMMYFUNCTION("IF(IF(O$1="""","""",REGEXMATCH(LOWER($E273),XLOOKUP(O$1,Metadata!$A$2:$A1000,Metadata!$B$2:$B1000))),O$1,"""")"),"")</f>
        <v/>
      </c>
      <c r="P273" s="33" t="str">
        <f>IFERROR(__xludf.DUMMYFUNCTION("IF(IF(P$1="""","""",REGEXMATCH(LOWER($E273),XLOOKUP(P$1,Metadata!$A$2:$A1000,Metadata!$B$2:$B1000))),P$1,"""")"),"")</f>
        <v/>
      </c>
      <c r="Q273" s="33" t="str">
        <f>IFERROR(__xludf.DUMMYFUNCTION("IF(IF(Q$1="""","""",REGEXMATCH(LOWER($E273),XLOOKUP(Q$1,Metadata!$A$2:$A1000,Metadata!$B$2:$B1000))),Q$1,"""")"),"Unearth")</f>
        <v>Unearth</v>
      </c>
      <c r="R273" s="33" t="str">
        <f>IFERROR(__xludf.DUMMYFUNCTION("IF(IF(R$1="""","""",REGEXMATCH(LOWER($E273),XLOOKUP(R$1,Metadata!$A$2:$A1000,Metadata!$B$2:$B1000))),R$1,"""")"),"")</f>
        <v/>
      </c>
      <c r="S273" s="33" t="str">
        <f>IFERROR(__xludf.DUMMYFUNCTION("IF(IF(S$1="""","""",REGEXMATCH(LOWER($E273),XLOOKUP(S$1,Metadata!$A$2:$A1000,Metadata!$B$2:$B1000))),S$1,"""")"),"")</f>
        <v/>
      </c>
      <c r="T273" s="33" t="str">
        <f>IFERROR(__xludf.DUMMYFUNCTION("IF(IF(T$1="""","""",REGEXMATCH(LOWER($E273),XLOOKUP(T$1,Metadata!$A$2:$A1000,Metadata!$B$2:$B1000))),T$1,"""")"),"")</f>
        <v/>
      </c>
      <c r="U273" s="33" t="str">
        <f>IFERROR(__xludf.DUMMYFUNCTION("IF(IF(U$1="""","""",REGEXMATCH(LOWER($E273),XLOOKUP(U$1,Metadata!$A$2:$A1000,Metadata!$B$2:$B1000))),U$1,"""")"),"")</f>
        <v/>
      </c>
      <c r="V273" s="33" t="str">
        <f>IFERROR(__xludf.DUMMYFUNCTION("IF(IF(V$1="""","""",REGEXMATCH(LOWER($E273),XLOOKUP(V$1,Metadata!$A$2:$A1000,Metadata!$B$2:$B1000))),V$1,"""")"),"")</f>
        <v/>
      </c>
      <c r="W273" s="33" t="str">
        <f>IFERROR(__xludf.DUMMYFUNCTION("IF(IF(W$1="""","""",REGEXMATCH(LOWER($E273),XLOOKUP(W$1,Metadata!$A$2:$A1000,Metadata!$B$2:$B1000))),W$1,"""")"),"")</f>
        <v/>
      </c>
      <c r="X273" s="33" t="str">
        <f>IFERROR(__xludf.DUMMYFUNCTION("IF(IF(X$1="""","""",REGEXMATCH(LOWER($E273),XLOOKUP(X$1,Metadata!$A$2:$A1000,Metadata!$B$2:$B1000))),X$1,"""")"),"Ambush")</f>
        <v>Ambush</v>
      </c>
      <c r="Y273" s="33" t="str">
        <f>IFERROR(__xludf.DUMMYFUNCTION("IF(IF(Y$1="""","""",REGEXMATCH(LOWER($E273),XLOOKUP(Y$1,Metadata!$A$2:$A1000,Metadata!$B$2:$B1000))),Y$1,"""")"),"")</f>
        <v/>
      </c>
      <c r="Z273" s="33" t="str">
        <f>IFERROR(__xludf.DUMMYFUNCTION("IF(IF(Z$1="""","""",REGEXMATCH(LOWER($E273),XLOOKUP(Z$1,Metadata!$A$2:$A1000,Metadata!$B$2:$B1000))),Z$1,"""")"),"")</f>
        <v/>
      </c>
      <c r="AA273" s="33" t="str">
        <f>IFERROR(__xludf.DUMMYFUNCTION("IF(AA$1="""","""",REGEXMATCH(LOWER($E273),XLOOKUP(AA$1,Metadata!$A$2:$A1000,Metadata!$B$2:$B1000)))"),"")</f>
        <v/>
      </c>
    </row>
    <row r="274">
      <c r="A274" s="33" t="str">
        <f>IFERROR(__xludf.DUMMYFUNCTION("""COMPUTED_VALUE"""),"Verdant Sakura Tree")</f>
        <v>Verdant Sakura Tree</v>
      </c>
      <c r="B274" s="33" t="str">
        <f t="array" ref="B274:I274">XLOOKUP($A274,Cards!$A$2:$A1000,Cards!$B$2:$I1000,"")</f>
        <v>Nature</v>
      </c>
      <c r="C274" s="33">
        <v>2.0</v>
      </c>
      <c r="D274" s="33" t="s">
        <v>1340</v>
      </c>
      <c r="E274" s="33" t="s">
        <v>1632</v>
      </c>
      <c r="F274" s="33" t="s">
        <v>1633</v>
      </c>
      <c r="G274" s="33">
        <v>1.0</v>
      </c>
      <c r="H274" s="33" t="s">
        <v>1446</v>
      </c>
      <c r="I274" s="33" t="s">
        <v>26</v>
      </c>
      <c r="J274" s="33">
        <f>IFERROR(__xludf.DUMMYFUNCTION("LEN(REGEXREPLACE(XLOOKUP($A274,Cards!$A$2:$A1000,Cards!$H$2:$H1000,""""),"",\s"",""""))"),2.0)</f>
        <v>2</v>
      </c>
      <c r="K274" s="33" t="str">
        <f t="shared" si="1"/>
        <v>      Ramp         </v>
      </c>
      <c r="L274" s="33" t="str">
        <f>IFERROR(__xludf.DUMMYFUNCTION("IF(IF(L$1="""","""",REGEXMATCH(LOWER($E274),XLOOKUP(L$1,Metadata!$A$2:$A1000,Metadata!$B$2:$B1000))),L$1,"""")"),"")</f>
        <v/>
      </c>
      <c r="M274" s="33" t="str">
        <f>IFERROR(__xludf.DUMMYFUNCTION("IF(IF(M$1="""","""",REGEXMATCH(LOWER($E274),XLOOKUP(M$1,Metadata!$A$2:$A1000,Metadata!$B$2:$B1000))),M$1,"""")"),"")</f>
        <v/>
      </c>
      <c r="N274" s="33" t="str">
        <f>IFERROR(__xludf.DUMMYFUNCTION("IF(IF(N$1="""","""",REGEXMATCH(LOWER($E274),XLOOKUP(N$1,Metadata!$A$2:$A1000,Metadata!$B$2:$B1000))),N$1,"""")"),"")</f>
        <v/>
      </c>
      <c r="O274" s="33" t="str">
        <f>IFERROR(__xludf.DUMMYFUNCTION("IF(IF(O$1="""","""",REGEXMATCH(LOWER($E274),XLOOKUP(O$1,Metadata!$A$2:$A1000,Metadata!$B$2:$B1000))),O$1,"""")"),"")</f>
        <v/>
      </c>
      <c r="P274" s="33" t="str">
        <f>IFERROR(__xludf.DUMMYFUNCTION("IF(IF(P$1="""","""",REGEXMATCH(LOWER($E274),XLOOKUP(P$1,Metadata!$A$2:$A1000,Metadata!$B$2:$B1000))),P$1,"""")"),"")</f>
        <v/>
      </c>
      <c r="Q274" s="33" t="str">
        <f>IFERROR(__xludf.DUMMYFUNCTION("IF(IF(Q$1="""","""",REGEXMATCH(LOWER($E274),XLOOKUP(Q$1,Metadata!$A$2:$A1000,Metadata!$B$2:$B1000))),Q$1,"""")"),"")</f>
        <v/>
      </c>
      <c r="R274" s="33" t="str">
        <f>IFERROR(__xludf.DUMMYFUNCTION("IF(IF(R$1="""","""",REGEXMATCH(LOWER($E274),XLOOKUP(R$1,Metadata!$A$2:$A1000,Metadata!$B$2:$B1000))),R$1,"""")"),"Ramp")</f>
        <v>Ramp</v>
      </c>
      <c r="S274" s="33" t="str">
        <f>IFERROR(__xludf.DUMMYFUNCTION("IF(IF(S$1="""","""",REGEXMATCH(LOWER($E274),XLOOKUP(S$1,Metadata!$A$2:$A1000,Metadata!$B$2:$B1000))),S$1,"""")"),"")</f>
        <v/>
      </c>
      <c r="T274" s="33" t="str">
        <f>IFERROR(__xludf.DUMMYFUNCTION("IF(IF(T$1="""","""",REGEXMATCH(LOWER($E274),XLOOKUP(T$1,Metadata!$A$2:$A1000,Metadata!$B$2:$B1000))),T$1,"""")"),"")</f>
        <v/>
      </c>
      <c r="U274" s="33" t="str">
        <f>IFERROR(__xludf.DUMMYFUNCTION("IF(IF(U$1="""","""",REGEXMATCH(LOWER($E274),XLOOKUP(U$1,Metadata!$A$2:$A1000,Metadata!$B$2:$B1000))),U$1,"""")"),"")</f>
        <v/>
      </c>
      <c r="V274" s="33" t="str">
        <f>IFERROR(__xludf.DUMMYFUNCTION("IF(IF(V$1="""","""",REGEXMATCH(LOWER($E274),XLOOKUP(V$1,Metadata!$A$2:$A1000,Metadata!$B$2:$B1000))),V$1,"""")"),"")</f>
        <v/>
      </c>
      <c r="W274" s="33" t="str">
        <f>IFERROR(__xludf.DUMMYFUNCTION("IF(IF(W$1="""","""",REGEXMATCH(LOWER($E274),XLOOKUP(W$1,Metadata!$A$2:$A1000,Metadata!$B$2:$B1000))),W$1,"""")"),"")</f>
        <v/>
      </c>
      <c r="X274" s="33" t="str">
        <f>IFERROR(__xludf.DUMMYFUNCTION("IF(IF(X$1="""","""",REGEXMATCH(LOWER($E274),XLOOKUP(X$1,Metadata!$A$2:$A1000,Metadata!$B$2:$B1000))),X$1,"""")"),"")</f>
        <v/>
      </c>
      <c r="Y274" s="33" t="str">
        <f>IFERROR(__xludf.DUMMYFUNCTION("IF(IF(Y$1="""","""",REGEXMATCH(LOWER($E274),XLOOKUP(Y$1,Metadata!$A$2:$A1000,Metadata!$B$2:$B1000))),Y$1,"""")"),"")</f>
        <v/>
      </c>
      <c r="Z274" s="33" t="str">
        <f>IFERROR(__xludf.DUMMYFUNCTION("IF(IF(Z$1="""","""",REGEXMATCH(LOWER($E274),XLOOKUP(Z$1,Metadata!$A$2:$A1000,Metadata!$B$2:$B1000))),Z$1,"""")"),"")</f>
        <v/>
      </c>
      <c r="AA274" s="33" t="str">
        <f>IFERROR(__xludf.DUMMYFUNCTION("IF(AA$1="""","""",REGEXMATCH(LOWER($E274),XLOOKUP(AA$1,Metadata!$A$2:$A1000,Metadata!$B$2:$B1000)))"),"")</f>
        <v/>
      </c>
    </row>
    <row r="275">
      <c r="A275" s="33" t="str">
        <f>IFERROR(__xludf.DUMMYFUNCTION("""COMPUTED_VALUE"""),"Forgotten Ancient")</f>
        <v>Forgotten Ancient</v>
      </c>
      <c r="B275" s="33" t="str">
        <f t="array" ref="B275:I275">XLOOKUP($A275,Cards!$A$2:$A1000,Cards!$B$2:$I1000,"")</f>
        <v>Nature Void</v>
      </c>
      <c r="C275" s="33">
        <v>0.0</v>
      </c>
      <c r="D275" s="33" t="s">
        <v>1636</v>
      </c>
      <c r="E275" s="33" t="s">
        <v>1637</v>
      </c>
      <c r="F275" s="33" t="s">
        <v>1638</v>
      </c>
      <c r="G275" s="33">
        <v>7.0</v>
      </c>
      <c r="H275" s="33" t="s">
        <v>1639</v>
      </c>
      <c r="I275" s="33" t="s">
        <v>32</v>
      </c>
      <c r="J275" s="33">
        <f>IFERROR(__xludf.DUMMYFUNCTION("LEN(REGEXREPLACE(XLOOKUP($A275,Cards!$A$2:$A1000,Cards!$H$2:$H1000,""""),"",\s"",""""))"),7.0)</f>
        <v>7</v>
      </c>
      <c r="K275" s="33" t="str">
        <f t="shared" si="1"/>
        <v>     Unearth    Aggro   Ambush   </v>
      </c>
      <c r="L275" s="33" t="str">
        <f>IFERROR(__xludf.DUMMYFUNCTION("IF(IF(L$1="""","""",REGEXMATCH(LOWER($E275),XLOOKUP(L$1,Metadata!$A$2:$A1000,Metadata!$B$2:$B1000))),L$1,"""")"),"")</f>
        <v/>
      </c>
      <c r="M275" s="33" t="str">
        <f>IFERROR(__xludf.DUMMYFUNCTION("IF(IF(M$1="""","""",REGEXMATCH(LOWER($E275),XLOOKUP(M$1,Metadata!$A$2:$A1000,Metadata!$B$2:$B1000))),M$1,"""")"),"")</f>
        <v/>
      </c>
      <c r="N275" s="33" t="str">
        <f>IFERROR(__xludf.DUMMYFUNCTION("IF(IF(N$1="""","""",REGEXMATCH(LOWER($E275),XLOOKUP(N$1,Metadata!$A$2:$A1000,Metadata!$B$2:$B1000))),N$1,"""")"),"")</f>
        <v/>
      </c>
      <c r="O275" s="33" t="str">
        <f>IFERROR(__xludf.DUMMYFUNCTION("IF(IF(O$1="""","""",REGEXMATCH(LOWER($E275),XLOOKUP(O$1,Metadata!$A$2:$A1000,Metadata!$B$2:$B1000))),O$1,"""")"),"")</f>
        <v/>
      </c>
      <c r="P275" s="33" t="str">
        <f>IFERROR(__xludf.DUMMYFUNCTION("IF(IF(P$1="""","""",REGEXMATCH(LOWER($E275),XLOOKUP(P$1,Metadata!$A$2:$A1000,Metadata!$B$2:$B1000))),P$1,"""")"),"")</f>
        <v/>
      </c>
      <c r="Q275" s="33" t="str">
        <f>IFERROR(__xludf.DUMMYFUNCTION("IF(IF(Q$1="""","""",REGEXMATCH(LOWER($E275),XLOOKUP(Q$1,Metadata!$A$2:$A1000,Metadata!$B$2:$B1000))),Q$1,"""")"),"Unearth")</f>
        <v>Unearth</v>
      </c>
      <c r="R275" s="33" t="str">
        <f>IFERROR(__xludf.DUMMYFUNCTION("IF(IF(R$1="""","""",REGEXMATCH(LOWER($E275),XLOOKUP(R$1,Metadata!$A$2:$A1000,Metadata!$B$2:$B1000))),R$1,"""")"),"")</f>
        <v/>
      </c>
      <c r="S275" s="33" t="str">
        <f>IFERROR(__xludf.DUMMYFUNCTION("IF(IF(S$1="""","""",REGEXMATCH(LOWER($E275),XLOOKUP(S$1,Metadata!$A$2:$A1000,Metadata!$B$2:$B1000))),S$1,"""")"),"")</f>
        <v/>
      </c>
      <c r="T275" s="33" t="str">
        <f>IFERROR(__xludf.DUMMYFUNCTION("IF(IF(T$1="""","""",REGEXMATCH(LOWER($E275),XLOOKUP(T$1,Metadata!$A$2:$A1000,Metadata!$B$2:$B1000))),T$1,"""")"),"")</f>
        <v/>
      </c>
      <c r="U275" s="33" t="str">
        <f>IFERROR(__xludf.DUMMYFUNCTION("IF(IF(U$1="""","""",REGEXMATCH(LOWER($E275),XLOOKUP(U$1,Metadata!$A$2:$A1000,Metadata!$B$2:$B1000))),U$1,"""")"),"Aggro")</f>
        <v>Aggro</v>
      </c>
      <c r="V275" s="33" t="str">
        <f>IFERROR(__xludf.DUMMYFUNCTION("IF(IF(V$1="""","""",REGEXMATCH(LOWER($E275),XLOOKUP(V$1,Metadata!$A$2:$A1000,Metadata!$B$2:$B1000))),V$1,"""")"),"")</f>
        <v/>
      </c>
      <c r="W275" s="33" t="str">
        <f>IFERROR(__xludf.DUMMYFUNCTION("IF(IF(W$1="""","""",REGEXMATCH(LOWER($E275),XLOOKUP(W$1,Metadata!$A$2:$A1000,Metadata!$B$2:$B1000))),W$1,"""")"),"")</f>
        <v/>
      </c>
      <c r="X275" s="33" t="str">
        <f>IFERROR(__xludf.DUMMYFUNCTION("IF(IF(X$1="""","""",REGEXMATCH(LOWER($E275),XLOOKUP(X$1,Metadata!$A$2:$A1000,Metadata!$B$2:$B1000))),X$1,"""")"),"Ambush")</f>
        <v>Ambush</v>
      </c>
      <c r="Y275" s="33" t="str">
        <f>IFERROR(__xludf.DUMMYFUNCTION("IF(IF(Y$1="""","""",REGEXMATCH(LOWER($E275),XLOOKUP(Y$1,Metadata!$A$2:$A1000,Metadata!$B$2:$B1000))),Y$1,"""")"),"")</f>
        <v/>
      </c>
      <c r="Z275" s="33" t="str">
        <f>IFERROR(__xludf.DUMMYFUNCTION("IF(IF(Z$1="""","""",REGEXMATCH(LOWER($E275),XLOOKUP(Z$1,Metadata!$A$2:$A1000,Metadata!$B$2:$B1000))),Z$1,"""")"),"")</f>
        <v/>
      </c>
      <c r="AA275" s="33" t="str">
        <f>IFERROR(__xludf.DUMMYFUNCTION("IF(AA$1="""","""",REGEXMATCH(LOWER($E275),XLOOKUP(AA$1,Metadata!$A$2:$A1000,Metadata!$B$2:$B1000)))"),"")</f>
        <v/>
      </c>
    </row>
    <row r="276">
      <c r="A276" s="33" t="str">
        <f>IFERROR(__xludf.DUMMYFUNCTION("""COMPUTED_VALUE"""),"Locust Swarm")</f>
        <v>Locust Swarm</v>
      </c>
      <c r="B276" s="33" t="str">
        <f t="array" ref="B276:I276">XLOOKUP($A276,Cards!$A$2:$A1000,Cards!$B$2:$I1000,"")</f>
        <v>Nature Void</v>
      </c>
      <c r="C276" s="33">
        <v>2.0</v>
      </c>
      <c r="D276" s="33" t="s">
        <v>1641</v>
      </c>
      <c r="E276" s="33" t="s">
        <v>1642</v>
      </c>
      <c r="F276" s="33" t="s">
        <v>1643</v>
      </c>
      <c r="G276" s="33">
        <v>3.0</v>
      </c>
      <c r="H276" s="33" t="s">
        <v>1644</v>
      </c>
      <c r="I276" s="33" t="s">
        <v>62</v>
      </c>
      <c r="J276" s="33">
        <f>IFERROR(__xludf.DUMMYFUNCTION("LEN(REGEXREPLACE(XLOOKUP($A276,Cards!$A$2:$A1000,Cards!$H$2:$H1000,""""),"",\s"",""""))"),4.0)</f>
        <v>4</v>
      </c>
      <c r="K276" s="33" t="str">
        <f t="shared" si="1"/>
        <v>         Aggro      </v>
      </c>
      <c r="L276" s="33" t="str">
        <f>IFERROR(__xludf.DUMMYFUNCTION("IF(IF(L$1="""","""",REGEXMATCH(LOWER($E276),XLOOKUP(L$1,Metadata!$A$2:$A1000,Metadata!$B$2:$B1000))),L$1,"""")"),"")</f>
        <v/>
      </c>
      <c r="M276" s="33" t="str">
        <f>IFERROR(__xludf.DUMMYFUNCTION("IF(IF(M$1="""","""",REGEXMATCH(LOWER($E276),XLOOKUP(M$1,Metadata!$A$2:$A1000,Metadata!$B$2:$B1000))),M$1,"""")"),"")</f>
        <v/>
      </c>
      <c r="N276" s="33" t="str">
        <f>IFERROR(__xludf.DUMMYFUNCTION("IF(IF(N$1="""","""",REGEXMATCH(LOWER($E276),XLOOKUP(N$1,Metadata!$A$2:$A1000,Metadata!$B$2:$B1000))),N$1,"""")"),"")</f>
        <v/>
      </c>
      <c r="O276" s="33" t="str">
        <f>IFERROR(__xludf.DUMMYFUNCTION("IF(IF(O$1="""","""",REGEXMATCH(LOWER($E276),XLOOKUP(O$1,Metadata!$A$2:$A1000,Metadata!$B$2:$B1000))),O$1,"""")"),"")</f>
        <v/>
      </c>
      <c r="P276" s="33" t="str">
        <f>IFERROR(__xludf.DUMMYFUNCTION("IF(IF(P$1="""","""",REGEXMATCH(LOWER($E276),XLOOKUP(P$1,Metadata!$A$2:$A1000,Metadata!$B$2:$B1000))),P$1,"""")"),"")</f>
        <v/>
      </c>
      <c r="Q276" s="33" t="str">
        <f>IFERROR(__xludf.DUMMYFUNCTION("IF(IF(Q$1="""","""",REGEXMATCH(LOWER($E276),XLOOKUP(Q$1,Metadata!$A$2:$A1000,Metadata!$B$2:$B1000))),Q$1,"""")"),"")</f>
        <v/>
      </c>
      <c r="R276" s="33" t="str">
        <f>IFERROR(__xludf.DUMMYFUNCTION("IF(IF(R$1="""","""",REGEXMATCH(LOWER($E276),XLOOKUP(R$1,Metadata!$A$2:$A1000,Metadata!$B$2:$B1000))),R$1,"""")"),"")</f>
        <v/>
      </c>
      <c r="S276" s="33" t="str">
        <f>IFERROR(__xludf.DUMMYFUNCTION("IF(IF(S$1="""","""",REGEXMATCH(LOWER($E276),XLOOKUP(S$1,Metadata!$A$2:$A1000,Metadata!$B$2:$B1000))),S$1,"""")"),"")</f>
        <v/>
      </c>
      <c r="T276" s="33" t="str">
        <f>IFERROR(__xludf.DUMMYFUNCTION("IF(IF(T$1="""","""",REGEXMATCH(LOWER($E276),XLOOKUP(T$1,Metadata!$A$2:$A1000,Metadata!$B$2:$B1000))),T$1,"""")"),"")</f>
        <v/>
      </c>
      <c r="U276" s="33" t="str">
        <f>IFERROR(__xludf.DUMMYFUNCTION("IF(IF(U$1="""","""",REGEXMATCH(LOWER($E276),XLOOKUP(U$1,Metadata!$A$2:$A1000,Metadata!$B$2:$B1000))),U$1,"""")"),"Aggro")</f>
        <v>Aggro</v>
      </c>
      <c r="V276" s="33" t="str">
        <f>IFERROR(__xludf.DUMMYFUNCTION("IF(IF(V$1="""","""",REGEXMATCH(LOWER($E276),XLOOKUP(V$1,Metadata!$A$2:$A1000,Metadata!$B$2:$B1000))),V$1,"""")"),"")</f>
        <v/>
      </c>
      <c r="W276" s="33" t="str">
        <f>IFERROR(__xludf.DUMMYFUNCTION("IF(IF(W$1="""","""",REGEXMATCH(LOWER($E276),XLOOKUP(W$1,Metadata!$A$2:$A1000,Metadata!$B$2:$B1000))),W$1,"""")"),"")</f>
        <v/>
      </c>
      <c r="X276" s="33" t="str">
        <f>IFERROR(__xludf.DUMMYFUNCTION("IF(IF(X$1="""","""",REGEXMATCH(LOWER($E276),XLOOKUP(X$1,Metadata!$A$2:$A1000,Metadata!$B$2:$B1000))),X$1,"""")"),"")</f>
        <v/>
      </c>
      <c r="Y276" s="33" t="str">
        <f>IFERROR(__xludf.DUMMYFUNCTION("IF(IF(Y$1="""","""",REGEXMATCH(LOWER($E276),XLOOKUP(Y$1,Metadata!$A$2:$A1000,Metadata!$B$2:$B1000))),Y$1,"""")"),"")</f>
        <v/>
      </c>
      <c r="Z276" s="33" t="str">
        <f>IFERROR(__xludf.DUMMYFUNCTION("IF(IF(Z$1="""","""",REGEXMATCH(LOWER($E276),XLOOKUP(Z$1,Metadata!$A$2:$A1000,Metadata!$B$2:$B1000))),Z$1,"""")"),"")</f>
        <v/>
      </c>
      <c r="AA276" s="33" t="str">
        <f>IFERROR(__xludf.DUMMYFUNCTION("IF(AA$1="""","""",REGEXMATCH(LOWER($E276),XLOOKUP(AA$1,Metadata!$A$2:$A1000,Metadata!$B$2:$B1000)))"),"")</f>
        <v/>
      </c>
    </row>
    <row r="277">
      <c r="A277" s="33" t="str">
        <f>IFERROR(__xludf.DUMMYFUNCTION("""COMPUTED_VALUE"""),"Emerald Fang Cobra")</f>
        <v>Emerald Fang Cobra</v>
      </c>
      <c r="B277" s="33" t="str">
        <f t="array" ref="B277:I277">XLOOKUP($A277,Cards!$A$2:$A1000,Cards!$B$2:$I1000,"")</f>
        <v>Nature</v>
      </c>
      <c r="C277" s="33">
        <v>1.0</v>
      </c>
      <c r="D277" s="33" t="s">
        <v>266</v>
      </c>
      <c r="E277" s="33" t="s">
        <v>1646</v>
      </c>
      <c r="F277" s="33" t="s">
        <v>1647</v>
      </c>
      <c r="G277" s="33">
        <v>3.0</v>
      </c>
      <c r="H277" s="33" t="s">
        <v>1470</v>
      </c>
      <c r="I277" s="33" t="s">
        <v>26</v>
      </c>
      <c r="J277" s="33">
        <f>IFERROR(__xludf.DUMMYFUNCTION("LEN(REGEXREPLACE(XLOOKUP($A277,Cards!$A$2:$A1000,Cards!$H$2:$H1000,""""),"",\s"",""""))"),3.0)</f>
        <v>3</v>
      </c>
      <c r="K277" s="33" t="str">
        <f t="shared" si="1"/>
        <v>      Ramp      Ambush   </v>
      </c>
      <c r="L277" s="33" t="str">
        <f>IFERROR(__xludf.DUMMYFUNCTION("IF(IF(L$1="""","""",REGEXMATCH(LOWER($E277),XLOOKUP(L$1,Metadata!$A$2:$A1000,Metadata!$B$2:$B1000))),L$1,"""")"),"")</f>
        <v/>
      </c>
      <c r="M277" s="33" t="str">
        <f>IFERROR(__xludf.DUMMYFUNCTION("IF(IF(M$1="""","""",REGEXMATCH(LOWER($E277),XLOOKUP(M$1,Metadata!$A$2:$A1000,Metadata!$B$2:$B1000))),M$1,"""")"),"")</f>
        <v/>
      </c>
      <c r="N277" s="33" t="str">
        <f>IFERROR(__xludf.DUMMYFUNCTION("IF(IF(N$1="""","""",REGEXMATCH(LOWER($E277),XLOOKUP(N$1,Metadata!$A$2:$A1000,Metadata!$B$2:$B1000))),N$1,"""")"),"")</f>
        <v/>
      </c>
      <c r="O277" s="33" t="str">
        <f>IFERROR(__xludf.DUMMYFUNCTION("IF(IF(O$1="""","""",REGEXMATCH(LOWER($E277),XLOOKUP(O$1,Metadata!$A$2:$A1000,Metadata!$B$2:$B1000))),O$1,"""")"),"")</f>
        <v/>
      </c>
      <c r="P277" s="33" t="str">
        <f>IFERROR(__xludf.DUMMYFUNCTION("IF(IF(P$1="""","""",REGEXMATCH(LOWER($E277),XLOOKUP(P$1,Metadata!$A$2:$A1000,Metadata!$B$2:$B1000))),P$1,"""")"),"")</f>
        <v/>
      </c>
      <c r="Q277" s="33" t="str">
        <f>IFERROR(__xludf.DUMMYFUNCTION("IF(IF(Q$1="""","""",REGEXMATCH(LOWER($E277),XLOOKUP(Q$1,Metadata!$A$2:$A1000,Metadata!$B$2:$B1000))),Q$1,"""")"),"")</f>
        <v/>
      </c>
      <c r="R277" s="33" t="str">
        <f>IFERROR(__xludf.DUMMYFUNCTION("IF(IF(R$1="""","""",REGEXMATCH(LOWER($E277),XLOOKUP(R$1,Metadata!$A$2:$A1000,Metadata!$B$2:$B1000))),R$1,"""")"),"Ramp")</f>
        <v>Ramp</v>
      </c>
      <c r="S277" s="33" t="str">
        <f>IFERROR(__xludf.DUMMYFUNCTION("IF(IF(S$1="""","""",REGEXMATCH(LOWER($E277),XLOOKUP(S$1,Metadata!$A$2:$A1000,Metadata!$B$2:$B1000))),S$1,"""")"),"")</f>
        <v/>
      </c>
      <c r="T277" s="33" t="str">
        <f>IFERROR(__xludf.DUMMYFUNCTION("IF(IF(T$1="""","""",REGEXMATCH(LOWER($E277),XLOOKUP(T$1,Metadata!$A$2:$A1000,Metadata!$B$2:$B1000))),T$1,"""")"),"")</f>
        <v/>
      </c>
      <c r="U277" s="33" t="str">
        <f>IFERROR(__xludf.DUMMYFUNCTION("IF(IF(U$1="""","""",REGEXMATCH(LOWER($E277),XLOOKUP(U$1,Metadata!$A$2:$A1000,Metadata!$B$2:$B1000))),U$1,"""")"),"")</f>
        <v/>
      </c>
      <c r="V277" s="33" t="str">
        <f>IFERROR(__xludf.DUMMYFUNCTION("IF(IF(V$1="""","""",REGEXMATCH(LOWER($E277),XLOOKUP(V$1,Metadata!$A$2:$A1000,Metadata!$B$2:$B1000))),V$1,"""")"),"")</f>
        <v/>
      </c>
      <c r="W277" s="33" t="str">
        <f>IFERROR(__xludf.DUMMYFUNCTION("IF(IF(W$1="""","""",REGEXMATCH(LOWER($E277),XLOOKUP(W$1,Metadata!$A$2:$A1000,Metadata!$B$2:$B1000))),W$1,"""")"),"")</f>
        <v/>
      </c>
      <c r="X277" s="33" t="str">
        <f>IFERROR(__xludf.DUMMYFUNCTION("IF(IF(X$1="""","""",REGEXMATCH(LOWER($E277),XLOOKUP(X$1,Metadata!$A$2:$A1000,Metadata!$B$2:$B1000))),X$1,"""")"),"Ambush")</f>
        <v>Ambush</v>
      </c>
      <c r="Y277" s="33" t="str">
        <f>IFERROR(__xludf.DUMMYFUNCTION("IF(IF(Y$1="""","""",REGEXMATCH(LOWER($E277),XLOOKUP(Y$1,Metadata!$A$2:$A1000,Metadata!$B$2:$B1000))),Y$1,"""")"),"")</f>
        <v/>
      </c>
      <c r="Z277" s="33" t="str">
        <f>IFERROR(__xludf.DUMMYFUNCTION("IF(IF(Z$1="""","""",REGEXMATCH(LOWER($E277),XLOOKUP(Z$1,Metadata!$A$2:$A1000,Metadata!$B$2:$B1000))),Z$1,"""")"),"")</f>
        <v/>
      </c>
      <c r="AA277" s="33" t="str">
        <f>IFERROR(__xludf.DUMMYFUNCTION("IF(AA$1="""","""",REGEXMATCH(LOWER($E277),XLOOKUP(AA$1,Metadata!$A$2:$A1000,Metadata!$B$2:$B1000)))"),"")</f>
        <v/>
      </c>
    </row>
    <row r="278">
      <c r="A278" s="33" t="str">
        <f>IFERROR(__xludf.DUMMYFUNCTION("""COMPUTED_VALUE"""),"Entwining Creeper")</f>
        <v>Entwining Creeper</v>
      </c>
      <c r="B278" s="33" t="str">
        <f t="array" ref="B278:I278">XLOOKUP($A278,Cards!$A$2:$A1000,Cards!$B$2:$I1000,"")</f>
        <v>Nature</v>
      </c>
      <c r="C278" s="33">
        <v>1.0</v>
      </c>
      <c r="D278" s="33" t="s">
        <v>1571</v>
      </c>
      <c r="E278" s="33" t="s">
        <v>1649</v>
      </c>
      <c r="F278" s="33"/>
      <c r="G278" s="33">
        <v>4.0</v>
      </c>
      <c r="H278" s="33" t="s">
        <v>1594</v>
      </c>
      <c r="I278" s="33" t="s">
        <v>62</v>
      </c>
      <c r="J278" s="33">
        <f>IFERROR(__xludf.DUMMYFUNCTION("LEN(REGEXREPLACE(XLOOKUP($A278,Cards!$A$2:$A1000,Cards!$H$2:$H1000,""""),"",\s"",""""))"),4.0)</f>
        <v>4</v>
      </c>
      <c r="K278" s="33" t="str">
        <f t="shared" si="1"/>
        <v>               </v>
      </c>
      <c r="L278" s="33" t="str">
        <f>IFERROR(__xludf.DUMMYFUNCTION("IF(IF(L$1="""","""",REGEXMATCH(LOWER($E278),XLOOKUP(L$1,Metadata!$A$2:$A1000,Metadata!$B$2:$B1000))),L$1,"""")"),"")</f>
        <v/>
      </c>
      <c r="M278" s="33" t="str">
        <f>IFERROR(__xludf.DUMMYFUNCTION("IF(IF(M$1="""","""",REGEXMATCH(LOWER($E278),XLOOKUP(M$1,Metadata!$A$2:$A1000,Metadata!$B$2:$B1000))),M$1,"""")"),"")</f>
        <v/>
      </c>
      <c r="N278" s="33" t="str">
        <f>IFERROR(__xludf.DUMMYFUNCTION("IF(IF(N$1="""","""",REGEXMATCH(LOWER($E278),XLOOKUP(N$1,Metadata!$A$2:$A1000,Metadata!$B$2:$B1000))),N$1,"""")"),"")</f>
        <v/>
      </c>
      <c r="O278" s="33" t="str">
        <f>IFERROR(__xludf.DUMMYFUNCTION("IF(IF(O$1="""","""",REGEXMATCH(LOWER($E278),XLOOKUP(O$1,Metadata!$A$2:$A1000,Metadata!$B$2:$B1000))),O$1,"""")"),"")</f>
        <v/>
      </c>
      <c r="P278" s="33" t="str">
        <f>IFERROR(__xludf.DUMMYFUNCTION("IF(IF(P$1="""","""",REGEXMATCH(LOWER($E278),XLOOKUP(P$1,Metadata!$A$2:$A1000,Metadata!$B$2:$B1000))),P$1,"""")"),"")</f>
        <v/>
      </c>
      <c r="Q278" s="33" t="str">
        <f>IFERROR(__xludf.DUMMYFUNCTION("IF(IF(Q$1="""","""",REGEXMATCH(LOWER($E278),XLOOKUP(Q$1,Metadata!$A$2:$A1000,Metadata!$B$2:$B1000))),Q$1,"""")"),"")</f>
        <v/>
      </c>
      <c r="R278" s="33" t="str">
        <f>IFERROR(__xludf.DUMMYFUNCTION("IF(IF(R$1="""","""",REGEXMATCH(LOWER($E278),XLOOKUP(R$1,Metadata!$A$2:$A1000,Metadata!$B$2:$B1000))),R$1,"""")"),"")</f>
        <v/>
      </c>
      <c r="S278" s="33" t="str">
        <f>IFERROR(__xludf.DUMMYFUNCTION("IF(IF(S$1="""","""",REGEXMATCH(LOWER($E278),XLOOKUP(S$1,Metadata!$A$2:$A1000,Metadata!$B$2:$B1000))),S$1,"""")"),"")</f>
        <v/>
      </c>
      <c r="T278" s="33" t="str">
        <f>IFERROR(__xludf.DUMMYFUNCTION("IF(IF(T$1="""","""",REGEXMATCH(LOWER($E278),XLOOKUP(T$1,Metadata!$A$2:$A1000,Metadata!$B$2:$B1000))),T$1,"""")"),"")</f>
        <v/>
      </c>
      <c r="U278" s="33" t="str">
        <f>IFERROR(__xludf.DUMMYFUNCTION("IF(IF(U$1="""","""",REGEXMATCH(LOWER($E278),XLOOKUP(U$1,Metadata!$A$2:$A1000,Metadata!$B$2:$B1000))),U$1,"""")"),"")</f>
        <v/>
      </c>
      <c r="V278" s="33" t="str">
        <f>IFERROR(__xludf.DUMMYFUNCTION("IF(IF(V$1="""","""",REGEXMATCH(LOWER($E278),XLOOKUP(V$1,Metadata!$A$2:$A1000,Metadata!$B$2:$B1000))),V$1,"""")"),"")</f>
        <v/>
      </c>
      <c r="W278" s="33" t="str">
        <f>IFERROR(__xludf.DUMMYFUNCTION("IF(IF(W$1="""","""",REGEXMATCH(LOWER($E278),XLOOKUP(W$1,Metadata!$A$2:$A1000,Metadata!$B$2:$B1000))),W$1,"""")"),"")</f>
        <v/>
      </c>
      <c r="X278" s="33" t="str">
        <f>IFERROR(__xludf.DUMMYFUNCTION("IF(IF(X$1="""","""",REGEXMATCH(LOWER($E278),XLOOKUP(X$1,Metadata!$A$2:$A1000,Metadata!$B$2:$B1000))),X$1,"""")"),"")</f>
        <v/>
      </c>
      <c r="Y278" s="33" t="str">
        <f>IFERROR(__xludf.DUMMYFUNCTION("IF(IF(Y$1="""","""",REGEXMATCH(LOWER($E278),XLOOKUP(Y$1,Metadata!$A$2:$A1000,Metadata!$B$2:$B1000))),Y$1,"""")"),"")</f>
        <v/>
      </c>
      <c r="Z278" s="33" t="str">
        <f>IFERROR(__xludf.DUMMYFUNCTION("IF(IF(Z$1="""","""",REGEXMATCH(LOWER($E278),XLOOKUP(Z$1,Metadata!$A$2:$A1000,Metadata!$B$2:$B1000))),Z$1,"""")"),"")</f>
        <v/>
      </c>
      <c r="AA278" s="33" t="str">
        <f>IFERROR(__xludf.DUMMYFUNCTION("IF(AA$1="""","""",REGEXMATCH(LOWER($E278),XLOOKUP(AA$1,Metadata!$A$2:$A1000,Metadata!$B$2:$B1000)))"),"")</f>
        <v/>
      </c>
    </row>
    <row r="279">
      <c r="A279" s="33" t="str">
        <f>IFERROR(__xludf.DUMMYFUNCTION("""COMPUTED_VALUE"""),"Jeweled Triceratops")</f>
        <v>Jeweled Triceratops</v>
      </c>
      <c r="B279" s="33" t="str">
        <f t="array" ref="B279:I279">XLOOKUP($A279,Cards!$A$2:$A1000,Cards!$B$2:$I1000,"")</f>
        <v>Nature</v>
      </c>
      <c r="C279" s="33">
        <v>1.0</v>
      </c>
      <c r="D279" s="33" t="s">
        <v>330</v>
      </c>
      <c r="E279" s="33" t="s">
        <v>1651</v>
      </c>
      <c r="F279" s="33" t="s">
        <v>1652</v>
      </c>
      <c r="G279" s="33">
        <v>5.0</v>
      </c>
      <c r="H279" s="33" t="s">
        <v>1559</v>
      </c>
      <c r="I279" s="33" t="s">
        <v>26</v>
      </c>
      <c r="J279" s="33">
        <f>IFERROR(__xludf.DUMMYFUNCTION("LEN(REGEXREPLACE(XLOOKUP($A279,Cards!$A$2:$A1000,Cards!$H$2:$H1000,""""),"",\s"",""""))"),5.0)</f>
        <v>5</v>
      </c>
      <c r="K279" s="33" t="str">
        <f t="shared" si="1"/>
        <v>      Ramp         </v>
      </c>
      <c r="L279" s="33" t="str">
        <f>IFERROR(__xludf.DUMMYFUNCTION("IF(IF(L$1="""","""",REGEXMATCH(LOWER($E279),XLOOKUP(L$1,Metadata!$A$2:$A1000,Metadata!$B$2:$B1000))),L$1,"""")"),"")</f>
        <v/>
      </c>
      <c r="M279" s="33" t="str">
        <f>IFERROR(__xludf.DUMMYFUNCTION("IF(IF(M$1="""","""",REGEXMATCH(LOWER($E279),XLOOKUP(M$1,Metadata!$A$2:$A1000,Metadata!$B$2:$B1000))),M$1,"""")"),"")</f>
        <v/>
      </c>
      <c r="N279" s="33" t="str">
        <f>IFERROR(__xludf.DUMMYFUNCTION("IF(IF(N$1="""","""",REGEXMATCH(LOWER($E279),XLOOKUP(N$1,Metadata!$A$2:$A1000,Metadata!$B$2:$B1000))),N$1,"""")"),"")</f>
        <v/>
      </c>
      <c r="O279" s="33" t="str">
        <f>IFERROR(__xludf.DUMMYFUNCTION("IF(IF(O$1="""","""",REGEXMATCH(LOWER($E279),XLOOKUP(O$1,Metadata!$A$2:$A1000,Metadata!$B$2:$B1000))),O$1,"""")"),"")</f>
        <v/>
      </c>
      <c r="P279" s="33" t="str">
        <f>IFERROR(__xludf.DUMMYFUNCTION("IF(IF(P$1="""","""",REGEXMATCH(LOWER($E279),XLOOKUP(P$1,Metadata!$A$2:$A1000,Metadata!$B$2:$B1000))),P$1,"""")"),"")</f>
        <v/>
      </c>
      <c r="Q279" s="33" t="str">
        <f>IFERROR(__xludf.DUMMYFUNCTION("IF(IF(Q$1="""","""",REGEXMATCH(LOWER($E279),XLOOKUP(Q$1,Metadata!$A$2:$A1000,Metadata!$B$2:$B1000))),Q$1,"""")"),"")</f>
        <v/>
      </c>
      <c r="R279" s="33" t="str">
        <f>IFERROR(__xludf.DUMMYFUNCTION("IF(IF(R$1="""","""",REGEXMATCH(LOWER($E279),XLOOKUP(R$1,Metadata!$A$2:$A1000,Metadata!$B$2:$B1000))),R$1,"""")"),"Ramp")</f>
        <v>Ramp</v>
      </c>
      <c r="S279" s="33" t="str">
        <f>IFERROR(__xludf.DUMMYFUNCTION("IF(IF(S$1="""","""",REGEXMATCH(LOWER($E279),XLOOKUP(S$1,Metadata!$A$2:$A1000,Metadata!$B$2:$B1000))),S$1,"""")"),"")</f>
        <v/>
      </c>
      <c r="T279" s="33" t="str">
        <f>IFERROR(__xludf.DUMMYFUNCTION("IF(IF(T$1="""","""",REGEXMATCH(LOWER($E279),XLOOKUP(T$1,Metadata!$A$2:$A1000,Metadata!$B$2:$B1000))),T$1,"""")"),"")</f>
        <v/>
      </c>
      <c r="U279" s="33" t="str">
        <f>IFERROR(__xludf.DUMMYFUNCTION("IF(IF(U$1="""","""",REGEXMATCH(LOWER($E279),XLOOKUP(U$1,Metadata!$A$2:$A1000,Metadata!$B$2:$B1000))),U$1,"""")"),"")</f>
        <v/>
      </c>
      <c r="V279" s="33" t="str">
        <f>IFERROR(__xludf.DUMMYFUNCTION("IF(IF(V$1="""","""",REGEXMATCH(LOWER($E279),XLOOKUP(V$1,Metadata!$A$2:$A1000,Metadata!$B$2:$B1000))),V$1,"""")"),"")</f>
        <v/>
      </c>
      <c r="W279" s="33" t="str">
        <f>IFERROR(__xludf.DUMMYFUNCTION("IF(IF(W$1="""","""",REGEXMATCH(LOWER($E279),XLOOKUP(W$1,Metadata!$A$2:$A1000,Metadata!$B$2:$B1000))),W$1,"""")"),"")</f>
        <v/>
      </c>
      <c r="X279" s="33" t="str">
        <f>IFERROR(__xludf.DUMMYFUNCTION("IF(IF(X$1="""","""",REGEXMATCH(LOWER($E279),XLOOKUP(X$1,Metadata!$A$2:$A1000,Metadata!$B$2:$B1000))),X$1,"""")"),"")</f>
        <v/>
      </c>
      <c r="Y279" s="33" t="str">
        <f>IFERROR(__xludf.DUMMYFUNCTION("IF(IF(Y$1="""","""",REGEXMATCH(LOWER($E279),XLOOKUP(Y$1,Metadata!$A$2:$A1000,Metadata!$B$2:$B1000))),Y$1,"""")"),"")</f>
        <v/>
      </c>
      <c r="Z279" s="33" t="str">
        <f>IFERROR(__xludf.DUMMYFUNCTION("IF(IF(Z$1="""","""",REGEXMATCH(LOWER($E279),XLOOKUP(Z$1,Metadata!$A$2:$A1000,Metadata!$B$2:$B1000))),Z$1,"""")"),"")</f>
        <v/>
      </c>
      <c r="AA279" s="33" t="str">
        <f>IFERROR(__xludf.DUMMYFUNCTION("IF(AA$1="""","""",REGEXMATCH(LOWER($E279),XLOOKUP(AA$1,Metadata!$A$2:$A1000,Metadata!$B$2:$B1000)))"),"")</f>
        <v/>
      </c>
    </row>
    <row r="280">
      <c r="A280" s="33" t="str">
        <f>IFERROR(__xludf.DUMMYFUNCTION("""COMPUTED_VALUE"""),"Jolly Tamarin")</f>
        <v>Jolly Tamarin</v>
      </c>
      <c r="B280" s="33" t="str">
        <f t="array" ref="B280:I280">XLOOKUP($A280,Cards!$A$2:$A1000,Cards!$B$2:$I1000,"")</f>
        <v>Nature</v>
      </c>
      <c r="C280" s="33">
        <v>0.0</v>
      </c>
      <c r="D280" s="33" t="s">
        <v>97</v>
      </c>
      <c r="E280" s="33" t="s">
        <v>1654</v>
      </c>
      <c r="F280" s="33" t="s">
        <v>1655</v>
      </c>
      <c r="G280" s="33">
        <v>2.0</v>
      </c>
      <c r="H280" s="33" t="s">
        <v>1446</v>
      </c>
      <c r="I280" s="33" t="s">
        <v>26</v>
      </c>
      <c r="J280" s="33">
        <f>IFERROR(__xludf.DUMMYFUNCTION("LEN(REGEXREPLACE(XLOOKUP($A280,Cards!$A$2:$A1000,Cards!$H$2:$H1000,""""),"",\s"",""""))"),2.0)</f>
        <v>2</v>
      </c>
      <c r="K280" s="33" t="str">
        <f t="shared" si="1"/>
        <v>     Unearth       Ambush   </v>
      </c>
      <c r="L280" s="33" t="str">
        <f>IFERROR(__xludf.DUMMYFUNCTION("IF(IF(L$1="""","""",REGEXMATCH(LOWER($E280),XLOOKUP(L$1,Metadata!$A$2:$A1000,Metadata!$B$2:$B1000))),L$1,"""")"),"")</f>
        <v/>
      </c>
      <c r="M280" s="33" t="str">
        <f>IFERROR(__xludf.DUMMYFUNCTION("IF(IF(M$1="""","""",REGEXMATCH(LOWER($E280),XLOOKUP(M$1,Metadata!$A$2:$A1000,Metadata!$B$2:$B1000))),M$1,"""")"),"")</f>
        <v/>
      </c>
      <c r="N280" s="33" t="str">
        <f>IFERROR(__xludf.DUMMYFUNCTION("IF(IF(N$1="""","""",REGEXMATCH(LOWER($E280),XLOOKUP(N$1,Metadata!$A$2:$A1000,Metadata!$B$2:$B1000))),N$1,"""")"),"")</f>
        <v/>
      </c>
      <c r="O280" s="33" t="str">
        <f>IFERROR(__xludf.DUMMYFUNCTION("IF(IF(O$1="""","""",REGEXMATCH(LOWER($E280),XLOOKUP(O$1,Metadata!$A$2:$A1000,Metadata!$B$2:$B1000))),O$1,"""")"),"")</f>
        <v/>
      </c>
      <c r="P280" s="33" t="str">
        <f>IFERROR(__xludf.DUMMYFUNCTION("IF(IF(P$1="""","""",REGEXMATCH(LOWER($E280),XLOOKUP(P$1,Metadata!$A$2:$A1000,Metadata!$B$2:$B1000))),P$1,"""")"),"")</f>
        <v/>
      </c>
      <c r="Q280" s="33" t="str">
        <f>IFERROR(__xludf.DUMMYFUNCTION("IF(IF(Q$1="""","""",REGEXMATCH(LOWER($E280),XLOOKUP(Q$1,Metadata!$A$2:$A1000,Metadata!$B$2:$B1000))),Q$1,"""")"),"Unearth")</f>
        <v>Unearth</v>
      </c>
      <c r="R280" s="33" t="str">
        <f>IFERROR(__xludf.DUMMYFUNCTION("IF(IF(R$1="""","""",REGEXMATCH(LOWER($E280),XLOOKUP(R$1,Metadata!$A$2:$A1000,Metadata!$B$2:$B1000))),R$1,"""")"),"")</f>
        <v/>
      </c>
      <c r="S280" s="33" t="str">
        <f>IFERROR(__xludf.DUMMYFUNCTION("IF(IF(S$1="""","""",REGEXMATCH(LOWER($E280),XLOOKUP(S$1,Metadata!$A$2:$A1000,Metadata!$B$2:$B1000))),S$1,"""")"),"")</f>
        <v/>
      </c>
      <c r="T280" s="33" t="str">
        <f>IFERROR(__xludf.DUMMYFUNCTION("IF(IF(T$1="""","""",REGEXMATCH(LOWER($E280),XLOOKUP(T$1,Metadata!$A$2:$A1000,Metadata!$B$2:$B1000))),T$1,"""")"),"")</f>
        <v/>
      </c>
      <c r="U280" s="33" t="str">
        <f>IFERROR(__xludf.DUMMYFUNCTION("IF(IF(U$1="""","""",REGEXMATCH(LOWER($E280),XLOOKUP(U$1,Metadata!$A$2:$A1000,Metadata!$B$2:$B1000))),U$1,"""")"),"")</f>
        <v/>
      </c>
      <c r="V280" s="33" t="str">
        <f>IFERROR(__xludf.DUMMYFUNCTION("IF(IF(V$1="""","""",REGEXMATCH(LOWER($E280),XLOOKUP(V$1,Metadata!$A$2:$A1000,Metadata!$B$2:$B1000))),V$1,"""")"),"")</f>
        <v/>
      </c>
      <c r="W280" s="33" t="str">
        <f>IFERROR(__xludf.DUMMYFUNCTION("IF(IF(W$1="""","""",REGEXMATCH(LOWER($E280),XLOOKUP(W$1,Metadata!$A$2:$A1000,Metadata!$B$2:$B1000))),W$1,"""")"),"")</f>
        <v/>
      </c>
      <c r="X280" s="33" t="str">
        <f>IFERROR(__xludf.DUMMYFUNCTION("IF(IF(X$1="""","""",REGEXMATCH(LOWER($E280),XLOOKUP(X$1,Metadata!$A$2:$A1000,Metadata!$B$2:$B1000))),X$1,"""")"),"Ambush")</f>
        <v>Ambush</v>
      </c>
      <c r="Y280" s="33" t="str">
        <f>IFERROR(__xludf.DUMMYFUNCTION("IF(IF(Y$1="""","""",REGEXMATCH(LOWER($E280),XLOOKUP(Y$1,Metadata!$A$2:$A1000,Metadata!$B$2:$B1000))),Y$1,"""")"),"")</f>
        <v/>
      </c>
      <c r="Z280" s="33" t="str">
        <f>IFERROR(__xludf.DUMMYFUNCTION("IF(IF(Z$1="""","""",REGEXMATCH(LOWER($E280),XLOOKUP(Z$1,Metadata!$A$2:$A1000,Metadata!$B$2:$B1000))),Z$1,"""")"),"")</f>
        <v/>
      </c>
      <c r="AA280" s="33" t="str">
        <f>IFERROR(__xludf.DUMMYFUNCTION("IF(AA$1="""","""",REGEXMATCH(LOWER($E280),XLOOKUP(AA$1,Metadata!$A$2:$A1000,Metadata!$B$2:$B1000)))"),"")</f>
        <v/>
      </c>
    </row>
    <row r="281">
      <c r="A281" s="33" t="str">
        <f>IFERROR(__xludf.DUMMYFUNCTION("""COMPUTED_VALUE"""),"Leech Dragonfly")</f>
        <v>Leech Dragonfly</v>
      </c>
      <c r="B281" s="33" t="str">
        <f t="array" ref="B281:I281">XLOOKUP($A281,Cards!$A$2:$A1000,Cards!$B$2:$I1000,"")</f>
        <v>Nature</v>
      </c>
      <c r="C281" s="33">
        <v>1.0</v>
      </c>
      <c r="D281" s="33" t="s">
        <v>609</v>
      </c>
      <c r="E281" s="33" t="s">
        <v>1657</v>
      </c>
      <c r="F281" s="33" t="s">
        <v>1658</v>
      </c>
      <c r="G281" s="33">
        <v>3.0</v>
      </c>
      <c r="H281" s="33" t="s">
        <v>1466</v>
      </c>
      <c r="I281" s="33" t="s">
        <v>62</v>
      </c>
      <c r="J281" s="33">
        <f>IFERROR(__xludf.DUMMYFUNCTION("LEN(REGEXREPLACE(XLOOKUP($A281,Cards!$A$2:$A1000,Cards!$H$2:$H1000,""""),"",\s"",""""))"),4.0)</f>
        <v>4</v>
      </c>
      <c r="K281" s="33" t="str">
        <f t="shared" si="1"/>
        <v>           Move    </v>
      </c>
      <c r="L281" s="33" t="str">
        <f>IFERROR(__xludf.DUMMYFUNCTION("IF(IF(L$1="""","""",REGEXMATCH(LOWER($E281),XLOOKUP(L$1,Metadata!$A$2:$A1000,Metadata!$B$2:$B1000))),L$1,"""")"),"")</f>
        <v/>
      </c>
      <c r="M281" s="33" t="str">
        <f>IFERROR(__xludf.DUMMYFUNCTION("IF(IF(M$1="""","""",REGEXMATCH(LOWER($E281),XLOOKUP(M$1,Metadata!$A$2:$A1000,Metadata!$B$2:$B1000))),M$1,"""")"),"")</f>
        <v/>
      </c>
      <c r="N281" s="33" t="str">
        <f>IFERROR(__xludf.DUMMYFUNCTION("IF(IF(N$1="""","""",REGEXMATCH(LOWER($E281),XLOOKUP(N$1,Metadata!$A$2:$A1000,Metadata!$B$2:$B1000))),N$1,"""")"),"")</f>
        <v/>
      </c>
      <c r="O281" s="33" t="str">
        <f>IFERROR(__xludf.DUMMYFUNCTION("IF(IF(O$1="""","""",REGEXMATCH(LOWER($E281),XLOOKUP(O$1,Metadata!$A$2:$A1000,Metadata!$B$2:$B1000))),O$1,"""")"),"")</f>
        <v/>
      </c>
      <c r="P281" s="33" t="str">
        <f>IFERROR(__xludf.DUMMYFUNCTION("IF(IF(P$1="""","""",REGEXMATCH(LOWER($E281),XLOOKUP(P$1,Metadata!$A$2:$A1000,Metadata!$B$2:$B1000))),P$1,"""")"),"")</f>
        <v/>
      </c>
      <c r="Q281" s="33" t="str">
        <f>IFERROR(__xludf.DUMMYFUNCTION("IF(IF(Q$1="""","""",REGEXMATCH(LOWER($E281),XLOOKUP(Q$1,Metadata!$A$2:$A1000,Metadata!$B$2:$B1000))),Q$1,"""")"),"")</f>
        <v/>
      </c>
      <c r="R281" s="33" t="str">
        <f>IFERROR(__xludf.DUMMYFUNCTION("IF(IF(R$1="""","""",REGEXMATCH(LOWER($E281),XLOOKUP(R$1,Metadata!$A$2:$A1000,Metadata!$B$2:$B1000))),R$1,"""")"),"")</f>
        <v/>
      </c>
      <c r="S281" s="33" t="str">
        <f>IFERROR(__xludf.DUMMYFUNCTION("IF(IF(S$1="""","""",REGEXMATCH(LOWER($E281),XLOOKUP(S$1,Metadata!$A$2:$A1000,Metadata!$B$2:$B1000))),S$1,"""")"),"")</f>
        <v/>
      </c>
      <c r="T281" s="33" t="str">
        <f>IFERROR(__xludf.DUMMYFUNCTION("IF(IF(T$1="""","""",REGEXMATCH(LOWER($E281),XLOOKUP(T$1,Metadata!$A$2:$A1000,Metadata!$B$2:$B1000))),T$1,"""")"),"")</f>
        <v/>
      </c>
      <c r="U281" s="33" t="str">
        <f>IFERROR(__xludf.DUMMYFUNCTION("IF(IF(U$1="""","""",REGEXMATCH(LOWER($E281),XLOOKUP(U$1,Metadata!$A$2:$A1000,Metadata!$B$2:$B1000))),U$1,"""")"),"")</f>
        <v/>
      </c>
      <c r="V281" s="33" t="str">
        <f>IFERROR(__xludf.DUMMYFUNCTION("IF(IF(V$1="""","""",REGEXMATCH(LOWER($E281),XLOOKUP(V$1,Metadata!$A$2:$A1000,Metadata!$B$2:$B1000))),V$1,"""")"),"")</f>
        <v/>
      </c>
      <c r="W281" s="33" t="str">
        <f>IFERROR(__xludf.DUMMYFUNCTION("IF(IF(W$1="""","""",REGEXMATCH(LOWER($E281),XLOOKUP(W$1,Metadata!$A$2:$A1000,Metadata!$B$2:$B1000))),W$1,"""")"),"Move")</f>
        <v>Move</v>
      </c>
      <c r="X281" s="33" t="str">
        <f>IFERROR(__xludf.DUMMYFUNCTION("IF(IF(X$1="""","""",REGEXMATCH(LOWER($E281),XLOOKUP(X$1,Metadata!$A$2:$A1000,Metadata!$B$2:$B1000))),X$1,"""")"),"")</f>
        <v/>
      </c>
      <c r="Y281" s="33" t="str">
        <f>IFERROR(__xludf.DUMMYFUNCTION("IF(IF(Y$1="""","""",REGEXMATCH(LOWER($E281),XLOOKUP(Y$1,Metadata!$A$2:$A1000,Metadata!$B$2:$B1000))),Y$1,"""")"),"")</f>
        <v/>
      </c>
      <c r="Z281" s="33" t="str">
        <f>IFERROR(__xludf.DUMMYFUNCTION("IF(IF(Z$1="""","""",REGEXMATCH(LOWER($E281),XLOOKUP(Z$1,Metadata!$A$2:$A1000,Metadata!$B$2:$B1000))),Z$1,"""")"),"")</f>
        <v/>
      </c>
      <c r="AA281" s="33" t="str">
        <f>IFERROR(__xludf.DUMMYFUNCTION("IF(AA$1="""","""",REGEXMATCH(LOWER($E281),XLOOKUP(AA$1,Metadata!$A$2:$A1000,Metadata!$B$2:$B1000)))"),"")</f>
        <v/>
      </c>
    </row>
    <row r="282">
      <c r="A282" s="33" t="str">
        <f>IFERROR(__xludf.DUMMYFUNCTION("""COMPUTED_VALUE"""),"Nurseplant")</f>
        <v>Nurseplant</v>
      </c>
      <c r="B282" s="33" t="str">
        <f t="array" ref="B282:I282">XLOOKUP($A282,Cards!$A$2:$A1000,Cards!$B$2:$I1000,"")</f>
        <v>Nature</v>
      </c>
      <c r="C282" s="33">
        <v>1.0</v>
      </c>
      <c r="D282" s="33" t="s">
        <v>1340</v>
      </c>
      <c r="E282" s="33" t="s">
        <v>1660</v>
      </c>
      <c r="F282" s="33" t="s">
        <v>1661</v>
      </c>
      <c r="G282" s="33">
        <v>3.0</v>
      </c>
      <c r="H282" s="33" t="s">
        <v>1583</v>
      </c>
      <c r="I282" s="33" t="s">
        <v>26</v>
      </c>
      <c r="J282" s="33">
        <f>IFERROR(__xludf.DUMMYFUNCTION("LEN(REGEXREPLACE(XLOOKUP($A282,Cards!$A$2:$A1000,Cards!$H$2:$H1000,""""),"",\s"",""""))"),3.0)</f>
        <v>3</v>
      </c>
      <c r="K282" s="33" t="str">
        <f t="shared" si="1"/>
        <v>               </v>
      </c>
      <c r="L282" s="33" t="str">
        <f>IFERROR(__xludf.DUMMYFUNCTION("IF(IF(L$1="""","""",REGEXMATCH(LOWER($E282),XLOOKUP(L$1,Metadata!$A$2:$A1000,Metadata!$B$2:$B1000))),L$1,"""")"),"")</f>
        <v/>
      </c>
      <c r="M282" s="33" t="str">
        <f>IFERROR(__xludf.DUMMYFUNCTION("IF(IF(M$1="""","""",REGEXMATCH(LOWER($E282),XLOOKUP(M$1,Metadata!$A$2:$A1000,Metadata!$B$2:$B1000))),M$1,"""")"),"")</f>
        <v/>
      </c>
      <c r="N282" s="33" t="str">
        <f>IFERROR(__xludf.DUMMYFUNCTION("IF(IF(N$1="""","""",REGEXMATCH(LOWER($E282),XLOOKUP(N$1,Metadata!$A$2:$A1000,Metadata!$B$2:$B1000))),N$1,"""")"),"")</f>
        <v/>
      </c>
      <c r="O282" s="33" t="str">
        <f>IFERROR(__xludf.DUMMYFUNCTION("IF(IF(O$1="""","""",REGEXMATCH(LOWER($E282),XLOOKUP(O$1,Metadata!$A$2:$A1000,Metadata!$B$2:$B1000))),O$1,"""")"),"")</f>
        <v/>
      </c>
      <c r="P282" s="33" t="str">
        <f>IFERROR(__xludf.DUMMYFUNCTION("IF(IF(P$1="""","""",REGEXMATCH(LOWER($E282),XLOOKUP(P$1,Metadata!$A$2:$A1000,Metadata!$B$2:$B1000))),P$1,"""")"),"")</f>
        <v/>
      </c>
      <c r="Q282" s="33" t="str">
        <f>IFERROR(__xludf.DUMMYFUNCTION("IF(IF(Q$1="""","""",REGEXMATCH(LOWER($E282),XLOOKUP(Q$1,Metadata!$A$2:$A1000,Metadata!$B$2:$B1000))),Q$1,"""")"),"")</f>
        <v/>
      </c>
      <c r="R282" s="33" t="str">
        <f>IFERROR(__xludf.DUMMYFUNCTION("IF(IF(R$1="""","""",REGEXMATCH(LOWER($E282),XLOOKUP(R$1,Metadata!$A$2:$A1000,Metadata!$B$2:$B1000))),R$1,"""")"),"")</f>
        <v/>
      </c>
      <c r="S282" s="33" t="str">
        <f>IFERROR(__xludf.DUMMYFUNCTION("IF(IF(S$1="""","""",REGEXMATCH(LOWER($E282),XLOOKUP(S$1,Metadata!$A$2:$A1000,Metadata!$B$2:$B1000))),S$1,"""")"),"")</f>
        <v/>
      </c>
      <c r="T282" s="33" t="str">
        <f>IFERROR(__xludf.DUMMYFUNCTION("IF(IF(T$1="""","""",REGEXMATCH(LOWER($E282),XLOOKUP(T$1,Metadata!$A$2:$A1000,Metadata!$B$2:$B1000))),T$1,"""")"),"")</f>
        <v/>
      </c>
      <c r="U282" s="33" t="str">
        <f>IFERROR(__xludf.DUMMYFUNCTION("IF(IF(U$1="""","""",REGEXMATCH(LOWER($E282),XLOOKUP(U$1,Metadata!$A$2:$A1000,Metadata!$B$2:$B1000))),U$1,"""")"),"")</f>
        <v/>
      </c>
      <c r="V282" s="33" t="str">
        <f>IFERROR(__xludf.DUMMYFUNCTION("IF(IF(V$1="""","""",REGEXMATCH(LOWER($E282),XLOOKUP(V$1,Metadata!$A$2:$A1000,Metadata!$B$2:$B1000))),V$1,"""")"),"")</f>
        <v/>
      </c>
      <c r="W282" s="33" t="str">
        <f>IFERROR(__xludf.DUMMYFUNCTION("IF(IF(W$1="""","""",REGEXMATCH(LOWER($E282),XLOOKUP(W$1,Metadata!$A$2:$A1000,Metadata!$B$2:$B1000))),W$1,"""")"),"")</f>
        <v/>
      </c>
      <c r="X282" s="33" t="str">
        <f>IFERROR(__xludf.DUMMYFUNCTION("IF(IF(X$1="""","""",REGEXMATCH(LOWER($E282),XLOOKUP(X$1,Metadata!$A$2:$A1000,Metadata!$B$2:$B1000))),X$1,"""")"),"")</f>
        <v/>
      </c>
      <c r="Y282" s="33" t="str">
        <f>IFERROR(__xludf.DUMMYFUNCTION("IF(IF(Y$1="""","""",REGEXMATCH(LOWER($E282),XLOOKUP(Y$1,Metadata!$A$2:$A1000,Metadata!$B$2:$B1000))),Y$1,"""")"),"")</f>
        <v/>
      </c>
      <c r="Z282" s="33" t="str">
        <f>IFERROR(__xludf.DUMMYFUNCTION("IF(IF(Z$1="""","""",REGEXMATCH(LOWER($E282),XLOOKUP(Z$1,Metadata!$A$2:$A1000,Metadata!$B$2:$B1000))),Z$1,"""")"),"")</f>
        <v/>
      </c>
      <c r="AA282" s="33" t="str">
        <f>IFERROR(__xludf.DUMMYFUNCTION("IF(AA$1="""","""",REGEXMATCH(LOWER($E282),XLOOKUP(AA$1,Metadata!$A$2:$A1000,Metadata!$B$2:$B1000)))"),"")</f>
        <v/>
      </c>
    </row>
    <row r="283">
      <c r="A283" s="33" t="str">
        <f>IFERROR(__xludf.DUMMYFUNCTION("""COMPUTED_VALUE"""),"Bloodthrone Familiar")</f>
        <v>Bloodthrone Familiar</v>
      </c>
      <c r="B283" s="33" t="str">
        <f t="array" ref="B283:I283">XLOOKUP($A283,Cards!$A$2:$A1000,Cards!$B$2:$I1000,"")</f>
        <v>Void</v>
      </c>
      <c r="C283" s="33">
        <v>2.0</v>
      </c>
      <c r="D283" s="33" t="s">
        <v>107</v>
      </c>
      <c r="E283" s="33" t="s">
        <v>1664</v>
      </c>
      <c r="F283" s="33" t="s">
        <v>1665</v>
      </c>
      <c r="G283" s="33">
        <v>1.0</v>
      </c>
      <c r="H283" s="33" t="s">
        <v>1666</v>
      </c>
      <c r="I283" s="33" t="s">
        <v>62</v>
      </c>
      <c r="J283" s="33">
        <f>IFERROR(__xludf.DUMMYFUNCTION("LEN(REGEXREPLACE(XLOOKUP($A283,Cards!$A$2:$A1000,Cards!$H$2:$H1000,""""),"",\s"",""""))"),1.0)</f>
        <v>1</v>
      </c>
      <c r="K283" s="33" t="str">
        <f t="shared" si="1"/>
        <v>     Unearth Ramp      Ambush   </v>
      </c>
      <c r="L283" s="33" t="str">
        <f>IFERROR(__xludf.DUMMYFUNCTION("IF(IF(L$1="""","""",REGEXMATCH(LOWER($E283),XLOOKUP(L$1,Metadata!$A$2:$A1000,Metadata!$B$2:$B1000))),L$1,"""")"),"")</f>
        <v/>
      </c>
      <c r="M283" s="33" t="str">
        <f>IFERROR(__xludf.DUMMYFUNCTION("IF(IF(M$1="""","""",REGEXMATCH(LOWER($E283),XLOOKUP(M$1,Metadata!$A$2:$A1000,Metadata!$B$2:$B1000))),M$1,"""")"),"")</f>
        <v/>
      </c>
      <c r="N283" s="33" t="str">
        <f>IFERROR(__xludf.DUMMYFUNCTION("IF(IF(N$1="""","""",REGEXMATCH(LOWER($E283),XLOOKUP(N$1,Metadata!$A$2:$A1000,Metadata!$B$2:$B1000))),N$1,"""")"),"")</f>
        <v/>
      </c>
      <c r="O283" s="33" t="str">
        <f>IFERROR(__xludf.DUMMYFUNCTION("IF(IF(O$1="""","""",REGEXMATCH(LOWER($E283),XLOOKUP(O$1,Metadata!$A$2:$A1000,Metadata!$B$2:$B1000))),O$1,"""")"),"")</f>
        <v/>
      </c>
      <c r="P283" s="33" t="str">
        <f>IFERROR(__xludf.DUMMYFUNCTION("IF(IF(P$1="""","""",REGEXMATCH(LOWER($E283),XLOOKUP(P$1,Metadata!$A$2:$A1000,Metadata!$B$2:$B1000))),P$1,"""")"),"")</f>
        <v/>
      </c>
      <c r="Q283" s="33" t="str">
        <f>IFERROR(__xludf.DUMMYFUNCTION("IF(IF(Q$1="""","""",REGEXMATCH(LOWER($E283),XLOOKUP(Q$1,Metadata!$A$2:$A1000,Metadata!$B$2:$B1000))),Q$1,"""")"),"Unearth")</f>
        <v>Unearth</v>
      </c>
      <c r="R283" s="33" t="str">
        <f>IFERROR(__xludf.DUMMYFUNCTION("IF(IF(R$1="""","""",REGEXMATCH(LOWER($E283),XLOOKUP(R$1,Metadata!$A$2:$A1000,Metadata!$B$2:$B1000))),R$1,"""")"),"Ramp")</f>
        <v>Ramp</v>
      </c>
      <c r="S283" s="33" t="str">
        <f>IFERROR(__xludf.DUMMYFUNCTION("IF(IF(S$1="""","""",REGEXMATCH(LOWER($E283),XLOOKUP(S$1,Metadata!$A$2:$A1000,Metadata!$B$2:$B1000))),S$1,"""")"),"")</f>
        <v/>
      </c>
      <c r="T283" s="33" t="str">
        <f>IFERROR(__xludf.DUMMYFUNCTION("IF(IF(T$1="""","""",REGEXMATCH(LOWER($E283),XLOOKUP(T$1,Metadata!$A$2:$A1000,Metadata!$B$2:$B1000))),T$1,"""")"),"")</f>
        <v/>
      </c>
      <c r="U283" s="33" t="str">
        <f>IFERROR(__xludf.DUMMYFUNCTION("IF(IF(U$1="""","""",REGEXMATCH(LOWER($E283),XLOOKUP(U$1,Metadata!$A$2:$A1000,Metadata!$B$2:$B1000))),U$1,"""")"),"")</f>
        <v/>
      </c>
      <c r="V283" s="33" t="str">
        <f>IFERROR(__xludf.DUMMYFUNCTION("IF(IF(V$1="""","""",REGEXMATCH(LOWER($E283),XLOOKUP(V$1,Metadata!$A$2:$A1000,Metadata!$B$2:$B1000))),V$1,"""")"),"")</f>
        <v/>
      </c>
      <c r="W283" s="33" t="str">
        <f>IFERROR(__xludf.DUMMYFUNCTION("IF(IF(W$1="""","""",REGEXMATCH(LOWER($E283),XLOOKUP(W$1,Metadata!$A$2:$A1000,Metadata!$B$2:$B1000))),W$1,"""")"),"")</f>
        <v/>
      </c>
      <c r="X283" s="33" t="str">
        <f>IFERROR(__xludf.DUMMYFUNCTION("IF(IF(X$1="""","""",REGEXMATCH(LOWER($E283),XLOOKUP(X$1,Metadata!$A$2:$A1000,Metadata!$B$2:$B1000))),X$1,"""")"),"Ambush")</f>
        <v>Ambush</v>
      </c>
      <c r="Y283" s="33" t="str">
        <f>IFERROR(__xludf.DUMMYFUNCTION("IF(IF(Y$1="""","""",REGEXMATCH(LOWER($E283),XLOOKUP(Y$1,Metadata!$A$2:$A1000,Metadata!$B$2:$B1000))),Y$1,"""")"),"")</f>
        <v/>
      </c>
      <c r="Z283" s="33" t="str">
        <f>IFERROR(__xludf.DUMMYFUNCTION("IF(IF(Z$1="""","""",REGEXMATCH(LOWER($E283),XLOOKUP(Z$1,Metadata!$A$2:$A1000,Metadata!$B$2:$B1000))),Z$1,"""")"),"")</f>
        <v/>
      </c>
      <c r="AA283" s="33" t="str">
        <f>IFERROR(__xludf.DUMMYFUNCTION("IF(AA$1="""","""",REGEXMATCH(LOWER($E283),XLOOKUP(AA$1,Metadata!$A$2:$A1000,Metadata!$B$2:$B1000)))"),"")</f>
        <v/>
      </c>
    </row>
    <row r="284">
      <c r="A284" s="33" t="str">
        <f>IFERROR(__xludf.DUMMYFUNCTION("""COMPUTED_VALUE"""),"Nurturing Rootsaurus")</f>
        <v>Nurturing Rootsaurus</v>
      </c>
      <c r="B284" s="33" t="str">
        <f t="array" ref="B284:I284">XLOOKUP($A284,Cards!$A$2:$A1000,Cards!$B$2:$I1000,"")</f>
        <v>Nature</v>
      </c>
      <c r="C284" s="33">
        <v>1.0</v>
      </c>
      <c r="D284" s="33" t="s">
        <v>1613</v>
      </c>
      <c r="E284" s="33" t="s">
        <v>1668</v>
      </c>
      <c r="F284" s="33" t="s">
        <v>1669</v>
      </c>
      <c r="G284" s="33">
        <v>2.0</v>
      </c>
      <c r="H284" s="33" t="s">
        <v>1446</v>
      </c>
      <c r="I284" s="33" t="s">
        <v>26</v>
      </c>
      <c r="J284" s="33">
        <f>IFERROR(__xludf.DUMMYFUNCTION("LEN(REGEXREPLACE(XLOOKUP($A284,Cards!$A$2:$A1000,Cards!$H$2:$H1000,""""),"",\s"",""""))"),2.0)</f>
        <v>2</v>
      </c>
      <c r="K284" s="33" t="str">
        <f t="shared" si="1"/>
        <v>               </v>
      </c>
      <c r="L284" s="33" t="str">
        <f>IFERROR(__xludf.DUMMYFUNCTION("IF(IF(L$1="""","""",REGEXMATCH(LOWER($E284),XLOOKUP(L$1,Metadata!$A$2:$A1000,Metadata!$B$2:$B1000))),L$1,"""")"),"")</f>
        <v/>
      </c>
      <c r="M284" s="33" t="str">
        <f>IFERROR(__xludf.DUMMYFUNCTION("IF(IF(M$1="""","""",REGEXMATCH(LOWER($E284),XLOOKUP(M$1,Metadata!$A$2:$A1000,Metadata!$B$2:$B1000))),M$1,"""")"),"")</f>
        <v/>
      </c>
      <c r="N284" s="33" t="str">
        <f>IFERROR(__xludf.DUMMYFUNCTION("IF(IF(N$1="""","""",REGEXMATCH(LOWER($E284),XLOOKUP(N$1,Metadata!$A$2:$A1000,Metadata!$B$2:$B1000))),N$1,"""")"),"")</f>
        <v/>
      </c>
      <c r="O284" s="33" t="str">
        <f>IFERROR(__xludf.DUMMYFUNCTION("IF(IF(O$1="""","""",REGEXMATCH(LOWER($E284),XLOOKUP(O$1,Metadata!$A$2:$A1000,Metadata!$B$2:$B1000))),O$1,"""")"),"")</f>
        <v/>
      </c>
      <c r="P284" s="33" t="str">
        <f>IFERROR(__xludf.DUMMYFUNCTION("IF(IF(P$1="""","""",REGEXMATCH(LOWER($E284),XLOOKUP(P$1,Metadata!$A$2:$A1000,Metadata!$B$2:$B1000))),P$1,"""")"),"")</f>
        <v/>
      </c>
      <c r="Q284" s="33" t="str">
        <f>IFERROR(__xludf.DUMMYFUNCTION("IF(IF(Q$1="""","""",REGEXMATCH(LOWER($E284),XLOOKUP(Q$1,Metadata!$A$2:$A1000,Metadata!$B$2:$B1000))),Q$1,"""")"),"")</f>
        <v/>
      </c>
      <c r="R284" s="33" t="str">
        <f>IFERROR(__xludf.DUMMYFUNCTION("IF(IF(R$1="""","""",REGEXMATCH(LOWER($E284),XLOOKUP(R$1,Metadata!$A$2:$A1000,Metadata!$B$2:$B1000))),R$1,"""")"),"")</f>
        <v/>
      </c>
      <c r="S284" s="33" t="str">
        <f>IFERROR(__xludf.DUMMYFUNCTION("IF(IF(S$1="""","""",REGEXMATCH(LOWER($E284),XLOOKUP(S$1,Metadata!$A$2:$A1000,Metadata!$B$2:$B1000))),S$1,"""")"),"")</f>
        <v/>
      </c>
      <c r="T284" s="33" t="str">
        <f>IFERROR(__xludf.DUMMYFUNCTION("IF(IF(T$1="""","""",REGEXMATCH(LOWER($E284),XLOOKUP(T$1,Metadata!$A$2:$A1000,Metadata!$B$2:$B1000))),T$1,"""")"),"")</f>
        <v/>
      </c>
      <c r="U284" s="33" t="str">
        <f>IFERROR(__xludf.DUMMYFUNCTION("IF(IF(U$1="""","""",REGEXMATCH(LOWER($E284),XLOOKUP(U$1,Metadata!$A$2:$A1000,Metadata!$B$2:$B1000))),U$1,"""")"),"")</f>
        <v/>
      </c>
      <c r="V284" s="33" t="str">
        <f>IFERROR(__xludf.DUMMYFUNCTION("IF(IF(V$1="""","""",REGEXMATCH(LOWER($E284),XLOOKUP(V$1,Metadata!$A$2:$A1000,Metadata!$B$2:$B1000))),V$1,"""")"),"")</f>
        <v/>
      </c>
      <c r="W284" s="33" t="str">
        <f>IFERROR(__xludf.DUMMYFUNCTION("IF(IF(W$1="""","""",REGEXMATCH(LOWER($E284),XLOOKUP(W$1,Metadata!$A$2:$A1000,Metadata!$B$2:$B1000))),W$1,"""")"),"")</f>
        <v/>
      </c>
      <c r="X284" s="33" t="str">
        <f>IFERROR(__xludf.DUMMYFUNCTION("IF(IF(X$1="""","""",REGEXMATCH(LOWER($E284),XLOOKUP(X$1,Metadata!$A$2:$A1000,Metadata!$B$2:$B1000))),X$1,"""")"),"")</f>
        <v/>
      </c>
      <c r="Y284" s="33" t="str">
        <f>IFERROR(__xludf.DUMMYFUNCTION("IF(IF(Y$1="""","""",REGEXMATCH(LOWER($E284),XLOOKUP(Y$1,Metadata!$A$2:$A1000,Metadata!$B$2:$B1000))),Y$1,"""")"),"")</f>
        <v/>
      </c>
      <c r="Z284" s="33" t="str">
        <f>IFERROR(__xludf.DUMMYFUNCTION("IF(IF(Z$1="""","""",REGEXMATCH(LOWER($E284),XLOOKUP(Z$1,Metadata!$A$2:$A1000,Metadata!$B$2:$B1000))),Z$1,"""")"),"")</f>
        <v/>
      </c>
      <c r="AA284" s="33" t="str">
        <f>IFERROR(__xludf.DUMMYFUNCTION("IF(AA$1="""","""",REGEXMATCH(LOWER($E284),XLOOKUP(AA$1,Metadata!$A$2:$A1000,Metadata!$B$2:$B1000)))"),"")</f>
        <v/>
      </c>
    </row>
    <row r="285">
      <c r="A285" s="33" t="str">
        <f>IFERROR(__xludf.DUMMYFUNCTION("""COMPUTED_VALUE"""),"Carnage Hornet")</f>
        <v>Carnage Hornet</v>
      </c>
      <c r="B285" s="33" t="str">
        <f t="array" ref="B285:I285">XLOOKUP($A285,Cards!$A$2:$A1000,Cards!$B$2:$I1000,"")</f>
        <v>Void</v>
      </c>
      <c r="C285" s="33">
        <v>2.0</v>
      </c>
      <c r="D285" s="33" t="s">
        <v>1671</v>
      </c>
      <c r="E285" s="33" t="s">
        <v>1672</v>
      </c>
      <c r="F285" s="33" t="s">
        <v>1673</v>
      </c>
      <c r="G285" s="33">
        <v>4.0</v>
      </c>
      <c r="H285" s="33" t="s">
        <v>1674</v>
      </c>
      <c r="I285" s="33" t="s">
        <v>32</v>
      </c>
      <c r="J285" s="33">
        <f>IFERROR(__xludf.DUMMYFUNCTION("LEN(REGEXREPLACE(XLOOKUP($A285,Cards!$A$2:$A1000,Cards!$H$2:$H1000,""""),"",\s"",""""))"),5.0)</f>
        <v>5</v>
      </c>
      <c r="K285" s="33" t="str">
        <f t="shared" si="1"/>
        <v>     Unearth  Control     Ambush   </v>
      </c>
      <c r="L285" s="33" t="str">
        <f>IFERROR(__xludf.DUMMYFUNCTION("IF(IF(L$1="""","""",REGEXMATCH(LOWER($E285),XLOOKUP(L$1,Metadata!$A$2:$A1000,Metadata!$B$2:$B1000))),L$1,"""")"),"")</f>
        <v/>
      </c>
      <c r="M285" s="33" t="str">
        <f>IFERROR(__xludf.DUMMYFUNCTION("IF(IF(M$1="""","""",REGEXMATCH(LOWER($E285),XLOOKUP(M$1,Metadata!$A$2:$A1000,Metadata!$B$2:$B1000))),M$1,"""")"),"")</f>
        <v/>
      </c>
      <c r="N285" s="33" t="str">
        <f>IFERROR(__xludf.DUMMYFUNCTION("IF(IF(N$1="""","""",REGEXMATCH(LOWER($E285),XLOOKUP(N$1,Metadata!$A$2:$A1000,Metadata!$B$2:$B1000))),N$1,"""")"),"")</f>
        <v/>
      </c>
      <c r="O285" s="33" t="str">
        <f>IFERROR(__xludf.DUMMYFUNCTION("IF(IF(O$1="""","""",REGEXMATCH(LOWER($E285),XLOOKUP(O$1,Metadata!$A$2:$A1000,Metadata!$B$2:$B1000))),O$1,"""")"),"")</f>
        <v/>
      </c>
      <c r="P285" s="33" t="str">
        <f>IFERROR(__xludf.DUMMYFUNCTION("IF(IF(P$1="""","""",REGEXMATCH(LOWER($E285),XLOOKUP(P$1,Metadata!$A$2:$A1000,Metadata!$B$2:$B1000))),P$1,"""")"),"")</f>
        <v/>
      </c>
      <c r="Q285" s="33" t="str">
        <f>IFERROR(__xludf.DUMMYFUNCTION("IF(IF(Q$1="""","""",REGEXMATCH(LOWER($E285),XLOOKUP(Q$1,Metadata!$A$2:$A1000,Metadata!$B$2:$B1000))),Q$1,"""")"),"Unearth")</f>
        <v>Unearth</v>
      </c>
      <c r="R285" s="33" t="str">
        <f>IFERROR(__xludf.DUMMYFUNCTION("IF(IF(R$1="""","""",REGEXMATCH(LOWER($E285),XLOOKUP(R$1,Metadata!$A$2:$A1000,Metadata!$B$2:$B1000))),R$1,"""")"),"")</f>
        <v/>
      </c>
      <c r="S285" s="33" t="str">
        <f>IFERROR(__xludf.DUMMYFUNCTION("IF(IF(S$1="""","""",REGEXMATCH(LOWER($E285),XLOOKUP(S$1,Metadata!$A$2:$A1000,Metadata!$B$2:$B1000))),S$1,"""")"),"Control")</f>
        <v>Control</v>
      </c>
      <c r="T285" s="33" t="str">
        <f>IFERROR(__xludf.DUMMYFUNCTION("IF(IF(T$1="""","""",REGEXMATCH(LOWER($E285),XLOOKUP(T$1,Metadata!$A$2:$A1000,Metadata!$B$2:$B1000))),T$1,"""")"),"")</f>
        <v/>
      </c>
      <c r="U285" s="33" t="str">
        <f>IFERROR(__xludf.DUMMYFUNCTION("IF(IF(U$1="""","""",REGEXMATCH(LOWER($E285),XLOOKUP(U$1,Metadata!$A$2:$A1000,Metadata!$B$2:$B1000))),U$1,"""")"),"")</f>
        <v/>
      </c>
      <c r="V285" s="33" t="str">
        <f>IFERROR(__xludf.DUMMYFUNCTION("IF(IF(V$1="""","""",REGEXMATCH(LOWER($E285),XLOOKUP(V$1,Metadata!$A$2:$A1000,Metadata!$B$2:$B1000))),V$1,"""")"),"")</f>
        <v/>
      </c>
      <c r="W285" s="33" t="str">
        <f>IFERROR(__xludf.DUMMYFUNCTION("IF(IF(W$1="""","""",REGEXMATCH(LOWER($E285),XLOOKUP(W$1,Metadata!$A$2:$A1000,Metadata!$B$2:$B1000))),W$1,"""")"),"")</f>
        <v/>
      </c>
      <c r="X285" s="33" t="str">
        <f>IFERROR(__xludf.DUMMYFUNCTION("IF(IF(X$1="""","""",REGEXMATCH(LOWER($E285),XLOOKUP(X$1,Metadata!$A$2:$A1000,Metadata!$B$2:$B1000))),X$1,"""")"),"Ambush")</f>
        <v>Ambush</v>
      </c>
      <c r="Y285" s="33" t="str">
        <f>IFERROR(__xludf.DUMMYFUNCTION("IF(IF(Y$1="""","""",REGEXMATCH(LOWER($E285),XLOOKUP(Y$1,Metadata!$A$2:$A1000,Metadata!$B$2:$B1000))),Y$1,"""")"),"")</f>
        <v/>
      </c>
      <c r="Z285" s="33" t="str">
        <f>IFERROR(__xludf.DUMMYFUNCTION("IF(IF(Z$1="""","""",REGEXMATCH(LOWER($E285),XLOOKUP(Z$1,Metadata!$A$2:$A1000,Metadata!$B$2:$B1000))),Z$1,"""")"),"")</f>
        <v/>
      </c>
      <c r="AA285" s="33" t="str">
        <f>IFERROR(__xludf.DUMMYFUNCTION("IF(AA$1="""","""",REGEXMATCH(LOWER($E285),XLOOKUP(AA$1,Metadata!$A$2:$A1000,Metadata!$B$2:$B1000)))"),"")</f>
        <v/>
      </c>
    </row>
    <row r="286">
      <c r="A286" s="33" t="str">
        <f>IFERROR(__xludf.DUMMYFUNCTION("""COMPUTED_VALUE"""),"Champion from Hell")</f>
        <v>Champion from Hell</v>
      </c>
      <c r="B286" s="33" t="str">
        <f t="array" ref="B286:I286">XLOOKUP($A286,Cards!$A$2:$A1000,Cards!$B$2:$I1000,"")</f>
        <v>Void</v>
      </c>
      <c r="C286" s="33">
        <v>2.0</v>
      </c>
      <c r="D286" s="33" t="s">
        <v>1676</v>
      </c>
      <c r="E286" s="33" t="s">
        <v>1677</v>
      </c>
      <c r="F286" s="33" t="s">
        <v>1678</v>
      </c>
      <c r="G286" s="33">
        <v>4.0</v>
      </c>
      <c r="H286" s="33" t="s">
        <v>1679</v>
      </c>
      <c r="I286" s="33" t="s">
        <v>32</v>
      </c>
      <c r="J286" s="33">
        <f>IFERROR(__xludf.DUMMYFUNCTION("LEN(REGEXREPLACE(XLOOKUP($A286,Cards!$A$2:$A1000,Cards!$H$2:$H1000,""""),"",\s"",""""))"),7.0)</f>
        <v>7</v>
      </c>
      <c r="K286" s="33" t="str">
        <f t="shared" si="1"/>
        <v>               </v>
      </c>
      <c r="L286" s="33" t="str">
        <f>IFERROR(__xludf.DUMMYFUNCTION("IF(IF(L$1="""","""",REGEXMATCH(LOWER($E286),XLOOKUP(L$1,Metadata!$A$2:$A1000,Metadata!$B$2:$B1000))),L$1,"""")"),"")</f>
        <v/>
      </c>
      <c r="M286" s="33" t="str">
        <f>IFERROR(__xludf.DUMMYFUNCTION("IF(IF(M$1="""","""",REGEXMATCH(LOWER($E286),XLOOKUP(M$1,Metadata!$A$2:$A1000,Metadata!$B$2:$B1000))),M$1,"""")"),"")</f>
        <v/>
      </c>
      <c r="N286" s="33" t="str">
        <f>IFERROR(__xludf.DUMMYFUNCTION("IF(IF(N$1="""","""",REGEXMATCH(LOWER($E286),XLOOKUP(N$1,Metadata!$A$2:$A1000,Metadata!$B$2:$B1000))),N$1,"""")"),"")</f>
        <v/>
      </c>
      <c r="O286" s="33" t="str">
        <f>IFERROR(__xludf.DUMMYFUNCTION("IF(IF(O$1="""","""",REGEXMATCH(LOWER($E286),XLOOKUP(O$1,Metadata!$A$2:$A1000,Metadata!$B$2:$B1000))),O$1,"""")"),"")</f>
        <v/>
      </c>
      <c r="P286" s="33" t="str">
        <f>IFERROR(__xludf.DUMMYFUNCTION("IF(IF(P$1="""","""",REGEXMATCH(LOWER($E286),XLOOKUP(P$1,Metadata!$A$2:$A1000,Metadata!$B$2:$B1000))),P$1,"""")"),"")</f>
        <v/>
      </c>
      <c r="Q286" s="33" t="str">
        <f>IFERROR(__xludf.DUMMYFUNCTION("IF(IF(Q$1="""","""",REGEXMATCH(LOWER($E286),XLOOKUP(Q$1,Metadata!$A$2:$A1000,Metadata!$B$2:$B1000))),Q$1,"""")"),"")</f>
        <v/>
      </c>
      <c r="R286" s="33" t="str">
        <f>IFERROR(__xludf.DUMMYFUNCTION("IF(IF(R$1="""","""",REGEXMATCH(LOWER($E286),XLOOKUP(R$1,Metadata!$A$2:$A1000,Metadata!$B$2:$B1000))),R$1,"""")"),"")</f>
        <v/>
      </c>
      <c r="S286" s="33" t="str">
        <f>IFERROR(__xludf.DUMMYFUNCTION("IF(IF(S$1="""","""",REGEXMATCH(LOWER($E286),XLOOKUP(S$1,Metadata!$A$2:$A1000,Metadata!$B$2:$B1000))),S$1,"""")"),"")</f>
        <v/>
      </c>
      <c r="T286" s="33" t="str">
        <f>IFERROR(__xludf.DUMMYFUNCTION("IF(IF(T$1="""","""",REGEXMATCH(LOWER($E286),XLOOKUP(T$1,Metadata!$A$2:$A1000,Metadata!$B$2:$B1000))),T$1,"""")"),"")</f>
        <v/>
      </c>
      <c r="U286" s="33" t="str">
        <f>IFERROR(__xludf.DUMMYFUNCTION("IF(IF(U$1="""","""",REGEXMATCH(LOWER($E286),XLOOKUP(U$1,Metadata!$A$2:$A1000,Metadata!$B$2:$B1000))),U$1,"""")"),"")</f>
        <v/>
      </c>
      <c r="V286" s="33" t="str">
        <f>IFERROR(__xludf.DUMMYFUNCTION("IF(IF(V$1="""","""",REGEXMATCH(LOWER($E286),XLOOKUP(V$1,Metadata!$A$2:$A1000,Metadata!$B$2:$B1000))),V$1,"""")"),"")</f>
        <v/>
      </c>
      <c r="W286" s="33" t="str">
        <f>IFERROR(__xludf.DUMMYFUNCTION("IF(IF(W$1="""","""",REGEXMATCH(LOWER($E286),XLOOKUP(W$1,Metadata!$A$2:$A1000,Metadata!$B$2:$B1000))),W$1,"""")"),"")</f>
        <v/>
      </c>
      <c r="X286" s="33" t="str">
        <f>IFERROR(__xludf.DUMMYFUNCTION("IF(IF(X$1="""","""",REGEXMATCH(LOWER($E286),XLOOKUP(X$1,Metadata!$A$2:$A1000,Metadata!$B$2:$B1000))),X$1,"""")"),"")</f>
        <v/>
      </c>
      <c r="Y286" s="33" t="str">
        <f>IFERROR(__xludf.DUMMYFUNCTION("IF(IF(Y$1="""","""",REGEXMATCH(LOWER($E286),XLOOKUP(Y$1,Metadata!$A$2:$A1000,Metadata!$B$2:$B1000))),Y$1,"""")"),"")</f>
        <v/>
      </c>
      <c r="Z286" s="33" t="str">
        <f>IFERROR(__xludf.DUMMYFUNCTION("IF(IF(Z$1="""","""",REGEXMATCH(LOWER($E286),XLOOKUP(Z$1,Metadata!$A$2:$A1000,Metadata!$B$2:$B1000))),Z$1,"""")"),"")</f>
        <v/>
      </c>
      <c r="AA286" s="33" t="str">
        <f>IFERROR(__xludf.DUMMYFUNCTION("IF(AA$1="""","""",REGEXMATCH(LOWER($E286),XLOOKUP(AA$1,Metadata!$A$2:$A1000,Metadata!$B$2:$B1000)))"),"")</f>
        <v/>
      </c>
    </row>
    <row r="287">
      <c r="A287" s="33" t="str">
        <f>IFERROR(__xludf.DUMMYFUNCTION("""COMPUTED_VALUE"""),"Colorgorger")</f>
        <v>Colorgorger</v>
      </c>
      <c r="B287" s="33" t="str">
        <f t="array" ref="B287:I287">XLOOKUP($A287,Cards!$A$2:$A1000,Cards!$B$2:$I1000,"")</f>
        <v>Void</v>
      </c>
      <c r="C287" s="33">
        <v>2.0</v>
      </c>
      <c r="D287" s="33" t="s">
        <v>1681</v>
      </c>
      <c r="E287" s="33" t="s">
        <v>1682</v>
      </c>
      <c r="F287" s="33" t="s">
        <v>1683</v>
      </c>
      <c r="G287" s="33">
        <v>3.0</v>
      </c>
      <c r="H287" s="33" t="s">
        <v>1684</v>
      </c>
      <c r="I287" s="33" t="s">
        <v>62</v>
      </c>
      <c r="J287" s="33">
        <f>IFERROR(__xludf.DUMMYFUNCTION("LEN(REGEXREPLACE(XLOOKUP($A287,Cards!$A$2:$A1000,Cards!$H$2:$H1000,""""),"",\s"",""""))"),3.0)</f>
        <v>3</v>
      </c>
      <c r="K287" s="33" t="str">
        <f t="shared" si="1"/>
        <v>      Ramp Control   Empty-Crystal  Ambush   </v>
      </c>
      <c r="L287" s="33" t="str">
        <f>IFERROR(__xludf.DUMMYFUNCTION("IF(IF(L$1="""","""",REGEXMATCH(LOWER($E287),XLOOKUP(L$1,Metadata!$A$2:$A1000,Metadata!$B$2:$B1000))),L$1,"""")"),"")</f>
        <v/>
      </c>
      <c r="M287" s="33" t="str">
        <f>IFERROR(__xludf.DUMMYFUNCTION("IF(IF(M$1="""","""",REGEXMATCH(LOWER($E287),XLOOKUP(M$1,Metadata!$A$2:$A1000,Metadata!$B$2:$B1000))),M$1,"""")"),"")</f>
        <v/>
      </c>
      <c r="N287" s="33" t="str">
        <f>IFERROR(__xludf.DUMMYFUNCTION("IF(IF(N$1="""","""",REGEXMATCH(LOWER($E287),XLOOKUP(N$1,Metadata!$A$2:$A1000,Metadata!$B$2:$B1000))),N$1,"""")"),"")</f>
        <v/>
      </c>
      <c r="O287" s="33" t="str">
        <f>IFERROR(__xludf.DUMMYFUNCTION("IF(IF(O$1="""","""",REGEXMATCH(LOWER($E287),XLOOKUP(O$1,Metadata!$A$2:$A1000,Metadata!$B$2:$B1000))),O$1,"""")"),"")</f>
        <v/>
      </c>
      <c r="P287" s="33" t="str">
        <f>IFERROR(__xludf.DUMMYFUNCTION("IF(IF(P$1="""","""",REGEXMATCH(LOWER($E287),XLOOKUP(P$1,Metadata!$A$2:$A1000,Metadata!$B$2:$B1000))),P$1,"""")"),"")</f>
        <v/>
      </c>
      <c r="Q287" s="33" t="str">
        <f>IFERROR(__xludf.DUMMYFUNCTION("IF(IF(Q$1="""","""",REGEXMATCH(LOWER($E287),XLOOKUP(Q$1,Metadata!$A$2:$A1000,Metadata!$B$2:$B1000))),Q$1,"""")"),"")</f>
        <v/>
      </c>
      <c r="R287" s="33" t="str">
        <f>IFERROR(__xludf.DUMMYFUNCTION("IF(IF(R$1="""","""",REGEXMATCH(LOWER($E287),XLOOKUP(R$1,Metadata!$A$2:$A1000,Metadata!$B$2:$B1000))),R$1,"""")"),"Ramp")</f>
        <v>Ramp</v>
      </c>
      <c r="S287" s="33" t="str">
        <f>IFERROR(__xludf.DUMMYFUNCTION("IF(IF(S$1="""","""",REGEXMATCH(LOWER($E287),XLOOKUP(S$1,Metadata!$A$2:$A1000,Metadata!$B$2:$B1000))),S$1,"""")"),"Control")</f>
        <v>Control</v>
      </c>
      <c r="T287" s="33" t="str">
        <f>IFERROR(__xludf.DUMMYFUNCTION("IF(IF(T$1="""","""",REGEXMATCH(LOWER($E287),XLOOKUP(T$1,Metadata!$A$2:$A1000,Metadata!$B$2:$B1000))),T$1,"""")"),"")</f>
        <v/>
      </c>
      <c r="U287" s="33" t="str">
        <f>IFERROR(__xludf.DUMMYFUNCTION("IF(IF(U$1="""","""",REGEXMATCH(LOWER($E287),XLOOKUP(U$1,Metadata!$A$2:$A1000,Metadata!$B$2:$B1000))),U$1,"""")"),"")</f>
        <v/>
      </c>
      <c r="V287" s="33" t="str">
        <f>IFERROR(__xludf.DUMMYFUNCTION("IF(IF(V$1="""","""",REGEXMATCH(LOWER($E287),XLOOKUP(V$1,Metadata!$A$2:$A1000,Metadata!$B$2:$B1000))),V$1,"""")"),"Empty-Crystal")</f>
        <v>Empty-Crystal</v>
      </c>
      <c r="W287" s="33" t="str">
        <f>IFERROR(__xludf.DUMMYFUNCTION("IF(IF(W$1="""","""",REGEXMATCH(LOWER($E287),XLOOKUP(W$1,Metadata!$A$2:$A1000,Metadata!$B$2:$B1000))),W$1,"""")"),"")</f>
        <v/>
      </c>
      <c r="X287" s="33" t="str">
        <f>IFERROR(__xludf.DUMMYFUNCTION("IF(IF(X$1="""","""",REGEXMATCH(LOWER($E287),XLOOKUP(X$1,Metadata!$A$2:$A1000,Metadata!$B$2:$B1000))),X$1,"""")"),"Ambush")</f>
        <v>Ambush</v>
      </c>
      <c r="Y287" s="33" t="str">
        <f>IFERROR(__xludf.DUMMYFUNCTION("IF(IF(Y$1="""","""",REGEXMATCH(LOWER($E287),XLOOKUP(Y$1,Metadata!$A$2:$A1000,Metadata!$B$2:$B1000))),Y$1,"""")"),"")</f>
        <v/>
      </c>
      <c r="Z287" s="33" t="str">
        <f>IFERROR(__xludf.DUMMYFUNCTION("IF(IF(Z$1="""","""",REGEXMATCH(LOWER($E287),XLOOKUP(Z$1,Metadata!$A$2:$A1000,Metadata!$B$2:$B1000))),Z$1,"""")"),"")</f>
        <v/>
      </c>
      <c r="AA287" s="33" t="str">
        <f>IFERROR(__xludf.DUMMYFUNCTION("IF(AA$1="""","""",REGEXMATCH(LOWER($E287),XLOOKUP(AA$1,Metadata!$A$2:$A1000,Metadata!$B$2:$B1000)))"),"")</f>
        <v/>
      </c>
    </row>
    <row r="288">
      <c r="A288" s="33" t="str">
        <f>IFERROR(__xludf.DUMMYFUNCTION("""COMPUTED_VALUE"""),"Dark Spoon")</f>
        <v>Dark Spoon</v>
      </c>
      <c r="B288" s="33" t="str">
        <f t="array" ref="B288:I288">XLOOKUP($A288,Cards!$A$2:$A1000,Cards!$B$2:$I1000,"")</f>
        <v>Void</v>
      </c>
      <c r="C288" s="33">
        <v>2.0</v>
      </c>
      <c r="D288" s="33" t="s">
        <v>160</v>
      </c>
      <c r="E288" s="33" t="s">
        <v>1686</v>
      </c>
      <c r="F288" s="33" t="s">
        <v>1687</v>
      </c>
      <c r="G288" s="33">
        <v>0.0</v>
      </c>
      <c r="H288" s="33" t="s">
        <v>1688</v>
      </c>
      <c r="I288" s="33" t="s">
        <v>62</v>
      </c>
      <c r="J288" s="33">
        <f>IFERROR(__xludf.DUMMYFUNCTION("LEN(REGEXREPLACE(XLOOKUP($A288,Cards!$A$2:$A1000,Cards!$H$2:$H1000,""""),"",\s"",""""))"),2.0)</f>
        <v>2</v>
      </c>
      <c r="K288" s="33" t="str">
        <f t="shared" si="1"/>
        <v>               </v>
      </c>
      <c r="L288" s="33" t="str">
        <f>IFERROR(__xludf.DUMMYFUNCTION("IF(IF(L$1="""","""",REGEXMATCH(LOWER($E288),XLOOKUP(L$1,Metadata!$A$2:$A1000,Metadata!$B$2:$B1000))),L$1,"""")"),"")</f>
        <v/>
      </c>
      <c r="M288" s="33" t="str">
        <f>IFERROR(__xludf.DUMMYFUNCTION("IF(IF(M$1="""","""",REGEXMATCH(LOWER($E288),XLOOKUP(M$1,Metadata!$A$2:$A1000,Metadata!$B$2:$B1000))),M$1,"""")"),"")</f>
        <v/>
      </c>
      <c r="N288" s="33" t="str">
        <f>IFERROR(__xludf.DUMMYFUNCTION("IF(IF(N$1="""","""",REGEXMATCH(LOWER($E288),XLOOKUP(N$1,Metadata!$A$2:$A1000,Metadata!$B$2:$B1000))),N$1,"""")"),"")</f>
        <v/>
      </c>
      <c r="O288" s="33" t="str">
        <f>IFERROR(__xludf.DUMMYFUNCTION("IF(IF(O$1="""","""",REGEXMATCH(LOWER($E288),XLOOKUP(O$1,Metadata!$A$2:$A1000,Metadata!$B$2:$B1000))),O$1,"""")"),"")</f>
        <v/>
      </c>
      <c r="P288" s="33" t="str">
        <f>IFERROR(__xludf.DUMMYFUNCTION("IF(IF(P$1="""","""",REGEXMATCH(LOWER($E288),XLOOKUP(P$1,Metadata!$A$2:$A1000,Metadata!$B$2:$B1000))),P$1,"""")"),"")</f>
        <v/>
      </c>
      <c r="Q288" s="33" t="str">
        <f>IFERROR(__xludf.DUMMYFUNCTION("IF(IF(Q$1="""","""",REGEXMATCH(LOWER($E288),XLOOKUP(Q$1,Metadata!$A$2:$A1000,Metadata!$B$2:$B1000))),Q$1,"""")"),"")</f>
        <v/>
      </c>
      <c r="R288" s="33" t="str">
        <f>IFERROR(__xludf.DUMMYFUNCTION("IF(IF(R$1="""","""",REGEXMATCH(LOWER($E288),XLOOKUP(R$1,Metadata!$A$2:$A1000,Metadata!$B$2:$B1000))),R$1,"""")"),"")</f>
        <v/>
      </c>
      <c r="S288" s="33" t="str">
        <f>IFERROR(__xludf.DUMMYFUNCTION("IF(IF(S$1="""","""",REGEXMATCH(LOWER($E288),XLOOKUP(S$1,Metadata!$A$2:$A1000,Metadata!$B$2:$B1000))),S$1,"""")"),"")</f>
        <v/>
      </c>
      <c r="T288" s="33" t="str">
        <f>IFERROR(__xludf.DUMMYFUNCTION("IF(IF(T$1="""","""",REGEXMATCH(LOWER($E288),XLOOKUP(T$1,Metadata!$A$2:$A1000,Metadata!$B$2:$B1000))),T$1,"""")"),"")</f>
        <v/>
      </c>
      <c r="U288" s="33" t="str">
        <f>IFERROR(__xludf.DUMMYFUNCTION("IF(IF(U$1="""","""",REGEXMATCH(LOWER($E288),XLOOKUP(U$1,Metadata!$A$2:$A1000,Metadata!$B$2:$B1000))),U$1,"""")"),"")</f>
        <v/>
      </c>
      <c r="V288" s="33" t="str">
        <f>IFERROR(__xludf.DUMMYFUNCTION("IF(IF(V$1="""","""",REGEXMATCH(LOWER($E288),XLOOKUP(V$1,Metadata!$A$2:$A1000,Metadata!$B$2:$B1000))),V$1,"""")"),"")</f>
        <v/>
      </c>
      <c r="W288" s="33" t="str">
        <f>IFERROR(__xludf.DUMMYFUNCTION("IF(IF(W$1="""","""",REGEXMATCH(LOWER($E288),XLOOKUP(W$1,Metadata!$A$2:$A1000,Metadata!$B$2:$B1000))),W$1,"""")"),"")</f>
        <v/>
      </c>
      <c r="X288" s="33" t="str">
        <f>IFERROR(__xludf.DUMMYFUNCTION("IF(IF(X$1="""","""",REGEXMATCH(LOWER($E288),XLOOKUP(X$1,Metadata!$A$2:$A1000,Metadata!$B$2:$B1000))),X$1,"""")"),"")</f>
        <v/>
      </c>
      <c r="Y288" s="33" t="str">
        <f>IFERROR(__xludf.DUMMYFUNCTION("IF(IF(Y$1="""","""",REGEXMATCH(LOWER($E288),XLOOKUP(Y$1,Metadata!$A$2:$A1000,Metadata!$B$2:$B1000))),Y$1,"""")"),"")</f>
        <v/>
      </c>
      <c r="Z288" s="33" t="str">
        <f>IFERROR(__xludf.DUMMYFUNCTION("IF(IF(Z$1="""","""",REGEXMATCH(LOWER($E288),XLOOKUP(Z$1,Metadata!$A$2:$A1000,Metadata!$B$2:$B1000))),Z$1,"""")"),"")</f>
        <v/>
      </c>
      <c r="AA288" s="33" t="str">
        <f>IFERROR(__xludf.DUMMYFUNCTION("IF(AA$1="""","""",REGEXMATCH(LOWER($E288),XLOOKUP(AA$1,Metadata!$A$2:$A1000,Metadata!$B$2:$B1000)))"),"")</f>
        <v/>
      </c>
    </row>
    <row r="289">
      <c r="A289" s="33" t="str">
        <f>IFERROR(__xludf.DUMMYFUNCTION("""COMPUTED_VALUE"""),"Dawnbreak Wendigo")</f>
        <v>Dawnbreak Wendigo</v>
      </c>
      <c r="B289" s="33" t="str">
        <f t="array" ref="B289:I289">XLOOKUP($A289,Cards!$A$2:$A1000,Cards!$B$2:$I1000,"")</f>
        <v>Void</v>
      </c>
      <c r="C289" s="33">
        <v>2.0</v>
      </c>
      <c r="D289" s="33" t="s">
        <v>107</v>
      </c>
      <c r="E289" s="33" t="s">
        <v>1690</v>
      </c>
      <c r="F289" s="33" t="s">
        <v>1691</v>
      </c>
      <c r="G289" s="33">
        <v>3.0</v>
      </c>
      <c r="H289" s="33" t="s">
        <v>1684</v>
      </c>
      <c r="I289" s="33" t="s">
        <v>26</v>
      </c>
      <c r="J289" s="33">
        <f>IFERROR(__xludf.DUMMYFUNCTION("LEN(REGEXREPLACE(XLOOKUP($A289,Cards!$A$2:$A1000,Cards!$H$2:$H1000,""""),"",\s"",""""))"),3.0)</f>
        <v>3</v>
      </c>
      <c r="K289" s="33" t="str">
        <f t="shared" si="1"/>
        <v>               </v>
      </c>
      <c r="L289" s="33" t="str">
        <f>IFERROR(__xludf.DUMMYFUNCTION("IF(IF(L$1="""","""",REGEXMATCH(LOWER($E289),XLOOKUP(L$1,Metadata!$A$2:$A1000,Metadata!$B$2:$B1000))),L$1,"""")"),"")</f>
        <v/>
      </c>
      <c r="M289" s="33" t="str">
        <f>IFERROR(__xludf.DUMMYFUNCTION("IF(IF(M$1="""","""",REGEXMATCH(LOWER($E289),XLOOKUP(M$1,Metadata!$A$2:$A1000,Metadata!$B$2:$B1000))),M$1,"""")"),"")</f>
        <v/>
      </c>
      <c r="N289" s="33" t="str">
        <f>IFERROR(__xludf.DUMMYFUNCTION("IF(IF(N$1="""","""",REGEXMATCH(LOWER($E289),XLOOKUP(N$1,Metadata!$A$2:$A1000,Metadata!$B$2:$B1000))),N$1,"""")"),"")</f>
        <v/>
      </c>
      <c r="O289" s="33" t="str">
        <f>IFERROR(__xludf.DUMMYFUNCTION("IF(IF(O$1="""","""",REGEXMATCH(LOWER($E289),XLOOKUP(O$1,Metadata!$A$2:$A1000,Metadata!$B$2:$B1000))),O$1,"""")"),"")</f>
        <v/>
      </c>
      <c r="P289" s="33" t="str">
        <f>IFERROR(__xludf.DUMMYFUNCTION("IF(IF(P$1="""","""",REGEXMATCH(LOWER($E289),XLOOKUP(P$1,Metadata!$A$2:$A1000,Metadata!$B$2:$B1000))),P$1,"""")"),"")</f>
        <v/>
      </c>
      <c r="Q289" s="33" t="str">
        <f>IFERROR(__xludf.DUMMYFUNCTION("IF(IF(Q$1="""","""",REGEXMATCH(LOWER($E289),XLOOKUP(Q$1,Metadata!$A$2:$A1000,Metadata!$B$2:$B1000))),Q$1,"""")"),"")</f>
        <v/>
      </c>
      <c r="R289" s="33" t="str">
        <f>IFERROR(__xludf.DUMMYFUNCTION("IF(IF(R$1="""","""",REGEXMATCH(LOWER($E289),XLOOKUP(R$1,Metadata!$A$2:$A1000,Metadata!$B$2:$B1000))),R$1,"""")"),"")</f>
        <v/>
      </c>
      <c r="S289" s="33" t="str">
        <f>IFERROR(__xludf.DUMMYFUNCTION("IF(IF(S$1="""","""",REGEXMATCH(LOWER($E289),XLOOKUP(S$1,Metadata!$A$2:$A1000,Metadata!$B$2:$B1000))),S$1,"""")"),"")</f>
        <v/>
      </c>
      <c r="T289" s="33" t="str">
        <f>IFERROR(__xludf.DUMMYFUNCTION("IF(IF(T$1="""","""",REGEXMATCH(LOWER($E289),XLOOKUP(T$1,Metadata!$A$2:$A1000,Metadata!$B$2:$B1000))),T$1,"""")"),"")</f>
        <v/>
      </c>
      <c r="U289" s="33" t="str">
        <f>IFERROR(__xludf.DUMMYFUNCTION("IF(IF(U$1="""","""",REGEXMATCH(LOWER($E289),XLOOKUP(U$1,Metadata!$A$2:$A1000,Metadata!$B$2:$B1000))),U$1,"""")"),"")</f>
        <v/>
      </c>
      <c r="V289" s="33" t="str">
        <f>IFERROR(__xludf.DUMMYFUNCTION("IF(IF(V$1="""","""",REGEXMATCH(LOWER($E289),XLOOKUP(V$1,Metadata!$A$2:$A1000,Metadata!$B$2:$B1000))),V$1,"""")"),"")</f>
        <v/>
      </c>
      <c r="W289" s="33" t="str">
        <f>IFERROR(__xludf.DUMMYFUNCTION("IF(IF(W$1="""","""",REGEXMATCH(LOWER($E289),XLOOKUP(W$1,Metadata!$A$2:$A1000,Metadata!$B$2:$B1000))),W$1,"""")"),"")</f>
        <v/>
      </c>
      <c r="X289" s="33" t="str">
        <f>IFERROR(__xludf.DUMMYFUNCTION("IF(IF(X$1="""","""",REGEXMATCH(LOWER($E289),XLOOKUP(X$1,Metadata!$A$2:$A1000,Metadata!$B$2:$B1000))),X$1,"""")"),"")</f>
        <v/>
      </c>
      <c r="Y289" s="33" t="str">
        <f>IFERROR(__xludf.DUMMYFUNCTION("IF(IF(Y$1="""","""",REGEXMATCH(LOWER($E289),XLOOKUP(Y$1,Metadata!$A$2:$A1000,Metadata!$B$2:$B1000))),Y$1,"""")"),"")</f>
        <v/>
      </c>
      <c r="Z289" s="33" t="str">
        <f>IFERROR(__xludf.DUMMYFUNCTION("IF(IF(Z$1="""","""",REGEXMATCH(LOWER($E289),XLOOKUP(Z$1,Metadata!$A$2:$A1000,Metadata!$B$2:$B1000))),Z$1,"""")"),"")</f>
        <v/>
      </c>
      <c r="AA289" s="33" t="str">
        <f>IFERROR(__xludf.DUMMYFUNCTION("IF(AA$1="""","""",REGEXMATCH(LOWER($E289),XLOOKUP(AA$1,Metadata!$A$2:$A1000,Metadata!$B$2:$B1000)))"),"")</f>
        <v/>
      </c>
    </row>
    <row r="290">
      <c r="A290" s="33" t="str">
        <f>IFERROR(__xludf.DUMMYFUNCTION("""COMPUTED_VALUE"""),"Depthdragger")</f>
        <v>Depthdragger</v>
      </c>
      <c r="B290" s="33" t="str">
        <f t="array" ref="B290:I290">XLOOKUP($A290,Cards!$A$2:$A1000,Cards!$B$2:$I1000,"")</f>
        <v>Void</v>
      </c>
      <c r="C290" s="33">
        <v>2.0</v>
      </c>
      <c r="D290" s="33" t="s">
        <v>927</v>
      </c>
      <c r="E290" s="33" t="s">
        <v>1693</v>
      </c>
      <c r="F290" s="33" t="s">
        <v>1694</v>
      </c>
      <c r="G290" s="33">
        <v>0.0</v>
      </c>
      <c r="H290" s="33" t="s">
        <v>1688</v>
      </c>
      <c r="I290" s="33" t="s">
        <v>62</v>
      </c>
      <c r="J290" s="33">
        <f>IFERROR(__xludf.DUMMYFUNCTION("LEN(REGEXREPLACE(XLOOKUP($A290,Cards!$A$2:$A1000,Cards!$H$2:$H1000,""""),"",\s"",""""))"),2.0)</f>
        <v>2</v>
      </c>
      <c r="K290" s="33" t="str">
        <f t="shared" si="1"/>
        <v>               </v>
      </c>
      <c r="L290" s="33" t="str">
        <f>IFERROR(__xludf.DUMMYFUNCTION("IF(IF(L$1="""","""",REGEXMATCH(LOWER($E290),XLOOKUP(L$1,Metadata!$A$2:$A1000,Metadata!$B$2:$B1000))),L$1,"""")"),"")</f>
        <v/>
      </c>
      <c r="M290" s="33" t="str">
        <f>IFERROR(__xludf.DUMMYFUNCTION("IF(IF(M$1="""","""",REGEXMATCH(LOWER($E290),XLOOKUP(M$1,Metadata!$A$2:$A1000,Metadata!$B$2:$B1000))),M$1,"""")"),"")</f>
        <v/>
      </c>
      <c r="N290" s="33" t="str">
        <f>IFERROR(__xludf.DUMMYFUNCTION("IF(IF(N$1="""","""",REGEXMATCH(LOWER($E290),XLOOKUP(N$1,Metadata!$A$2:$A1000,Metadata!$B$2:$B1000))),N$1,"""")"),"")</f>
        <v/>
      </c>
      <c r="O290" s="33" t="str">
        <f>IFERROR(__xludf.DUMMYFUNCTION("IF(IF(O$1="""","""",REGEXMATCH(LOWER($E290),XLOOKUP(O$1,Metadata!$A$2:$A1000,Metadata!$B$2:$B1000))),O$1,"""")"),"")</f>
        <v/>
      </c>
      <c r="P290" s="33" t="str">
        <f>IFERROR(__xludf.DUMMYFUNCTION("IF(IF(P$1="""","""",REGEXMATCH(LOWER($E290),XLOOKUP(P$1,Metadata!$A$2:$A1000,Metadata!$B$2:$B1000))),P$1,"""")"),"")</f>
        <v/>
      </c>
      <c r="Q290" s="33" t="str">
        <f>IFERROR(__xludf.DUMMYFUNCTION("IF(IF(Q$1="""","""",REGEXMATCH(LOWER($E290),XLOOKUP(Q$1,Metadata!$A$2:$A1000,Metadata!$B$2:$B1000))),Q$1,"""")"),"")</f>
        <v/>
      </c>
      <c r="R290" s="33" t="str">
        <f>IFERROR(__xludf.DUMMYFUNCTION("IF(IF(R$1="""","""",REGEXMATCH(LOWER($E290),XLOOKUP(R$1,Metadata!$A$2:$A1000,Metadata!$B$2:$B1000))),R$1,"""")"),"")</f>
        <v/>
      </c>
      <c r="S290" s="33" t="str">
        <f>IFERROR(__xludf.DUMMYFUNCTION("IF(IF(S$1="""","""",REGEXMATCH(LOWER($E290),XLOOKUP(S$1,Metadata!$A$2:$A1000,Metadata!$B$2:$B1000))),S$1,"""")"),"")</f>
        <v/>
      </c>
      <c r="T290" s="33" t="str">
        <f>IFERROR(__xludf.DUMMYFUNCTION("IF(IF(T$1="""","""",REGEXMATCH(LOWER($E290),XLOOKUP(T$1,Metadata!$A$2:$A1000,Metadata!$B$2:$B1000))),T$1,"""")"),"")</f>
        <v/>
      </c>
      <c r="U290" s="33" t="str">
        <f>IFERROR(__xludf.DUMMYFUNCTION("IF(IF(U$1="""","""",REGEXMATCH(LOWER($E290),XLOOKUP(U$1,Metadata!$A$2:$A1000,Metadata!$B$2:$B1000))),U$1,"""")"),"")</f>
        <v/>
      </c>
      <c r="V290" s="33" t="str">
        <f>IFERROR(__xludf.DUMMYFUNCTION("IF(IF(V$1="""","""",REGEXMATCH(LOWER($E290),XLOOKUP(V$1,Metadata!$A$2:$A1000,Metadata!$B$2:$B1000))),V$1,"""")"),"")</f>
        <v/>
      </c>
      <c r="W290" s="33" t="str">
        <f>IFERROR(__xludf.DUMMYFUNCTION("IF(IF(W$1="""","""",REGEXMATCH(LOWER($E290),XLOOKUP(W$1,Metadata!$A$2:$A1000,Metadata!$B$2:$B1000))),W$1,"""")"),"")</f>
        <v/>
      </c>
      <c r="X290" s="33" t="str">
        <f>IFERROR(__xludf.DUMMYFUNCTION("IF(IF(X$1="""","""",REGEXMATCH(LOWER($E290),XLOOKUP(X$1,Metadata!$A$2:$A1000,Metadata!$B$2:$B1000))),X$1,"""")"),"")</f>
        <v/>
      </c>
      <c r="Y290" s="33" t="str">
        <f>IFERROR(__xludf.DUMMYFUNCTION("IF(IF(Y$1="""","""",REGEXMATCH(LOWER($E290),XLOOKUP(Y$1,Metadata!$A$2:$A1000,Metadata!$B$2:$B1000))),Y$1,"""")"),"")</f>
        <v/>
      </c>
      <c r="Z290" s="33" t="str">
        <f>IFERROR(__xludf.DUMMYFUNCTION("IF(IF(Z$1="""","""",REGEXMATCH(LOWER($E290),XLOOKUP(Z$1,Metadata!$A$2:$A1000,Metadata!$B$2:$B1000))),Z$1,"""")"),"")</f>
        <v/>
      </c>
      <c r="AA290" s="33" t="str">
        <f>IFERROR(__xludf.DUMMYFUNCTION("IF(AA$1="""","""",REGEXMATCH(LOWER($E290),XLOOKUP(AA$1,Metadata!$A$2:$A1000,Metadata!$B$2:$B1000)))"),"")</f>
        <v/>
      </c>
    </row>
    <row r="291">
      <c r="A291" s="33" t="str">
        <f>IFERROR(__xludf.DUMMYFUNCTION("""COMPUTED_VALUE"""),"Discarded Abomination")</f>
        <v>Discarded Abomination</v>
      </c>
      <c r="B291" s="33" t="str">
        <f t="array" ref="B291:I291">XLOOKUP($A291,Cards!$A$2:$A1000,Cards!$B$2:$I1000,"")</f>
        <v>Void</v>
      </c>
      <c r="C291" s="33">
        <v>2.0</v>
      </c>
      <c r="D291" s="33" t="s">
        <v>107</v>
      </c>
      <c r="E291" s="33" t="s">
        <v>1696</v>
      </c>
      <c r="F291" s="33" t="s">
        <v>611</v>
      </c>
      <c r="G291" s="33">
        <v>4.0</v>
      </c>
      <c r="H291" s="33" t="s">
        <v>1697</v>
      </c>
      <c r="I291" s="33" t="s">
        <v>26</v>
      </c>
      <c r="J291" s="33">
        <f>IFERROR(__xludf.DUMMYFUNCTION("LEN(REGEXREPLACE(XLOOKUP($A291,Cards!$A$2:$A1000,Cards!$H$2:$H1000,""""),"",\s"",""""))"),5.0)</f>
        <v>5</v>
      </c>
      <c r="K291" s="33" t="str">
        <f t="shared" si="1"/>
        <v>      Ramp         </v>
      </c>
      <c r="L291" s="33" t="str">
        <f>IFERROR(__xludf.DUMMYFUNCTION("IF(IF(L$1="""","""",REGEXMATCH(LOWER($E291),XLOOKUP(L$1,Metadata!$A$2:$A1000,Metadata!$B$2:$B1000))),L$1,"""")"),"")</f>
        <v/>
      </c>
      <c r="M291" s="33" t="str">
        <f>IFERROR(__xludf.DUMMYFUNCTION("IF(IF(M$1="""","""",REGEXMATCH(LOWER($E291),XLOOKUP(M$1,Metadata!$A$2:$A1000,Metadata!$B$2:$B1000))),M$1,"""")"),"")</f>
        <v/>
      </c>
      <c r="N291" s="33" t="str">
        <f>IFERROR(__xludf.DUMMYFUNCTION("IF(IF(N$1="""","""",REGEXMATCH(LOWER($E291),XLOOKUP(N$1,Metadata!$A$2:$A1000,Metadata!$B$2:$B1000))),N$1,"""")"),"")</f>
        <v/>
      </c>
      <c r="O291" s="33" t="str">
        <f>IFERROR(__xludf.DUMMYFUNCTION("IF(IF(O$1="""","""",REGEXMATCH(LOWER($E291),XLOOKUP(O$1,Metadata!$A$2:$A1000,Metadata!$B$2:$B1000))),O$1,"""")"),"")</f>
        <v/>
      </c>
      <c r="P291" s="33" t="str">
        <f>IFERROR(__xludf.DUMMYFUNCTION("IF(IF(P$1="""","""",REGEXMATCH(LOWER($E291),XLOOKUP(P$1,Metadata!$A$2:$A1000,Metadata!$B$2:$B1000))),P$1,"""")"),"")</f>
        <v/>
      </c>
      <c r="Q291" s="33" t="str">
        <f>IFERROR(__xludf.DUMMYFUNCTION("IF(IF(Q$1="""","""",REGEXMATCH(LOWER($E291),XLOOKUP(Q$1,Metadata!$A$2:$A1000,Metadata!$B$2:$B1000))),Q$1,"""")"),"")</f>
        <v/>
      </c>
      <c r="R291" s="33" t="str">
        <f>IFERROR(__xludf.DUMMYFUNCTION("IF(IF(R$1="""","""",REGEXMATCH(LOWER($E291),XLOOKUP(R$1,Metadata!$A$2:$A1000,Metadata!$B$2:$B1000))),R$1,"""")"),"Ramp")</f>
        <v>Ramp</v>
      </c>
      <c r="S291" s="33" t="str">
        <f>IFERROR(__xludf.DUMMYFUNCTION("IF(IF(S$1="""","""",REGEXMATCH(LOWER($E291),XLOOKUP(S$1,Metadata!$A$2:$A1000,Metadata!$B$2:$B1000))),S$1,"""")"),"")</f>
        <v/>
      </c>
      <c r="T291" s="33" t="str">
        <f>IFERROR(__xludf.DUMMYFUNCTION("IF(IF(T$1="""","""",REGEXMATCH(LOWER($E291),XLOOKUP(T$1,Metadata!$A$2:$A1000,Metadata!$B$2:$B1000))),T$1,"""")"),"")</f>
        <v/>
      </c>
      <c r="U291" s="33" t="str">
        <f>IFERROR(__xludf.DUMMYFUNCTION("IF(IF(U$1="""","""",REGEXMATCH(LOWER($E291),XLOOKUP(U$1,Metadata!$A$2:$A1000,Metadata!$B$2:$B1000))),U$1,"""")"),"")</f>
        <v/>
      </c>
      <c r="V291" s="33" t="str">
        <f>IFERROR(__xludf.DUMMYFUNCTION("IF(IF(V$1="""","""",REGEXMATCH(LOWER($E291),XLOOKUP(V$1,Metadata!$A$2:$A1000,Metadata!$B$2:$B1000))),V$1,"""")"),"")</f>
        <v/>
      </c>
      <c r="W291" s="33" t="str">
        <f>IFERROR(__xludf.DUMMYFUNCTION("IF(IF(W$1="""","""",REGEXMATCH(LOWER($E291),XLOOKUP(W$1,Metadata!$A$2:$A1000,Metadata!$B$2:$B1000))),W$1,"""")"),"")</f>
        <v/>
      </c>
      <c r="X291" s="33" t="str">
        <f>IFERROR(__xludf.DUMMYFUNCTION("IF(IF(X$1="""","""",REGEXMATCH(LOWER($E291),XLOOKUP(X$1,Metadata!$A$2:$A1000,Metadata!$B$2:$B1000))),X$1,"""")"),"")</f>
        <v/>
      </c>
      <c r="Y291" s="33" t="str">
        <f>IFERROR(__xludf.DUMMYFUNCTION("IF(IF(Y$1="""","""",REGEXMATCH(LOWER($E291),XLOOKUP(Y$1,Metadata!$A$2:$A1000,Metadata!$B$2:$B1000))),Y$1,"""")"),"")</f>
        <v/>
      </c>
      <c r="Z291" s="33" t="str">
        <f>IFERROR(__xludf.DUMMYFUNCTION("IF(IF(Z$1="""","""",REGEXMATCH(LOWER($E291),XLOOKUP(Z$1,Metadata!$A$2:$A1000,Metadata!$B$2:$B1000))),Z$1,"""")"),"")</f>
        <v/>
      </c>
      <c r="AA291" s="33" t="str">
        <f>IFERROR(__xludf.DUMMYFUNCTION("IF(AA$1="""","""",REGEXMATCH(LOWER($E291),XLOOKUP(AA$1,Metadata!$A$2:$A1000,Metadata!$B$2:$B1000)))"),"")</f>
        <v/>
      </c>
    </row>
    <row r="292">
      <c r="A292" s="33" t="str">
        <f>IFERROR(__xludf.DUMMYFUNCTION("""COMPUTED_VALUE"""),"Doomgaze Overlord")</f>
        <v>Doomgaze Overlord</v>
      </c>
      <c r="B292" s="33" t="str">
        <f t="array" ref="B292:I292">XLOOKUP($A292,Cards!$A$2:$A1000,Cards!$B$2:$I1000,"")</f>
        <v>Void</v>
      </c>
      <c r="C292" s="33">
        <v>2.0</v>
      </c>
      <c r="D292" s="33" t="s">
        <v>1681</v>
      </c>
      <c r="E292" s="33" t="s">
        <v>1699</v>
      </c>
      <c r="F292" s="33" t="s">
        <v>611</v>
      </c>
      <c r="G292" s="33">
        <v>1.0</v>
      </c>
      <c r="H292" s="33" t="s">
        <v>1700</v>
      </c>
      <c r="I292" s="33" t="s">
        <v>32</v>
      </c>
      <c r="J292" s="33">
        <f>IFERROR(__xludf.DUMMYFUNCTION("LEN(REGEXREPLACE(XLOOKUP($A292,Cards!$A$2:$A1000,Cards!$H$2:$H1000,""""),"",\s"",""""))"),6.0)</f>
        <v>6</v>
      </c>
      <c r="K292" s="33" t="str">
        <f t="shared" si="1"/>
        <v>               </v>
      </c>
      <c r="L292" s="33" t="str">
        <f>IFERROR(__xludf.DUMMYFUNCTION("IF(IF(L$1="""","""",REGEXMATCH(LOWER($E292),XLOOKUP(L$1,Metadata!$A$2:$A1000,Metadata!$B$2:$B1000))),L$1,"""")"),"")</f>
        <v/>
      </c>
      <c r="M292" s="33" t="str">
        <f>IFERROR(__xludf.DUMMYFUNCTION("IF(IF(M$1="""","""",REGEXMATCH(LOWER($E292),XLOOKUP(M$1,Metadata!$A$2:$A1000,Metadata!$B$2:$B1000))),M$1,"""")"),"")</f>
        <v/>
      </c>
      <c r="N292" s="33" t="str">
        <f>IFERROR(__xludf.DUMMYFUNCTION("IF(IF(N$1="""","""",REGEXMATCH(LOWER($E292),XLOOKUP(N$1,Metadata!$A$2:$A1000,Metadata!$B$2:$B1000))),N$1,"""")"),"")</f>
        <v/>
      </c>
      <c r="O292" s="33" t="str">
        <f>IFERROR(__xludf.DUMMYFUNCTION("IF(IF(O$1="""","""",REGEXMATCH(LOWER($E292),XLOOKUP(O$1,Metadata!$A$2:$A1000,Metadata!$B$2:$B1000))),O$1,"""")"),"")</f>
        <v/>
      </c>
      <c r="P292" s="33" t="str">
        <f>IFERROR(__xludf.DUMMYFUNCTION("IF(IF(P$1="""","""",REGEXMATCH(LOWER($E292),XLOOKUP(P$1,Metadata!$A$2:$A1000,Metadata!$B$2:$B1000))),P$1,"""")"),"")</f>
        <v/>
      </c>
      <c r="Q292" s="33" t="str">
        <f>IFERROR(__xludf.DUMMYFUNCTION("IF(IF(Q$1="""","""",REGEXMATCH(LOWER($E292),XLOOKUP(Q$1,Metadata!$A$2:$A1000,Metadata!$B$2:$B1000))),Q$1,"""")"),"")</f>
        <v/>
      </c>
      <c r="R292" s="33" t="str">
        <f>IFERROR(__xludf.DUMMYFUNCTION("IF(IF(R$1="""","""",REGEXMATCH(LOWER($E292),XLOOKUP(R$1,Metadata!$A$2:$A1000,Metadata!$B$2:$B1000))),R$1,"""")"),"")</f>
        <v/>
      </c>
      <c r="S292" s="33" t="str">
        <f>IFERROR(__xludf.DUMMYFUNCTION("IF(IF(S$1="""","""",REGEXMATCH(LOWER($E292),XLOOKUP(S$1,Metadata!$A$2:$A1000,Metadata!$B$2:$B1000))),S$1,"""")"),"")</f>
        <v/>
      </c>
      <c r="T292" s="33" t="str">
        <f>IFERROR(__xludf.DUMMYFUNCTION("IF(IF(T$1="""","""",REGEXMATCH(LOWER($E292),XLOOKUP(T$1,Metadata!$A$2:$A1000,Metadata!$B$2:$B1000))),T$1,"""")"),"")</f>
        <v/>
      </c>
      <c r="U292" s="33" t="str">
        <f>IFERROR(__xludf.DUMMYFUNCTION("IF(IF(U$1="""","""",REGEXMATCH(LOWER($E292),XLOOKUP(U$1,Metadata!$A$2:$A1000,Metadata!$B$2:$B1000))),U$1,"""")"),"")</f>
        <v/>
      </c>
      <c r="V292" s="33" t="str">
        <f>IFERROR(__xludf.DUMMYFUNCTION("IF(IF(V$1="""","""",REGEXMATCH(LOWER($E292),XLOOKUP(V$1,Metadata!$A$2:$A1000,Metadata!$B$2:$B1000))),V$1,"""")"),"")</f>
        <v/>
      </c>
      <c r="W292" s="33" t="str">
        <f>IFERROR(__xludf.DUMMYFUNCTION("IF(IF(W$1="""","""",REGEXMATCH(LOWER($E292),XLOOKUP(W$1,Metadata!$A$2:$A1000,Metadata!$B$2:$B1000))),W$1,"""")"),"")</f>
        <v/>
      </c>
      <c r="X292" s="33" t="str">
        <f>IFERROR(__xludf.DUMMYFUNCTION("IF(IF(X$1="""","""",REGEXMATCH(LOWER($E292),XLOOKUP(X$1,Metadata!$A$2:$A1000,Metadata!$B$2:$B1000))),X$1,"""")"),"")</f>
        <v/>
      </c>
      <c r="Y292" s="33" t="str">
        <f>IFERROR(__xludf.DUMMYFUNCTION("IF(IF(Y$1="""","""",REGEXMATCH(LOWER($E292),XLOOKUP(Y$1,Metadata!$A$2:$A1000,Metadata!$B$2:$B1000))),Y$1,"""")"),"")</f>
        <v/>
      </c>
      <c r="Z292" s="33" t="str">
        <f>IFERROR(__xludf.DUMMYFUNCTION("IF(IF(Z$1="""","""",REGEXMATCH(LOWER($E292),XLOOKUP(Z$1,Metadata!$A$2:$A1000,Metadata!$B$2:$B1000))),Z$1,"""")"),"")</f>
        <v/>
      </c>
      <c r="AA292" s="33" t="str">
        <f>IFERROR(__xludf.DUMMYFUNCTION("IF(AA$1="""","""",REGEXMATCH(LOWER($E292),XLOOKUP(AA$1,Metadata!$A$2:$A1000,Metadata!$B$2:$B1000)))"),"")</f>
        <v/>
      </c>
    </row>
    <row r="293">
      <c r="A293" s="33" t="str">
        <f>IFERROR(__xludf.DUMMYFUNCTION("""COMPUTED_VALUE"""),"Dread Cryptlord")</f>
        <v>Dread Cryptlord</v>
      </c>
      <c r="B293" s="33" t="str">
        <f t="array" ref="B293:I293">XLOOKUP($A293,Cards!$A$2:$A1000,Cards!$B$2:$I1000,"")</f>
        <v>Void</v>
      </c>
      <c r="C293" s="33">
        <v>2.0</v>
      </c>
      <c r="D293" s="33" t="s">
        <v>180</v>
      </c>
      <c r="E293" s="33" t="s">
        <v>1702</v>
      </c>
      <c r="F293" s="33" t="s">
        <v>1691</v>
      </c>
      <c r="G293" s="33">
        <v>5.0</v>
      </c>
      <c r="H293" s="33" t="s">
        <v>1674</v>
      </c>
      <c r="I293" s="33" t="s">
        <v>62</v>
      </c>
      <c r="J293" s="33">
        <f>IFERROR(__xludf.DUMMYFUNCTION("LEN(REGEXREPLACE(XLOOKUP($A293,Cards!$A$2:$A1000,Cards!$H$2:$H1000,""""),"",\s"",""""))"),5.0)</f>
        <v>5</v>
      </c>
      <c r="K293" s="33" t="str">
        <f t="shared" si="1"/>
        <v>               </v>
      </c>
      <c r="L293" s="33" t="str">
        <f>IFERROR(__xludf.DUMMYFUNCTION("IF(IF(L$1="""","""",REGEXMATCH(LOWER($E293),XLOOKUP(L$1,Metadata!$A$2:$A1000,Metadata!$B$2:$B1000))),L$1,"""")"),"")</f>
        <v/>
      </c>
      <c r="M293" s="33" t="str">
        <f>IFERROR(__xludf.DUMMYFUNCTION("IF(IF(M$1="""","""",REGEXMATCH(LOWER($E293),XLOOKUP(M$1,Metadata!$A$2:$A1000,Metadata!$B$2:$B1000))),M$1,"""")"),"")</f>
        <v/>
      </c>
      <c r="N293" s="33" t="str">
        <f>IFERROR(__xludf.DUMMYFUNCTION("IF(IF(N$1="""","""",REGEXMATCH(LOWER($E293),XLOOKUP(N$1,Metadata!$A$2:$A1000,Metadata!$B$2:$B1000))),N$1,"""")"),"")</f>
        <v/>
      </c>
      <c r="O293" s="33" t="str">
        <f>IFERROR(__xludf.DUMMYFUNCTION("IF(IF(O$1="""","""",REGEXMATCH(LOWER($E293),XLOOKUP(O$1,Metadata!$A$2:$A1000,Metadata!$B$2:$B1000))),O$1,"""")"),"")</f>
        <v/>
      </c>
      <c r="P293" s="33" t="str">
        <f>IFERROR(__xludf.DUMMYFUNCTION("IF(IF(P$1="""","""",REGEXMATCH(LOWER($E293),XLOOKUP(P$1,Metadata!$A$2:$A1000,Metadata!$B$2:$B1000))),P$1,"""")"),"")</f>
        <v/>
      </c>
      <c r="Q293" s="33" t="str">
        <f>IFERROR(__xludf.DUMMYFUNCTION("IF(IF(Q$1="""","""",REGEXMATCH(LOWER($E293),XLOOKUP(Q$1,Metadata!$A$2:$A1000,Metadata!$B$2:$B1000))),Q$1,"""")"),"")</f>
        <v/>
      </c>
      <c r="R293" s="33" t="str">
        <f>IFERROR(__xludf.DUMMYFUNCTION("IF(IF(R$1="""","""",REGEXMATCH(LOWER($E293),XLOOKUP(R$1,Metadata!$A$2:$A1000,Metadata!$B$2:$B1000))),R$1,"""")"),"")</f>
        <v/>
      </c>
      <c r="S293" s="33" t="str">
        <f>IFERROR(__xludf.DUMMYFUNCTION("IF(IF(S$1="""","""",REGEXMATCH(LOWER($E293),XLOOKUP(S$1,Metadata!$A$2:$A1000,Metadata!$B$2:$B1000))),S$1,"""")"),"")</f>
        <v/>
      </c>
      <c r="T293" s="33" t="str">
        <f>IFERROR(__xludf.DUMMYFUNCTION("IF(IF(T$1="""","""",REGEXMATCH(LOWER($E293),XLOOKUP(T$1,Metadata!$A$2:$A1000,Metadata!$B$2:$B1000))),T$1,"""")"),"")</f>
        <v/>
      </c>
      <c r="U293" s="33" t="str">
        <f>IFERROR(__xludf.DUMMYFUNCTION("IF(IF(U$1="""","""",REGEXMATCH(LOWER($E293),XLOOKUP(U$1,Metadata!$A$2:$A1000,Metadata!$B$2:$B1000))),U$1,"""")"),"")</f>
        <v/>
      </c>
      <c r="V293" s="33" t="str">
        <f>IFERROR(__xludf.DUMMYFUNCTION("IF(IF(V$1="""","""",REGEXMATCH(LOWER($E293),XLOOKUP(V$1,Metadata!$A$2:$A1000,Metadata!$B$2:$B1000))),V$1,"""")"),"")</f>
        <v/>
      </c>
      <c r="W293" s="33" t="str">
        <f>IFERROR(__xludf.DUMMYFUNCTION("IF(IF(W$1="""","""",REGEXMATCH(LOWER($E293),XLOOKUP(W$1,Metadata!$A$2:$A1000,Metadata!$B$2:$B1000))),W$1,"""")"),"")</f>
        <v/>
      </c>
      <c r="X293" s="33" t="str">
        <f>IFERROR(__xludf.DUMMYFUNCTION("IF(IF(X$1="""","""",REGEXMATCH(LOWER($E293),XLOOKUP(X$1,Metadata!$A$2:$A1000,Metadata!$B$2:$B1000))),X$1,"""")"),"")</f>
        <v/>
      </c>
      <c r="Y293" s="33" t="str">
        <f>IFERROR(__xludf.DUMMYFUNCTION("IF(IF(Y$1="""","""",REGEXMATCH(LOWER($E293),XLOOKUP(Y$1,Metadata!$A$2:$A1000,Metadata!$B$2:$B1000))),Y$1,"""")"),"")</f>
        <v/>
      </c>
      <c r="Z293" s="33" t="str">
        <f>IFERROR(__xludf.DUMMYFUNCTION("IF(IF(Z$1="""","""",REGEXMATCH(LOWER($E293),XLOOKUP(Z$1,Metadata!$A$2:$A1000,Metadata!$B$2:$B1000))),Z$1,"""")"),"")</f>
        <v/>
      </c>
      <c r="AA293" s="33" t="str">
        <f>IFERROR(__xludf.DUMMYFUNCTION("IF(AA$1="""","""",REGEXMATCH(LOWER($E293),XLOOKUP(AA$1,Metadata!$A$2:$A1000,Metadata!$B$2:$B1000)))"),"")</f>
        <v/>
      </c>
    </row>
    <row r="294">
      <c r="A294" s="33" t="str">
        <f>IFERROR(__xludf.DUMMYFUNCTION("""COMPUTED_VALUE"""),"Nutrient Nexus")</f>
        <v>Nutrient Nexus</v>
      </c>
      <c r="B294" s="33" t="str">
        <f t="array" ref="B294:I294">XLOOKUP($A294,Cards!$A$2:$A1000,Cards!$B$2:$I1000,"")</f>
        <v>Nature</v>
      </c>
      <c r="C294" s="33">
        <v>1.0</v>
      </c>
      <c r="D294" s="33" t="s">
        <v>1340</v>
      </c>
      <c r="E294" s="33" t="s">
        <v>1704</v>
      </c>
      <c r="F294" s="33" t="s">
        <v>1705</v>
      </c>
      <c r="G294" s="33">
        <v>2.0</v>
      </c>
      <c r="H294" s="33" t="s">
        <v>1446</v>
      </c>
      <c r="I294" s="33" t="s">
        <v>26</v>
      </c>
      <c r="J294" s="33">
        <f>IFERROR(__xludf.DUMMYFUNCTION("LEN(REGEXREPLACE(XLOOKUP($A294,Cards!$A$2:$A1000,Cards!$H$2:$H1000,""""),"",\s"",""""))"),2.0)</f>
        <v>2</v>
      </c>
      <c r="K294" s="33" t="str">
        <f t="shared" si="1"/>
        <v>               </v>
      </c>
      <c r="L294" s="33" t="str">
        <f>IFERROR(__xludf.DUMMYFUNCTION("IF(IF(L$1="""","""",REGEXMATCH(LOWER($E294),XLOOKUP(L$1,Metadata!$A$2:$A1000,Metadata!$B$2:$B1000))),L$1,"""")"),"")</f>
        <v/>
      </c>
      <c r="M294" s="33" t="str">
        <f>IFERROR(__xludf.DUMMYFUNCTION("IF(IF(M$1="""","""",REGEXMATCH(LOWER($E294),XLOOKUP(M$1,Metadata!$A$2:$A1000,Metadata!$B$2:$B1000))),M$1,"""")"),"")</f>
        <v/>
      </c>
      <c r="N294" s="33" t="str">
        <f>IFERROR(__xludf.DUMMYFUNCTION("IF(IF(N$1="""","""",REGEXMATCH(LOWER($E294),XLOOKUP(N$1,Metadata!$A$2:$A1000,Metadata!$B$2:$B1000))),N$1,"""")"),"")</f>
        <v/>
      </c>
      <c r="O294" s="33" t="str">
        <f>IFERROR(__xludf.DUMMYFUNCTION("IF(IF(O$1="""","""",REGEXMATCH(LOWER($E294),XLOOKUP(O$1,Metadata!$A$2:$A1000,Metadata!$B$2:$B1000))),O$1,"""")"),"")</f>
        <v/>
      </c>
      <c r="P294" s="33" t="str">
        <f>IFERROR(__xludf.DUMMYFUNCTION("IF(IF(P$1="""","""",REGEXMATCH(LOWER($E294),XLOOKUP(P$1,Metadata!$A$2:$A1000,Metadata!$B$2:$B1000))),P$1,"""")"),"")</f>
        <v/>
      </c>
      <c r="Q294" s="33" t="str">
        <f>IFERROR(__xludf.DUMMYFUNCTION("IF(IF(Q$1="""","""",REGEXMATCH(LOWER($E294),XLOOKUP(Q$1,Metadata!$A$2:$A1000,Metadata!$B$2:$B1000))),Q$1,"""")"),"")</f>
        <v/>
      </c>
      <c r="R294" s="33" t="str">
        <f>IFERROR(__xludf.DUMMYFUNCTION("IF(IF(R$1="""","""",REGEXMATCH(LOWER($E294),XLOOKUP(R$1,Metadata!$A$2:$A1000,Metadata!$B$2:$B1000))),R$1,"""")"),"")</f>
        <v/>
      </c>
      <c r="S294" s="33" t="str">
        <f>IFERROR(__xludf.DUMMYFUNCTION("IF(IF(S$1="""","""",REGEXMATCH(LOWER($E294),XLOOKUP(S$1,Metadata!$A$2:$A1000,Metadata!$B$2:$B1000))),S$1,"""")"),"")</f>
        <v/>
      </c>
      <c r="T294" s="33" t="str">
        <f>IFERROR(__xludf.DUMMYFUNCTION("IF(IF(T$1="""","""",REGEXMATCH(LOWER($E294),XLOOKUP(T$1,Metadata!$A$2:$A1000,Metadata!$B$2:$B1000))),T$1,"""")"),"")</f>
        <v/>
      </c>
      <c r="U294" s="33" t="str">
        <f>IFERROR(__xludf.DUMMYFUNCTION("IF(IF(U$1="""","""",REGEXMATCH(LOWER($E294),XLOOKUP(U$1,Metadata!$A$2:$A1000,Metadata!$B$2:$B1000))),U$1,"""")"),"")</f>
        <v/>
      </c>
      <c r="V294" s="33" t="str">
        <f>IFERROR(__xludf.DUMMYFUNCTION("IF(IF(V$1="""","""",REGEXMATCH(LOWER($E294),XLOOKUP(V$1,Metadata!$A$2:$A1000,Metadata!$B$2:$B1000))),V$1,"""")"),"")</f>
        <v/>
      </c>
      <c r="W294" s="33" t="str">
        <f>IFERROR(__xludf.DUMMYFUNCTION("IF(IF(W$1="""","""",REGEXMATCH(LOWER($E294),XLOOKUP(W$1,Metadata!$A$2:$A1000,Metadata!$B$2:$B1000))),W$1,"""")"),"")</f>
        <v/>
      </c>
      <c r="X294" s="33" t="str">
        <f>IFERROR(__xludf.DUMMYFUNCTION("IF(IF(X$1="""","""",REGEXMATCH(LOWER($E294),XLOOKUP(X$1,Metadata!$A$2:$A1000,Metadata!$B$2:$B1000))),X$1,"""")"),"")</f>
        <v/>
      </c>
      <c r="Y294" s="33" t="str">
        <f>IFERROR(__xludf.DUMMYFUNCTION("IF(IF(Y$1="""","""",REGEXMATCH(LOWER($E294),XLOOKUP(Y$1,Metadata!$A$2:$A1000,Metadata!$B$2:$B1000))),Y$1,"""")"),"")</f>
        <v/>
      </c>
      <c r="Z294" s="33" t="str">
        <f>IFERROR(__xludf.DUMMYFUNCTION("IF(IF(Z$1="""","""",REGEXMATCH(LOWER($E294),XLOOKUP(Z$1,Metadata!$A$2:$A1000,Metadata!$B$2:$B1000))),Z$1,"""")"),"")</f>
        <v/>
      </c>
      <c r="AA294" s="33" t="str">
        <f>IFERROR(__xludf.DUMMYFUNCTION("IF(AA$1="""","""",REGEXMATCH(LOWER($E294),XLOOKUP(AA$1,Metadata!$A$2:$A1000,Metadata!$B$2:$B1000)))"),"")</f>
        <v/>
      </c>
    </row>
    <row r="295">
      <c r="A295" s="33" t="str">
        <f>IFERROR(__xludf.DUMMYFUNCTION("""COMPUTED_VALUE"""),"Fatepeek Imp")</f>
        <v>Fatepeek Imp</v>
      </c>
      <c r="B295" s="33" t="str">
        <f t="array" ref="B295:I295">XLOOKUP($A295,Cards!$A$2:$A1000,Cards!$B$2:$I1000,"")</f>
        <v>Void</v>
      </c>
      <c r="C295" s="33">
        <v>2.0</v>
      </c>
      <c r="D295" s="33" t="s">
        <v>1681</v>
      </c>
      <c r="E295" s="33" t="s">
        <v>1707</v>
      </c>
      <c r="F295" s="33" t="s">
        <v>611</v>
      </c>
      <c r="G295" s="33">
        <v>1.0</v>
      </c>
      <c r="H295" s="33" t="s">
        <v>1666</v>
      </c>
      <c r="I295" s="33" t="s">
        <v>26</v>
      </c>
      <c r="J295" s="33">
        <f>IFERROR(__xludf.DUMMYFUNCTION("LEN(REGEXREPLACE(XLOOKUP($A295,Cards!$A$2:$A1000,Cards!$H$2:$H1000,""""),"",\s"",""""))"),1.0)</f>
        <v>1</v>
      </c>
      <c r="K295" s="33" t="str">
        <f t="shared" si="1"/>
        <v>               </v>
      </c>
      <c r="L295" s="33" t="str">
        <f>IFERROR(__xludf.DUMMYFUNCTION("IF(IF(L$1="""","""",REGEXMATCH(LOWER($E295),XLOOKUP(L$1,Metadata!$A$2:$A1000,Metadata!$B$2:$B1000))),L$1,"""")"),"")</f>
        <v/>
      </c>
      <c r="M295" s="33" t="str">
        <f>IFERROR(__xludf.DUMMYFUNCTION("IF(IF(M$1="""","""",REGEXMATCH(LOWER($E295),XLOOKUP(M$1,Metadata!$A$2:$A1000,Metadata!$B$2:$B1000))),M$1,"""")"),"")</f>
        <v/>
      </c>
      <c r="N295" s="33" t="str">
        <f>IFERROR(__xludf.DUMMYFUNCTION("IF(IF(N$1="""","""",REGEXMATCH(LOWER($E295),XLOOKUP(N$1,Metadata!$A$2:$A1000,Metadata!$B$2:$B1000))),N$1,"""")"),"")</f>
        <v/>
      </c>
      <c r="O295" s="33" t="str">
        <f>IFERROR(__xludf.DUMMYFUNCTION("IF(IF(O$1="""","""",REGEXMATCH(LOWER($E295),XLOOKUP(O$1,Metadata!$A$2:$A1000,Metadata!$B$2:$B1000))),O$1,"""")"),"")</f>
        <v/>
      </c>
      <c r="P295" s="33" t="str">
        <f>IFERROR(__xludf.DUMMYFUNCTION("IF(IF(P$1="""","""",REGEXMATCH(LOWER($E295),XLOOKUP(P$1,Metadata!$A$2:$A1000,Metadata!$B$2:$B1000))),P$1,"""")"),"")</f>
        <v/>
      </c>
      <c r="Q295" s="33" t="str">
        <f>IFERROR(__xludf.DUMMYFUNCTION("IF(IF(Q$1="""","""",REGEXMATCH(LOWER($E295),XLOOKUP(Q$1,Metadata!$A$2:$A1000,Metadata!$B$2:$B1000))),Q$1,"""")"),"")</f>
        <v/>
      </c>
      <c r="R295" s="33" t="str">
        <f>IFERROR(__xludf.DUMMYFUNCTION("IF(IF(R$1="""","""",REGEXMATCH(LOWER($E295),XLOOKUP(R$1,Metadata!$A$2:$A1000,Metadata!$B$2:$B1000))),R$1,"""")"),"")</f>
        <v/>
      </c>
      <c r="S295" s="33" t="str">
        <f>IFERROR(__xludf.DUMMYFUNCTION("IF(IF(S$1="""","""",REGEXMATCH(LOWER($E295),XLOOKUP(S$1,Metadata!$A$2:$A1000,Metadata!$B$2:$B1000))),S$1,"""")"),"")</f>
        <v/>
      </c>
      <c r="T295" s="33" t="str">
        <f>IFERROR(__xludf.DUMMYFUNCTION("IF(IF(T$1="""","""",REGEXMATCH(LOWER($E295),XLOOKUP(T$1,Metadata!$A$2:$A1000,Metadata!$B$2:$B1000))),T$1,"""")"),"")</f>
        <v/>
      </c>
      <c r="U295" s="33" t="str">
        <f>IFERROR(__xludf.DUMMYFUNCTION("IF(IF(U$1="""","""",REGEXMATCH(LOWER($E295),XLOOKUP(U$1,Metadata!$A$2:$A1000,Metadata!$B$2:$B1000))),U$1,"""")"),"")</f>
        <v/>
      </c>
      <c r="V295" s="33" t="str">
        <f>IFERROR(__xludf.DUMMYFUNCTION("IF(IF(V$1="""","""",REGEXMATCH(LOWER($E295),XLOOKUP(V$1,Metadata!$A$2:$A1000,Metadata!$B$2:$B1000))),V$1,"""")"),"")</f>
        <v/>
      </c>
      <c r="W295" s="33" t="str">
        <f>IFERROR(__xludf.DUMMYFUNCTION("IF(IF(W$1="""","""",REGEXMATCH(LOWER($E295),XLOOKUP(W$1,Metadata!$A$2:$A1000,Metadata!$B$2:$B1000))),W$1,"""")"),"")</f>
        <v/>
      </c>
      <c r="X295" s="33" t="str">
        <f>IFERROR(__xludf.DUMMYFUNCTION("IF(IF(X$1="""","""",REGEXMATCH(LOWER($E295),XLOOKUP(X$1,Metadata!$A$2:$A1000,Metadata!$B$2:$B1000))),X$1,"""")"),"")</f>
        <v/>
      </c>
      <c r="Y295" s="33" t="str">
        <f>IFERROR(__xludf.DUMMYFUNCTION("IF(IF(Y$1="""","""",REGEXMATCH(LOWER($E295),XLOOKUP(Y$1,Metadata!$A$2:$A1000,Metadata!$B$2:$B1000))),Y$1,"""")"),"")</f>
        <v/>
      </c>
      <c r="Z295" s="33" t="str">
        <f>IFERROR(__xludf.DUMMYFUNCTION("IF(IF(Z$1="""","""",REGEXMATCH(LOWER($E295),XLOOKUP(Z$1,Metadata!$A$2:$A1000,Metadata!$B$2:$B1000))),Z$1,"""")"),"")</f>
        <v/>
      </c>
      <c r="AA295" s="33" t="str">
        <f>IFERROR(__xludf.DUMMYFUNCTION("IF(AA$1="""","""",REGEXMATCH(LOWER($E295),XLOOKUP(AA$1,Metadata!$A$2:$A1000,Metadata!$B$2:$B1000)))"),"")</f>
        <v/>
      </c>
    </row>
    <row r="296">
      <c r="A296" s="33" t="str">
        <f>IFERROR(__xludf.DUMMYFUNCTION("""COMPUTED_VALUE"""),"One Eyed Dread")</f>
        <v>One Eyed Dread</v>
      </c>
      <c r="B296" s="33" t="str">
        <f t="array" ref="B296:I296">XLOOKUP($A296,Cards!$A$2:$A1000,Cards!$B$2:$I1000,"")</f>
        <v>Nature</v>
      </c>
      <c r="C296" s="33">
        <v>1.0</v>
      </c>
      <c r="D296" s="33" t="s">
        <v>1709</v>
      </c>
      <c r="E296" s="33" t="s">
        <v>1710</v>
      </c>
      <c r="F296" s="33" t="s">
        <v>1711</v>
      </c>
      <c r="G296" s="33">
        <v>5.0</v>
      </c>
      <c r="H296" s="33" t="s">
        <v>1712</v>
      </c>
      <c r="I296" s="33" t="s">
        <v>62</v>
      </c>
      <c r="J296" s="33">
        <f>IFERROR(__xludf.DUMMYFUNCTION("LEN(REGEXREPLACE(XLOOKUP($A296,Cards!$A$2:$A1000,Cards!$H$2:$H1000,""""),"",\s"",""""))"),5.0)</f>
        <v>5</v>
      </c>
      <c r="K296" s="33" t="str">
        <f t="shared" si="1"/>
        <v>      Ramp         </v>
      </c>
      <c r="L296" s="33" t="str">
        <f>IFERROR(__xludf.DUMMYFUNCTION("IF(IF(L$1="""","""",REGEXMATCH(LOWER($E296),XLOOKUP(L$1,Metadata!$A$2:$A1000,Metadata!$B$2:$B1000))),L$1,"""")"),"")</f>
        <v/>
      </c>
      <c r="M296" s="33" t="str">
        <f>IFERROR(__xludf.DUMMYFUNCTION("IF(IF(M$1="""","""",REGEXMATCH(LOWER($E296),XLOOKUP(M$1,Metadata!$A$2:$A1000,Metadata!$B$2:$B1000))),M$1,"""")"),"")</f>
        <v/>
      </c>
      <c r="N296" s="33" t="str">
        <f>IFERROR(__xludf.DUMMYFUNCTION("IF(IF(N$1="""","""",REGEXMATCH(LOWER($E296),XLOOKUP(N$1,Metadata!$A$2:$A1000,Metadata!$B$2:$B1000))),N$1,"""")"),"")</f>
        <v/>
      </c>
      <c r="O296" s="33" t="str">
        <f>IFERROR(__xludf.DUMMYFUNCTION("IF(IF(O$1="""","""",REGEXMATCH(LOWER($E296),XLOOKUP(O$1,Metadata!$A$2:$A1000,Metadata!$B$2:$B1000))),O$1,"""")"),"")</f>
        <v/>
      </c>
      <c r="P296" s="33" t="str">
        <f>IFERROR(__xludf.DUMMYFUNCTION("IF(IF(P$1="""","""",REGEXMATCH(LOWER($E296),XLOOKUP(P$1,Metadata!$A$2:$A1000,Metadata!$B$2:$B1000))),P$1,"""")"),"")</f>
        <v/>
      </c>
      <c r="Q296" s="33" t="str">
        <f>IFERROR(__xludf.DUMMYFUNCTION("IF(IF(Q$1="""","""",REGEXMATCH(LOWER($E296),XLOOKUP(Q$1,Metadata!$A$2:$A1000,Metadata!$B$2:$B1000))),Q$1,"""")"),"")</f>
        <v/>
      </c>
      <c r="R296" s="33" t="str">
        <f>IFERROR(__xludf.DUMMYFUNCTION("IF(IF(R$1="""","""",REGEXMATCH(LOWER($E296),XLOOKUP(R$1,Metadata!$A$2:$A1000,Metadata!$B$2:$B1000))),R$1,"""")"),"Ramp")</f>
        <v>Ramp</v>
      </c>
      <c r="S296" s="33" t="str">
        <f>IFERROR(__xludf.DUMMYFUNCTION("IF(IF(S$1="""","""",REGEXMATCH(LOWER($E296),XLOOKUP(S$1,Metadata!$A$2:$A1000,Metadata!$B$2:$B1000))),S$1,"""")"),"")</f>
        <v/>
      </c>
      <c r="T296" s="33" t="str">
        <f>IFERROR(__xludf.DUMMYFUNCTION("IF(IF(T$1="""","""",REGEXMATCH(LOWER($E296),XLOOKUP(T$1,Metadata!$A$2:$A1000,Metadata!$B$2:$B1000))),T$1,"""")"),"")</f>
        <v/>
      </c>
      <c r="U296" s="33" t="str">
        <f>IFERROR(__xludf.DUMMYFUNCTION("IF(IF(U$1="""","""",REGEXMATCH(LOWER($E296),XLOOKUP(U$1,Metadata!$A$2:$A1000,Metadata!$B$2:$B1000))),U$1,"""")"),"")</f>
        <v/>
      </c>
      <c r="V296" s="33" t="str">
        <f>IFERROR(__xludf.DUMMYFUNCTION("IF(IF(V$1="""","""",REGEXMATCH(LOWER($E296),XLOOKUP(V$1,Metadata!$A$2:$A1000,Metadata!$B$2:$B1000))),V$1,"""")"),"")</f>
        <v/>
      </c>
      <c r="W296" s="33" t="str">
        <f>IFERROR(__xludf.DUMMYFUNCTION("IF(IF(W$1="""","""",REGEXMATCH(LOWER($E296),XLOOKUP(W$1,Metadata!$A$2:$A1000,Metadata!$B$2:$B1000))),W$1,"""")"),"")</f>
        <v/>
      </c>
      <c r="X296" s="33" t="str">
        <f>IFERROR(__xludf.DUMMYFUNCTION("IF(IF(X$1="""","""",REGEXMATCH(LOWER($E296),XLOOKUP(X$1,Metadata!$A$2:$A1000,Metadata!$B$2:$B1000))),X$1,"""")"),"")</f>
        <v/>
      </c>
      <c r="Y296" s="33" t="str">
        <f>IFERROR(__xludf.DUMMYFUNCTION("IF(IF(Y$1="""","""",REGEXMATCH(LOWER($E296),XLOOKUP(Y$1,Metadata!$A$2:$A1000,Metadata!$B$2:$B1000))),Y$1,"""")"),"")</f>
        <v/>
      </c>
      <c r="Z296" s="33" t="str">
        <f>IFERROR(__xludf.DUMMYFUNCTION("IF(IF(Z$1="""","""",REGEXMATCH(LOWER($E296),XLOOKUP(Z$1,Metadata!$A$2:$A1000,Metadata!$B$2:$B1000))),Z$1,"""")"),"")</f>
        <v/>
      </c>
      <c r="AA296" s="33" t="str">
        <f>IFERROR(__xludf.DUMMYFUNCTION("IF(AA$1="""","""",REGEXMATCH(LOWER($E296),XLOOKUP(AA$1,Metadata!$A$2:$A1000,Metadata!$B$2:$B1000)))"),"")</f>
        <v/>
      </c>
    </row>
    <row r="297">
      <c r="A297" s="33" t="str">
        <f>IFERROR(__xludf.DUMMYFUNCTION("""COMPUTED_VALUE"""),"Plunderpillar")</f>
        <v>Plunderpillar</v>
      </c>
      <c r="B297" s="33" t="str">
        <f t="array" ref="B297:I297">XLOOKUP($A297,Cards!$A$2:$A1000,Cards!$B$2:$I1000,"")</f>
        <v>Nature</v>
      </c>
      <c r="C297" s="33">
        <v>0.0</v>
      </c>
      <c r="D297" s="33" t="s">
        <v>609</v>
      </c>
      <c r="E297" s="33" t="s">
        <v>1714</v>
      </c>
      <c r="F297" s="33" t="s">
        <v>1715</v>
      </c>
      <c r="G297" s="33">
        <v>2.0</v>
      </c>
      <c r="H297" s="33" t="s">
        <v>1446</v>
      </c>
      <c r="I297" s="33" t="s">
        <v>26</v>
      </c>
      <c r="J297" s="33">
        <f>IFERROR(__xludf.DUMMYFUNCTION("LEN(REGEXREPLACE(XLOOKUP($A297,Cards!$A$2:$A1000,Cards!$H$2:$H1000,""""),"",\s"",""""))"),2.0)</f>
        <v>2</v>
      </c>
      <c r="K297" s="33" t="str">
        <f t="shared" si="1"/>
        <v>           Move    </v>
      </c>
      <c r="L297" s="33" t="str">
        <f>IFERROR(__xludf.DUMMYFUNCTION("IF(IF(L$1="""","""",REGEXMATCH(LOWER($E297),XLOOKUP(L$1,Metadata!$A$2:$A1000,Metadata!$B$2:$B1000))),L$1,"""")"),"")</f>
        <v/>
      </c>
      <c r="M297" s="33" t="str">
        <f>IFERROR(__xludf.DUMMYFUNCTION("IF(IF(M$1="""","""",REGEXMATCH(LOWER($E297),XLOOKUP(M$1,Metadata!$A$2:$A1000,Metadata!$B$2:$B1000))),M$1,"""")"),"")</f>
        <v/>
      </c>
      <c r="N297" s="33" t="str">
        <f>IFERROR(__xludf.DUMMYFUNCTION("IF(IF(N$1="""","""",REGEXMATCH(LOWER($E297),XLOOKUP(N$1,Metadata!$A$2:$A1000,Metadata!$B$2:$B1000))),N$1,"""")"),"")</f>
        <v/>
      </c>
      <c r="O297" s="33" t="str">
        <f>IFERROR(__xludf.DUMMYFUNCTION("IF(IF(O$1="""","""",REGEXMATCH(LOWER($E297),XLOOKUP(O$1,Metadata!$A$2:$A1000,Metadata!$B$2:$B1000))),O$1,"""")"),"")</f>
        <v/>
      </c>
      <c r="P297" s="33" t="str">
        <f>IFERROR(__xludf.DUMMYFUNCTION("IF(IF(P$1="""","""",REGEXMATCH(LOWER($E297),XLOOKUP(P$1,Metadata!$A$2:$A1000,Metadata!$B$2:$B1000))),P$1,"""")"),"")</f>
        <v/>
      </c>
      <c r="Q297" s="33" t="str">
        <f>IFERROR(__xludf.DUMMYFUNCTION("IF(IF(Q$1="""","""",REGEXMATCH(LOWER($E297),XLOOKUP(Q$1,Metadata!$A$2:$A1000,Metadata!$B$2:$B1000))),Q$1,"""")"),"")</f>
        <v/>
      </c>
      <c r="R297" s="33" t="str">
        <f>IFERROR(__xludf.DUMMYFUNCTION("IF(IF(R$1="""","""",REGEXMATCH(LOWER($E297),XLOOKUP(R$1,Metadata!$A$2:$A1000,Metadata!$B$2:$B1000))),R$1,"""")"),"")</f>
        <v/>
      </c>
      <c r="S297" s="33" t="str">
        <f>IFERROR(__xludf.DUMMYFUNCTION("IF(IF(S$1="""","""",REGEXMATCH(LOWER($E297),XLOOKUP(S$1,Metadata!$A$2:$A1000,Metadata!$B$2:$B1000))),S$1,"""")"),"")</f>
        <v/>
      </c>
      <c r="T297" s="33" t="str">
        <f>IFERROR(__xludf.DUMMYFUNCTION("IF(IF(T$1="""","""",REGEXMATCH(LOWER($E297),XLOOKUP(T$1,Metadata!$A$2:$A1000,Metadata!$B$2:$B1000))),T$1,"""")"),"")</f>
        <v/>
      </c>
      <c r="U297" s="33" t="str">
        <f>IFERROR(__xludf.DUMMYFUNCTION("IF(IF(U$1="""","""",REGEXMATCH(LOWER($E297),XLOOKUP(U$1,Metadata!$A$2:$A1000,Metadata!$B$2:$B1000))),U$1,"""")"),"")</f>
        <v/>
      </c>
      <c r="V297" s="33" t="str">
        <f>IFERROR(__xludf.DUMMYFUNCTION("IF(IF(V$1="""","""",REGEXMATCH(LOWER($E297),XLOOKUP(V$1,Metadata!$A$2:$A1000,Metadata!$B$2:$B1000))),V$1,"""")"),"")</f>
        <v/>
      </c>
      <c r="W297" s="33" t="str">
        <f>IFERROR(__xludf.DUMMYFUNCTION("IF(IF(W$1="""","""",REGEXMATCH(LOWER($E297),XLOOKUP(W$1,Metadata!$A$2:$A1000,Metadata!$B$2:$B1000))),W$1,"""")"),"Move")</f>
        <v>Move</v>
      </c>
      <c r="X297" s="33" t="str">
        <f>IFERROR(__xludf.DUMMYFUNCTION("IF(IF(X$1="""","""",REGEXMATCH(LOWER($E297),XLOOKUP(X$1,Metadata!$A$2:$A1000,Metadata!$B$2:$B1000))),X$1,"""")"),"")</f>
        <v/>
      </c>
      <c r="Y297" s="33" t="str">
        <f>IFERROR(__xludf.DUMMYFUNCTION("IF(IF(Y$1="""","""",REGEXMATCH(LOWER($E297),XLOOKUP(Y$1,Metadata!$A$2:$A1000,Metadata!$B$2:$B1000))),Y$1,"""")"),"")</f>
        <v/>
      </c>
      <c r="Z297" s="33" t="str">
        <f>IFERROR(__xludf.DUMMYFUNCTION("IF(IF(Z$1="""","""",REGEXMATCH(LOWER($E297),XLOOKUP(Z$1,Metadata!$A$2:$A1000,Metadata!$B$2:$B1000))),Z$1,"""")"),"")</f>
        <v/>
      </c>
      <c r="AA297" s="33" t="str">
        <f>IFERROR(__xludf.DUMMYFUNCTION("IF(AA$1="""","""",REGEXMATCH(LOWER($E297),XLOOKUP(AA$1,Metadata!$A$2:$A1000,Metadata!$B$2:$B1000)))"),"")</f>
        <v/>
      </c>
    </row>
    <row r="298">
      <c r="A298" s="33" t="str">
        <f>IFERROR(__xludf.DUMMYFUNCTION("""COMPUTED_VALUE"""),"Raptor Pack")</f>
        <v>Raptor Pack</v>
      </c>
      <c r="B298" s="33" t="str">
        <f t="array" ref="B298:I298">XLOOKUP($A298,Cards!$A$2:$A1000,Cards!$B$2:$I1000,"")</f>
        <v>Nature</v>
      </c>
      <c r="C298" s="33">
        <v>1.0</v>
      </c>
      <c r="D298" s="33" t="s">
        <v>1557</v>
      </c>
      <c r="E298" s="33" t="s">
        <v>1717</v>
      </c>
      <c r="F298" s="33" t="s">
        <v>1718</v>
      </c>
      <c r="G298" s="33">
        <v>7.0</v>
      </c>
      <c r="H298" s="33" t="s">
        <v>1577</v>
      </c>
      <c r="I298" s="33" t="s">
        <v>62</v>
      </c>
      <c r="J298" s="33">
        <f>IFERROR(__xludf.DUMMYFUNCTION("LEN(REGEXREPLACE(XLOOKUP($A298,Cards!$A$2:$A1000,Cards!$H$2:$H1000,""""),"",\s"",""""))"),6.0)</f>
        <v>6</v>
      </c>
      <c r="K298" s="33" t="str">
        <f t="shared" si="1"/>
        <v>      Ramp      Ambush   </v>
      </c>
      <c r="L298" s="33" t="str">
        <f>IFERROR(__xludf.DUMMYFUNCTION("IF(IF(L$1="""","""",REGEXMATCH(LOWER($E298),XLOOKUP(L$1,Metadata!$A$2:$A1000,Metadata!$B$2:$B1000))),L$1,"""")"),"")</f>
        <v/>
      </c>
      <c r="M298" s="33" t="str">
        <f>IFERROR(__xludf.DUMMYFUNCTION("IF(IF(M$1="""","""",REGEXMATCH(LOWER($E298),XLOOKUP(M$1,Metadata!$A$2:$A1000,Metadata!$B$2:$B1000))),M$1,"""")"),"")</f>
        <v/>
      </c>
      <c r="N298" s="33" t="str">
        <f>IFERROR(__xludf.DUMMYFUNCTION("IF(IF(N$1="""","""",REGEXMATCH(LOWER($E298),XLOOKUP(N$1,Metadata!$A$2:$A1000,Metadata!$B$2:$B1000))),N$1,"""")"),"")</f>
        <v/>
      </c>
      <c r="O298" s="33" t="str">
        <f>IFERROR(__xludf.DUMMYFUNCTION("IF(IF(O$1="""","""",REGEXMATCH(LOWER($E298),XLOOKUP(O$1,Metadata!$A$2:$A1000,Metadata!$B$2:$B1000))),O$1,"""")"),"")</f>
        <v/>
      </c>
      <c r="P298" s="33" t="str">
        <f>IFERROR(__xludf.DUMMYFUNCTION("IF(IF(P$1="""","""",REGEXMATCH(LOWER($E298),XLOOKUP(P$1,Metadata!$A$2:$A1000,Metadata!$B$2:$B1000))),P$1,"""")"),"")</f>
        <v/>
      </c>
      <c r="Q298" s="33" t="str">
        <f>IFERROR(__xludf.DUMMYFUNCTION("IF(IF(Q$1="""","""",REGEXMATCH(LOWER($E298),XLOOKUP(Q$1,Metadata!$A$2:$A1000,Metadata!$B$2:$B1000))),Q$1,"""")"),"")</f>
        <v/>
      </c>
      <c r="R298" s="33" t="str">
        <f>IFERROR(__xludf.DUMMYFUNCTION("IF(IF(R$1="""","""",REGEXMATCH(LOWER($E298),XLOOKUP(R$1,Metadata!$A$2:$A1000,Metadata!$B$2:$B1000))),R$1,"""")"),"Ramp")</f>
        <v>Ramp</v>
      </c>
      <c r="S298" s="33" t="str">
        <f>IFERROR(__xludf.DUMMYFUNCTION("IF(IF(S$1="""","""",REGEXMATCH(LOWER($E298),XLOOKUP(S$1,Metadata!$A$2:$A1000,Metadata!$B$2:$B1000))),S$1,"""")"),"")</f>
        <v/>
      </c>
      <c r="T298" s="33" t="str">
        <f>IFERROR(__xludf.DUMMYFUNCTION("IF(IF(T$1="""","""",REGEXMATCH(LOWER($E298),XLOOKUP(T$1,Metadata!$A$2:$A1000,Metadata!$B$2:$B1000))),T$1,"""")"),"")</f>
        <v/>
      </c>
      <c r="U298" s="33" t="str">
        <f>IFERROR(__xludf.DUMMYFUNCTION("IF(IF(U$1="""","""",REGEXMATCH(LOWER($E298),XLOOKUP(U$1,Metadata!$A$2:$A1000,Metadata!$B$2:$B1000))),U$1,"""")"),"")</f>
        <v/>
      </c>
      <c r="V298" s="33" t="str">
        <f>IFERROR(__xludf.DUMMYFUNCTION("IF(IF(V$1="""","""",REGEXMATCH(LOWER($E298),XLOOKUP(V$1,Metadata!$A$2:$A1000,Metadata!$B$2:$B1000))),V$1,"""")"),"")</f>
        <v/>
      </c>
      <c r="W298" s="33" t="str">
        <f>IFERROR(__xludf.DUMMYFUNCTION("IF(IF(W$1="""","""",REGEXMATCH(LOWER($E298),XLOOKUP(W$1,Metadata!$A$2:$A1000,Metadata!$B$2:$B1000))),W$1,"""")"),"")</f>
        <v/>
      </c>
      <c r="X298" s="33" t="str">
        <f>IFERROR(__xludf.DUMMYFUNCTION("IF(IF(X$1="""","""",REGEXMATCH(LOWER($E298),XLOOKUP(X$1,Metadata!$A$2:$A1000,Metadata!$B$2:$B1000))),X$1,"""")"),"Ambush")</f>
        <v>Ambush</v>
      </c>
      <c r="Y298" s="33" t="str">
        <f>IFERROR(__xludf.DUMMYFUNCTION("IF(IF(Y$1="""","""",REGEXMATCH(LOWER($E298),XLOOKUP(Y$1,Metadata!$A$2:$A1000,Metadata!$B$2:$B1000))),Y$1,"""")"),"")</f>
        <v/>
      </c>
      <c r="Z298" s="33" t="str">
        <f>IFERROR(__xludf.DUMMYFUNCTION("IF(IF(Z$1="""","""",REGEXMATCH(LOWER($E298),XLOOKUP(Z$1,Metadata!$A$2:$A1000,Metadata!$B$2:$B1000))),Z$1,"""")"),"")</f>
        <v/>
      </c>
      <c r="AA298" s="33" t="str">
        <f>IFERROR(__xludf.DUMMYFUNCTION("IF(AA$1="""","""",REGEXMATCH(LOWER($E298),XLOOKUP(AA$1,Metadata!$A$2:$A1000,Metadata!$B$2:$B1000)))"),"")</f>
        <v/>
      </c>
    </row>
    <row r="299">
      <c r="A299" s="33" t="str">
        <f>IFERROR(__xludf.DUMMYFUNCTION("""COMPUTED_VALUE"""),"Saurian Wraith")</f>
        <v>Saurian Wraith</v>
      </c>
      <c r="B299" s="33" t="str">
        <f t="array" ref="B299:I299">XLOOKUP($A299,Cards!$A$2:$A1000,Cards!$B$2:$I1000,"")</f>
        <v>Nature</v>
      </c>
      <c r="C299" s="33">
        <v>1.0</v>
      </c>
      <c r="D299" s="33" t="s">
        <v>1588</v>
      </c>
      <c r="E299" s="33" t="s">
        <v>1720</v>
      </c>
      <c r="F299" s="33" t="s">
        <v>1721</v>
      </c>
      <c r="G299" s="33">
        <v>4.0</v>
      </c>
      <c r="H299" s="33" t="s">
        <v>1559</v>
      </c>
      <c r="I299" s="33" t="s">
        <v>26</v>
      </c>
      <c r="J299" s="33">
        <f>IFERROR(__xludf.DUMMYFUNCTION("LEN(REGEXREPLACE(XLOOKUP($A299,Cards!$A$2:$A1000,Cards!$H$2:$H1000,""""),"",\s"",""""))"),5.0)</f>
        <v>5</v>
      </c>
      <c r="K299" s="33" t="str">
        <f t="shared" si="1"/>
        <v>               </v>
      </c>
      <c r="L299" s="33" t="str">
        <f>IFERROR(__xludf.DUMMYFUNCTION("IF(IF(L$1="""","""",REGEXMATCH(LOWER($E299),XLOOKUP(L$1,Metadata!$A$2:$A1000,Metadata!$B$2:$B1000))),L$1,"""")"),"")</f>
        <v/>
      </c>
      <c r="M299" s="33" t="str">
        <f>IFERROR(__xludf.DUMMYFUNCTION("IF(IF(M$1="""","""",REGEXMATCH(LOWER($E299),XLOOKUP(M$1,Metadata!$A$2:$A1000,Metadata!$B$2:$B1000))),M$1,"""")"),"")</f>
        <v/>
      </c>
      <c r="N299" s="33" t="str">
        <f>IFERROR(__xludf.DUMMYFUNCTION("IF(IF(N$1="""","""",REGEXMATCH(LOWER($E299),XLOOKUP(N$1,Metadata!$A$2:$A1000,Metadata!$B$2:$B1000))),N$1,"""")"),"")</f>
        <v/>
      </c>
      <c r="O299" s="33" t="str">
        <f>IFERROR(__xludf.DUMMYFUNCTION("IF(IF(O$1="""","""",REGEXMATCH(LOWER($E299),XLOOKUP(O$1,Metadata!$A$2:$A1000,Metadata!$B$2:$B1000))),O$1,"""")"),"")</f>
        <v/>
      </c>
      <c r="P299" s="33" t="str">
        <f>IFERROR(__xludf.DUMMYFUNCTION("IF(IF(P$1="""","""",REGEXMATCH(LOWER($E299),XLOOKUP(P$1,Metadata!$A$2:$A1000,Metadata!$B$2:$B1000))),P$1,"""")"),"")</f>
        <v/>
      </c>
      <c r="Q299" s="33" t="str">
        <f>IFERROR(__xludf.DUMMYFUNCTION("IF(IF(Q$1="""","""",REGEXMATCH(LOWER($E299),XLOOKUP(Q$1,Metadata!$A$2:$A1000,Metadata!$B$2:$B1000))),Q$1,"""")"),"")</f>
        <v/>
      </c>
      <c r="R299" s="33" t="str">
        <f>IFERROR(__xludf.DUMMYFUNCTION("IF(IF(R$1="""","""",REGEXMATCH(LOWER($E299),XLOOKUP(R$1,Metadata!$A$2:$A1000,Metadata!$B$2:$B1000))),R$1,"""")"),"")</f>
        <v/>
      </c>
      <c r="S299" s="33" t="str">
        <f>IFERROR(__xludf.DUMMYFUNCTION("IF(IF(S$1="""","""",REGEXMATCH(LOWER($E299),XLOOKUP(S$1,Metadata!$A$2:$A1000,Metadata!$B$2:$B1000))),S$1,"""")"),"")</f>
        <v/>
      </c>
      <c r="T299" s="33" t="str">
        <f>IFERROR(__xludf.DUMMYFUNCTION("IF(IF(T$1="""","""",REGEXMATCH(LOWER($E299),XLOOKUP(T$1,Metadata!$A$2:$A1000,Metadata!$B$2:$B1000))),T$1,"""")"),"")</f>
        <v/>
      </c>
      <c r="U299" s="33" t="str">
        <f>IFERROR(__xludf.DUMMYFUNCTION("IF(IF(U$1="""","""",REGEXMATCH(LOWER($E299),XLOOKUP(U$1,Metadata!$A$2:$A1000,Metadata!$B$2:$B1000))),U$1,"""")"),"")</f>
        <v/>
      </c>
      <c r="V299" s="33" t="str">
        <f>IFERROR(__xludf.DUMMYFUNCTION("IF(IF(V$1="""","""",REGEXMATCH(LOWER($E299),XLOOKUP(V$1,Metadata!$A$2:$A1000,Metadata!$B$2:$B1000))),V$1,"""")"),"")</f>
        <v/>
      </c>
      <c r="W299" s="33" t="str">
        <f>IFERROR(__xludf.DUMMYFUNCTION("IF(IF(W$1="""","""",REGEXMATCH(LOWER($E299),XLOOKUP(W$1,Metadata!$A$2:$A1000,Metadata!$B$2:$B1000))),W$1,"""")"),"")</f>
        <v/>
      </c>
      <c r="X299" s="33" t="str">
        <f>IFERROR(__xludf.DUMMYFUNCTION("IF(IF(X$1="""","""",REGEXMATCH(LOWER($E299),XLOOKUP(X$1,Metadata!$A$2:$A1000,Metadata!$B$2:$B1000))),X$1,"""")"),"")</f>
        <v/>
      </c>
      <c r="Y299" s="33" t="str">
        <f>IFERROR(__xludf.DUMMYFUNCTION("IF(IF(Y$1="""","""",REGEXMATCH(LOWER($E299),XLOOKUP(Y$1,Metadata!$A$2:$A1000,Metadata!$B$2:$B1000))),Y$1,"""")"),"")</f>
        <v/>
      </c>
      <c r="Z299" s="33" t="str">
        <f>IFERROR(__xludf.DUMMYFUNCTION("IF(IF(Z$1="""","""",REGEXMATCH(LOWER($E299),XLOOKUP(Z$1,Metadata!$A$2:$A1000,Metadata!$B$2:$B1000))),Z$1,"""")"),"")</f>
        <v/>
      </c>
      <c r="AA299" s="33" t="str">
        <f>IFERROR(__xludf.DUMMYFUNCTION("IF(AA$1="""","""",REGEXMATCH(LOWER($E299),XLOOKUP(AA$1,Metadata!$A$2:$A1000,Metadata!$B$2:$B1000)))"),"")</f>
        <v/>
      </c>
    </row>
    <row r="300">
      <c r="A300" s="33" t="str">
        <f>IFERROR(__xludf.DUMMYFUNCTION("""COMPUTED_VALUE"""),"Gravebound Ghoul")</f>
        <v>Gravebound Ghoul</v>
      </c>
      <c r="B300" s="33" t="str">
        <f t="array" ref="B300:I300">XLOOKUP($A300,Cards!$A$2:$A1000,Cards!$B$2:$I1000,"")</f>
        <v>Void</v>
      </c>
      <c r="C300" s="33">
        <v>2.0</v>
      </c>
      <c r="D300" s="33" t="s">
        <v>1118</v>
      </c>
      <c r="E300" s="33" t="s">
        <v>1723</v>
      </c>
      <c r="F300" s="33" t="s">
        <v>1724</v>
      </c>
      <c r="G300" s="33">
        <v>3.0</v>
      </c>
      <c r="H300" s="33" t="s">
        <v>1684</v>
      </c>
      <c r="I300" s="33" t="s">
        <v>26</v>
      </c>
      <c r="J300" s="33">
        <f>IFERROR(__xludf.DUMMYFUNCTION("LEN(REGEXREPLACE(XLOOKUP($A300,Cards!$A$2:$A1000,Cards!$H$2:$H1000,""""),"",\s"",""""))"),3.0)</f>
        <v>3</v>
      </c>
      <c r="K300" s="33" t="str">
        <f t="shared" si="1"/>
        <v>            Ambush   </v>
      </c>
      <c r="L300" s="33" t="str">
        <f>IFERROR(__xludf.DUMMYFUNCTION("IF(IF(L$1="""","""",REGEXMATCH(LOWER($E300),XLOOKUP(L$1,Metadata!$A$2:$A1000,Metadata!$B$2:$B1000))),L$1,"""")"),"")</f>
        <v/>
      </c>
      <c r="M300" s="33" t="str">
        <f>IFERROR(__xludf.DUMMYFUNCTION("IF(IF(M$1="""","""",REGEXMATCH(LOWER($E300),XLOOKUP(M$1,Metadata!$A$2:$A1000,Metadata!$B$2:$B1000))),M$1,"""")"),"")</f>
        <v/>
      </c>
      <c r="N300" s="33" t="str">
        <f>IFERROR(__xludf.DUMMYFUNCTION("IF(IF(N$1="""","""",REGEXMATCH(LOWER($E300),XLOOKUP(N$1,Metadata!$A$2:$A1000,Metadata!$B$2:$B1000))),N$1,"""")"),"")</f>
        <v/>
      </c>
      <c r="O300" s="33" t="str">
        <f>IFERROR(__xludf.DUMMYFUNCTION("IF(IF(O$1="""","""",REGEXMATCH(LOWER($E300),XLOOKUP(O$1,Metadata!$A$2:$A1000,Metadata!$B$2:$B1000))),O$1,"""")"),"")</f>
        <v/>
      </c>
      <c r="P300" s="33" t="str">
        <f>IFERROR(__xludf.DUMMYFUNCTION("IF(IF(P$1="""","""",REGEXMATCH(LOWER($E300),XLOOKUP(P$1,Metadata!$A$2:$A1000,Metadata!$B$2:$B1000))),P$1,"""")"),"")</f>
        <v/>
      </c>
      <c r="Q300" s="33" t="str">
        <f>IFERROR(__xludf.DUMMYFUNCTION("IF(IF(Q$1="""","""",REGEXMATCH(LOWER($E300),XLOOKUP(Q$1,Metadata!$A$2:$A1000,Metadata!$B$2:$B1000))),Q$1,"""")"),"")</f>
        <v/>
      </c>
      <c r="R300" s="33" t="str">
        <f>IFERROR(__xludf.DUMMYFUNCTION("IF(IF(R$1="""","""",REGEXMATCH(LOWER($E300),XLOOKUP(R$1,Metadata!$A$2:$A1000,Metadata!$B$2:$B1000))),R$1,"""")"),"")</f>
        <v/>
      </c>
      <c r="S300" s="33" t="str">
        <f>IFERROR(__xludf.DUMMYFUNCTION("IF(IF(S$1="""","""",REGEXMATCH(LOWER($E300),XLOOKUP(S$1,Metadata!$A$2:$A1000,Metadata!$B$2:$B1000))),S$1,"""")"),"")</f>
        <v/>
      </c>
      <c r="T300" s="33" t="str">
        <f>IFERROR(__xludf.DUMMYFUNCTION("IF(IF(T$1="""","""",REGEXMATCH(LOWER($E300),XLOOKUP(T$1,Metadata!$A$2:$A1000,Metadata!$B$2:$B1000))),T$1,"""")"),"")</f>
        <v/>
      </c>
      <c r="U300" s="33" t="str">
        <f>IFERROR(__xludf.DUMMYFUNCTION("IF(IF(U$1="""","""",REGEXMATCH(LOWER($E300),XLOOKUP(U$1,Metadata!$A$2:$A1000,Metadata!$B$2:$B1000))),U$1,"""")"),"")</f>
        <v/>
      </c>
      <c r="V300" s="33" t="str">
        <f>IFERROR(__xludf.DUMMYFUNCTION("IF(IF(V$1="""","""",REGEXMATCH(LOWER($E300),XLOOKUP(V$1,Metadata!$A$2:$A1000,Metadata!$B$2:$B1000))),V$1,"""")"),"")</f>
        <v/>
      </c>
      <c r="W300" s="33" t="str">
        <f>IFERROR(__xludf.DUMMYFUNCTION("IF(IF(W$1="""","""",REGEXMATCH(LOWER($E300),XLOOKUP(W$1,Metadata!$A$2:$A1000,Metadata!$B$2:$B1000))),W$1,"""")"),"")</f>
        <v/>
      </c>
      <c r="X300" s="33" t="str">
        <f>IFERROR(__xludf.DUMMYFUNCTION("IF(IF(X$1="""","""",REGEXMATCH(LOWER($E300),XLOOKUP(X$1,Metadata!$A$2:$A1000,Metadata!$B$2:$B1000))),X$1,"""")"),"Ambush")</f>
        <v>Ambush</v>
      </c>
      <c r="Y300" s="33" t="str">
        <f>IFERROR(__xludf.DUMMYFUNCTION("IF(IF(Y$1="""","""",REGEXMATCH(LOWER($E300),XLOOKUP(Y$1,Metadata!$A$2:$A1000,Metadata!$B$2:$B1000))),Y$1,"""")"),"")</f>
        <v/>
      </c>
      <c r="Z300" s="33" t="str">
        <f>IFERROR(__xludf.DUMMYFUNCTION("IF(IF(Z$1="""","""",REGEXMATCH(LOWER($E300),XLOOKUP(Z$1,Metadata!$A$2:$A1000,Metadata!$B$2:$B1000))),Z$1,"""")"),"")</f>
        <v/>
      </c>
      <c r="AA300" s="33" t="str">
        <f>IFERROR(__xludf.DUMMYFUNCTION("IF(AA$1="""","""",REGEXMATCH(LOWER($E300),XLOOKUP(AA$1,Metadata!$A$2:$A1000,Metadata!$B$2:$B1000)))"),"")</f>
        <v/>
      </c>
    </row>
    <row r="301">
      <c r="A301" s="33" t="str">
        <f>IFERROR(__xludf.DUMMYFUNCTION("""COMPUTED_VALUE"""),"Graverobber")</f>
        <v>Graverobber</v>
      </c>
      <c r="B301" s="33" t="str">
        <f t="array" ref="B301:I301">XLOOKUP($A301,Cards!$A$2:$A1000,Cards!$B$2:$I1000,"")</f>
        <v>Void</v>
      </c>
      <c r="C301" s="33">
        <v>2.0</v>
      </c>
      <c r="D301" s="33" t="s">
        <v>37</v>
      </c>
      <c r="E301" s="33" t="s">
        <v>1726</v>
      </c>
      <c r="F301" s="33" t="s">
        <v>1727</v>
      </c>
      <c r="G301" s="33">
        <v>6.0</v>
      </c>
      <c r="H301" s="33" t="s">
        <v>1728</v>
      </c>
      <c r="I301" s="33" t="s">
        <v>62</v>
      </c>
      <c r="J301" s="33">
        <f>IFERROR(__xludf.DUMMYFUNCTION("LEN(REGEXREPLACE(XLOOKUP($A301,Cards!$A$2:$A1000,Cards!$H$2:$H1000,""""),"",\s"",""""))"),6.0)</f>
        <v>6</v>
      </c>
      <c r="K301" s="33" t="str">
        <f t="shared" si="1"/>
        <v>               </v>
      </c>
      <c r="L301" s="33" t="str">
        <f>IFERROR(__xludf.DUMMYFUNCTION("IF(IF(L$1="""","""",REGEXMATCH(LOWER($E301),XLOOKUP(L$1,Metadata!$A$2:$A1000,Metadata!$B$2:$B1000))),L$1,"""")"),"")</f>
        <v/>
      </c>
      <c r="M301" s="33" t="str">
        <f>IFERROR(__xludf.DUMMYFUNCTION("IF(IF(M$1="""","""",REGEXMATCH(LOWER($E301),XLOOKUP(M$1,Metadata!$A$2:$A1000,Metadata!$B$2:$B1000))),M$1,"""")"),"")</f>
        <v/>
      </c>
      <c r="N301" s="33" t="str">
        <f>IFERROR(__xludf.DUMMYFUNCTION("IF(IF(N$1="""","""",REGEXMATCH(LOWER($E301),XLOOKUP(N$1,Metadata!$A$2:$A1000,Metadata!$B$2:$B1000))),N$1,"""")"),"")</f>
        <v/>
      </c>
      <c r="O301" s="33" t="str">
        <f>IFERROR(__xludf.DUMMYFUNCTION("IF(IF(O$1="""","""",REGEXMATCH(LOWER($E301),XLOOKUP(O$1,Metadata!$A$2:$A1000,Metadata!$B$2:$B1000))),O$1,"""")"),"")</f>
        <v/>
      </c>
      <c r="P301" s="33" t="str">
        <f>IFERROR(__xludf.DUMMYFUNCTION("IF(IF(P$1="""","""",REGEXMATCH(LOWER($E301),XLOOKUP(P$1,Metadata!$A$2:$A1000,Metadata!$B$2:$B1000))),P$1,"""")"),"")</f>
        <v/>
      </c>
      <c r="Q301" s="33" t="str">
        <f>IFERROR(__xludf.DUMMYFUNCTION("IF(IF(Q$1="""","""",REGEXMATCH(LOWER($E301),XLOOKUP(Q$1,Metadata!$A$2:$A1000,Metadata!$B$2:$B1000))),Q$1,"""")"),"")</f>
        <v/>
      </c>
      <c r="R301" s="33" t="str">
        <f>IFERROR(__xludf.DUMMYFUNCTION("IF(IF(R$1="""","""",REGEXMATCH(LOWER($E301),XLOOKUP(R$1,Metadata!$A$2:$A1000,Metadata!$B$2:$B1000))),R$1,"""")"),"")</f>
        <v/>
      </c>
      <c r="S301" s="33" t="str">
        <f>IFERROR(__xludf.DUMMYFUNCTION("IF(IF(S$1="""","""",REGEXMATCH(LOWER($E301),XLOOKUP(S$1,Metadata!$A$2:$A1000,Metadata!$B$2:$B1000))),S$1,"""")"),"")</f>
        <v/>
      </c>
      <c r="T301" s="33" t="str">
        <f>IFERROR(__xludf.DUMMYFUNCTION("IF(IF(T$1="""","""",REGEXMATCH(LOWER($E301),XLOOKUP(T$1,Metadata!$A$2:$A1000,Metadata!$B$2:$B1000))),T$1,"""")"),"")</f>
        <v/>
      </c>
      <c r="U301" s="33" t="str">
        <f>IFERROR(__xludf.DUMMYFUNCTION("IF(IF(U$1="""","""",REGEXMATCH(LOWER($E301),XLOOKUP(U$1,Metadata!$A$2:$A1000,Metadata!$B$2:$B1000))),U$1,"""")"),"")</f>
        <v/>
      </c>
      <c r="V301" s="33" t="str">
        <f>IFERROR(__xludf.DUMMYFUNCTION("IF(IF(V$1="""","""",REGEXMATCH(LOWER($E301),XLOOKUP(V$1,Metadata!$A$2:$A1000,Metadata!$B$2:$B1000))),V$1,"""")"),"")</f>
        <v/>
      </c>
      <c r="W301" s="33" t="str">
        <f>IFERROR(__xludf.DUMMYFUNCTION("IF(IF(W$1="""","""",REGEXMATCH(LOWER($E301),XLOOKUP(W$1,Metadata!$A$2:$A1000,Metadata!$B$2:$B1000))),W$1,"""")"),"")</f>
        <v/>
      </c>
      <c r="X301" s="33" t="str">
        <f>IFERROR(__xludf.DUMMYFUNCTION("IF(IF(X$1="""","""",REGEXMATCH(LOWER($E301),XLOOKUP(X$1,Metadata!$A$2:$A1000,Metadata!$B$2:$B1000))),X$1,"""")"),"")</f>
        <v/>
      </c>
      <c r="Y301" s="33" t="str">
        <f>IFERROR(__xludf.DUMMYFUNCTION("IF(IF(Y$1="""","""",REGEXMATCH(LOWER($E301),XLOOKUP(Y$1,Metadata!$A$2:$A1000,Metadata!$B$2:$B1000))),Y$1,"""")"),"")</f>
        <v/>
      </c>
      <c r="Z301" s="33" t="str">
        <f>IFERROR(__xludf.DUMMYFUNCTION("IF(IF(Z$1="""","""",REGEXMATCH(LOWER($E301),XLOOKUP(Z$1,Metadata!$A$2:$A1000,Metadata!$B$2:$B1000))),Z$1,"""")"),"")</f>
        <v/>
      </c>
      <c r="AA301" s="33" t="str">
        <f>IFERROR(__xludf.DUMMYFUNCTION("IF(AA$1="""","""",REGEXMATCH(LOWER($E301),XLOOKUP(AA$1,Metadata!$A$2:$A1000,Metadata!$B$2:$B1000)))"),"")</f>
        <v/>
      </c>
    </row>
    <row r="302">
      <c r="A302" s="33" t="str">
        <f>IFERROR(__xludf.DUMMYFUNCTION("""COMPUTED_VALUE"""),"Greedspawn")</f>
        <v>Greedspawn</v>
      </c>
      <c r="B302" s="33" t="str">
        <f t="array" ref="B302:I302">XLOOKUP($A302,Cards!$A$2:$A1000,Cards!$B$2:$I1000,"")</f>
        <v>Void</v>
      </c>
      <c r="C302" s="33">
        <v>2.0</v>
      </c>
      <c r="D302" s="33" t="s">
        <v>1681</v>
      </c>
      <c r="E302" s="33" t="s">
        <v>1730</v>
      </c>
      <c r="F302" s="33" t="s">
        <v>1731</v>
      </c>
      <c r="G302" s="33">
        <v>2.0</v>
      </c>
      <c r="H302" s="33" t="s">
        <v>1688</v>
      </c>
      <c r="I302" s="33" t="s">
        <v>62</v>
      </c>
      <c r="J302" s="33">
        <f>IFERROR(__xludf.DUMMYFUNCTION("LEN(REGEXREPLACE(XLOOKUP($A302,Cards!$A$2:$A1000,Cards!$H$2:$H1000,""""),"",\s"",""""))"),2.0)</f>
        <v>2</v>
      </c>
      <c r="K302" s="33" t="str">
        <f t="shared" si="1"/>
        <v>               </v>
      </c>
      <c r="L302" s="33" t="str">
        <f>IFERROR(__xludf.DUMMYFUNCTION("IF(IF(L$1="""","""",REGEXMATCH(LOWER($E302),XLOOKUP(L$1,Metadata!$A$2:$A1000,Metadata!$B$2:$B1000))),L$1,"""")"),"")</f>
        <v/>
      </c>
      <c r="M302" s="33" t="str">
        <f>IFERROR(__xludf.DUMMYFUNCTION("IF(IF(M$1="""","""",REGEXMATCH(LOWER($E302),XLOOKUP(M$1,Metadata!$A$2:$A1000,Metadata!$B$2:$B1000))),M$1,"""")"),"")</f>
        <v/>
      </c>
      <c r="N302" s="33" t="str">
        <f>IFERROR(__xludf.DUMMYFUNCTION("IF(IF(N$1="""","""",REGEXMATCH(LOWER($E302),XLOOKUP(N$1,Metadata!$A$2:$A1000,Metadata!$B$2:$B1000))),N$1,"""")"),"")</f>
        <v/>
      </c>
      <c r="O302" s="33" t="str">
        <f>IFERROR(__xludf.DUMMYFUNCTION("IF(IF(O$1="""","""",REGEXMATCH(LOWER($E302),XLOOKUP(O$1,Metadata!$A$2:$A1000,Metadata!$B$2:$B1000))),O$1,"""")"),"")</f>
        <v/>
      </c>
      <c r="P302" s="33" t="str">
        <f>IFERROR(__xludf.DUMMYFUNCTION("IF(IF(P$1="""","""",REGEXMATCH(LOWER($E302),XLOOKUP(P$1,Metadata!$A$2:$A1000,Metadata!$B$2:$B1000))),P$1,"""")"),"")</f>
        <v/>
      </c>
      <c r="Q302" s="33" t="str">
        <f>IFERROR(__xludf.DUMMYFUNCTION("IF(IF(Q$1="""","""",REGEXMATCH(LOWER($E302),XLOOKUP(Q$1,Metadata!$A$2:$A1000,Metadata!$B$2:$B1000))),Q$1,"""")"),"")</f>
        <v/>
      </c>
      <c r="R302" s="33" t="str">
        <f>IFERROR(__xludf.DUMMYFUNCTION("IF(IF(R$1="""","""",REGEXMATCH(LOWER($E302),XLOOKUP(R$1,Metadata!$A$2:$A1000,Metadata!$B$2:$B1000))),R$1,"""")"),"")</f>
        <v/>
      </c>
      <c r="S302" s="33" t="str">
        <f>IFERROR(__xludf.DUMMYFUNCTION("IF(IF(S$1="""","""",REGEXMATCH(LOWER($E302),XLOOKUP(S$1,Metadata!$A$2:$A1000,Metadata!$B$2:$B1000))),S$1,"""")"),"")</f>
        <v/>
      </c>
      <c r="T302" s="33" t="str">
        <f>IFERROR(__xludf.DUMMYFUNCTION("IF(IF(T$1="""","""",REGEXMATCH(LOWER($E302),XLOOKUP(T$1,Metadata!$A$2:$A1000,Metadata!$B$2:$B1000))),T$1,"""")"),"")</f>
        <v/>
      </c>
      <c r="U302" s="33" t="str">
        <f>IFERROR(__xludf.DUMMYFUNCTION("IF(IF(U$1="""","""",REGEXMATCH(LOWER($E302),XLOOKUP(U$1,Metadata!$A$2:$A1000,Metadata!$B$2:$B1000))),U$1,"""")"),"")</f>
        <v/>
      </c>
      <c r="V302" s="33" t="str">
        <f>IFERROR(__xludf.DUMMYFUNCTION("IF(IF(V$1="""","""",REGEXMATCH(LOWER($E302),XLOOKUP(V$1,Metadata!$A$2:$A1000,Metadata!$B$2:$B1000))),V$1,"""")"),"")</f>
        <v/>
      </c>
      <c r="W302" s="33" t="str">
        <f>IFERROR(__xludf.DUMMYFUNCTION("IF(IF(W$1="""","""",REGEXMATCH(LOWER($E302),XLOOKUP(W$1,Metadata!$A$2:$A1000,Metadata!$B$2:$B1000))),W$1,"""")"),"")</f>
        <v/>
      </c>
      <c r="X302" s="33" t="str">
        <f>IFERROR(__xludf.DUMMYFUNCTION("IF(IF(X$1="""","""",REGEXMATCH(LOWER($E302),XLOOKUP(X$1,Metadata!$A$2:$A1000,Metadata!$B$2:$B1000))),X$1,"""")"),"")</f>
        <v/>
      </c>
      <c r="Y302" s="33" t="str">
        <f>IFERROR(__xludf.DUMMYFUNCTION("IF(IF(Y$1="""","""",REGEXMATCH(LOWER($E302),XLOOKUP(Y$1,Metadata!$A$2:$A1000,Metadata!$B$2:$B1000))),Y$1,"""")"),"")</f>
        <v/>
      </c>
      <c r="Z302" s="33" t="str">
        <f>IFERROR(__xludf.DUMMYFUNCTION("IF(IF(Z$1="""","""",REGEXMATCH(LOWER($E302),XLOOKUP(Z$1,Metadata!$A$2:$A1000,Metadata!$B$2:$B1000))),Z$1,"""")"),"")</f>
        <v/>
      </c>
      <c r="AA302" s="33" t="str">
        <f>IFERROR(__xludf.DUMMYFUNCTION("IF(AA$1="""","""",REGEXMATCH(LOWER($E302),XLOOKUP(AA$1,Metadata!$A$2:$A1000,Metadata!$B$2:$B1000)))"),"")</f>
        <v/>
      </c>
    </row>
    <row r="303">
      <c r="A303" s="33" t="str">
        <f>IFERROR(__xludf.DUMMYFUNCTION("""COMPUTED_VALUE"""),"Grim Titan")</f>
        <v>Grim Titan</v>
      </c>
      <c r="B303" s="33" t="str">
        <f t="array" ref="B303:I303">XLOOKUP($A303,Cards!$A$2:$A1000,Cards!$B$2:$I1000,"")</f>
        <v>Void</v>
      </c>
      <c r="C303" s="33">
        <v>2.0</v>
      </c>
      <c r="D303" s="33" t="s">
        <v>977</v>
      </c>
      <c r="E303" s="33" t="s">
        <v>1733</v>
      </c>
      <c r="F303" s="33" t="s">
        <v>786</v>
      </c>
      <c r="G303" s="33">
        <v>5.0</v>
      </c>
      <c r="H303" s="33" t="s">
        <v>1734</v>
      </c>
      <c r="I303" s="33" t="s">
        <v>26</v>
      </c>
      <c r="J303" s="33">
        <f>IFERROR(__xludf.DUMMYFUNCTION("LEN(REGEXREPLACE(XLOOKUP($A303,Cards!$A$2:$A1000,Cards!$H$2:$H1000,""""),"",\s"",""""))"),4.0)</f>
        <v>4</v>
      </c>
      <c r="K303" s="33" t="str">
        <f t="shared" si="1"/>
        <v>      Ramp Control     Ambush   </v>
      </c>
      <c r="L303" s="33" t="str">
        <f>IFERROR(__xludf.DUMMYFUNCTION("IF(IF(L$1="""","""",REGEXMATCH(LOWER($E303),XLOOKUP(L$1,Metadata!$A$2:$A1000,Metadata!$B$2:$B1000))),L$1,"""")"),"")</f>
        <v/>
      </c>
      <c r="M303" s="33" t="str">
        <f>IFERROR(__xludf.DUMMYFUNCTION("IF(IF(M$1="""","""",REGEXMATCH(LOWER($E303),XLOOKUP(M$1,Metadata!$A$2:$A1000,Metadata!$B$2:$B1000))),M$1,"""")"),"")</f>
        <v/>
      </c>
      <c r="N303" s="33" t="str">
        <f>IFERROR(__xludf.DUMMYFUNCTION("IF(IF(N$1="""","""",REGEXMATCH(LOWER($E303),XLOOKUP(N$1,Metadata!$A$2:$A1000,Metadata!$B$2:$B1000))),N$1,"""")"),"")</f>
        <v/>
      </c>
      <c r="O303" s="33" t="str">
        <f>IFERROR(__xludf.DUMMYFUNCTION("IF(IF(O$1="""","""",REGEXMATCH(LOWER($E303),XLOOKUP(O$1,Metadata!$A$2:$A1000,Metadata!$B$2:$B1000))),O$1,"""")"),"")</f>
        <v/>
      </c>
      <c r="P303" s="33" t="str">
        <f>IFERROR(__xludf.DUMMYFUNCTION("IF(IF(P$1="""","""",REGEXMATCH(LOWER($E303),XLOOKUP(P$1,Metadata!$A$2:$A1000,Metadata!$B$2:$B1000))),P$1,"""")"),"")</f>
        <v/>
      </c>
      <c r="Q303" s="33" t="str">
        <f>IFERROR(__xludf.DUMMYFUNCTION("IF(IF(Q$1="""","""",REGEXMATCH(LOWER($E303),XLOOKUP(Q$1,Metadata!$A$2:$A1000,Metadata!$B$2:$B1000))),Q$1,"""")"),"")</f>
        <v/>
      </c>
      <c r="R303" s="33" t="str">
        <f>IFERROR(__xludf.DUMMYFUNCTION("IF(IF(R$1="""","""",REGEXMATCH(LOWER($E303),XLOOKUP(R$1,Metadata!$A$2:$A1000,Metadata!$B$2:$B1000))),R$1,"""")"),"Ramp")</f>
        <v>Ramp</v>
      </c>
      <c r="S303" s="33" t="str">
        <f>IFERROR(__xludf.DUMMYFUNCTION("IF(IF(S$1="""","""",REGEXMATCH(LOWER($E303),XLOOKUP(S$1,Metadata!$A$2:$A1000,Metadata!$B$2:$B1000))),S$1,"""")"),"Control")</f>
        <v>Control</v>
      </c>
      <c r="T303" s="33" t="str">
        <f>IFERROR(__xludf.DUMMYFUNCTION("IF(IF(T$1="""","""",REGEXMATCH(LOWER($E303),XLOOKUP(T$1,Metadata!$A$2:$A1000,Metadata!$B$2:$B1000))),T$1,"""")"),"")</f>
        <v/>
      </c>
      <c r="U303" s="33" t="str">
        <f>IFERROR(__xludf.DUMMYFUNCTION("IF(IF(U$1="""","""",REGEXMATCH(LOWER($E303),XLOOKUP(U$1,Metadata!$A$2:$A1000,Metadata!$B$2:$B1000))),U$1,"""")"),"")</f>
        <v/>
      </c>
      <c r="V303" s="33" t="str">
        <f>IFERROR(__xludf.DUMMYFUNCTION("IF(IF(V$1="""","""",REGEXMATCH(LOWER($E303),XLOOKUP(V$1,Metadata!$A$2:$A1000,Metadata!$B$2:$B1000))),V$1,"""")"),"")</f>
        <v/>
      </c>
      <c r="W303" s="33" t="str">
        <f>IFERROR(__xludf.DUMMYFUNCTION("IF(IF(W$1="""","""",REGEXMATCH(LOWER($E303),XLOOKUP(W$1,Metadata!$A$2:$A1000,Metadata!$B$2:$B1000))),W$1,"""")"),"")</f>
        <v/>
      </c>
      <c r="X303" s="33" t="str">
        <f>IFERROR(__xludf.DUMMYFUNCTION("IF(IF(X$1="""","""",REGEXMATCH(LOWER($E303),XLOOKUP(X$1,Metadata!$A$2:$A1000,Metadata!$B$2:$B1000))),X$1,"""")"),"Ambush")</f>
        <v>Ambush</v>
      </c>
      <c r="Y303" s="33" t="str">
        <f>IFERROR(__xludf.DUMMYFUNCTION("IF(IF(Y$1="""","""",REGEXMATCH(LOWER($E303),XLOOKUP(Y$1,Metadata!$A$2:$A1000,Metadata!$B$2:$B1000))),Y$1,"""")"),"")</f>
        <v/>
      </c>
      <c r="Z303" s="33" t="str">
        <f>IFERROR(__xludf.DUMMYFUNCTION("IF(IF(Z$1="""","""",REGEXMATCH(LOWER($E303),XLOOKUP(Z$1,Metadata!$A$2:$A1000,Metadata!$B$2:$B1000))),Z$1,"""")"),"")</f>
        <v/>
      </c>
      <c r="AA303" s="33" t="str">
        <f>IFERROR(__xludf.DUMMYFUNCTION("IF(AA$1="""","""",REGEXMATCH(LOWER($E303),XLOOKUP(AA$1,Metadata!$A$2:$A1000,Metadata!$B$2:$B1000)))"),"")</f>
        <v/>
      </c>
    </row>
    <row r="304">
      <c r="A304" s="33" t="str">
        <f>IFERROR(__xludf.DUMMYFUNCTION("""COMPUTED_VALUE"""),"Shadowpounce Panther")</f>
        <v>Shadowpounce Panther</v>
      </c>
      <c r="B304" s="33" t="str">
        <f t="array" ref="B304:I304">XLOOKUP($A304,Cards!$A$2:$A1000,Cards!$B$2:$I1000,"")</f>
        <v>Nature</v>
      </c>
      <c r="C304" s="33">
        <v>1.0</v>
      </c>
      <c r="D304" s="33" t="s">
        <v>266</v>
      </c>
      <c r="E304" s="33" t="s">
        <v>1736</v>
      </c>
      <c r="F304" s="33" t="s">
        <v>1737</v>
      </c>
      <c r="G304" s="33">
        <v>5.0</v>
      </c>
      <c r="H304" s="33" t="s">
        <v>1559</v>
      </c>
      <c r="I304" s="33" t="s">
        <v>26</v>
      </c>
      <c r="J304" s="33">
        <f>IFERROR(__xludf.DUMMYFUNCTION("LEN(REGEXREPLACE(XLOOKUP($A304,Cards!$A$2:$A1000,Cards!$H$2:$H1000,""""),"",\s"",""""))"),5.0)</f>
        <v>5</v>
      </c>
      <c r="K304" s="33" t="str">
        <f t="shared" si="1"/>
        <v>     Unearth      Move Ambush   </v>
      </c>
      <c r="L304" s="33" t="str">
        <f>IFERROR(__xludf.DUMMYFUNCTION("IF(IF(L$1="""","""",REGEXMATCH(LOWER($E304),XLOOKUP(L$1,Metadata!$A$2:$A1000,Metadata!$B$2:$B1000))),L$1,"""")"),"")</f>
        <v/>
      </c>
      <c r="M304" s="33" t="str">
        <f>IFERROR(__xludf.DUMMYFUNCTION("IF(IF(M$1="""","""",REGEXMATCH(LOWER($E304),XLOOKUP(M$1,Metadata!$A$2:$A1000,Metadata!$B$2:$B1000))),M$1,"""")"),"")</f>
        <v/>
      </c>
      <c r="N304" s="33" t="str">
        <f>IFERROR(__xludf.DUMMYFUNCTION("IF(IF(N$1="""","""",REGEXMATCH(LOWER($E304),XLOOKUP(N$1,Metadata!$A$2:$A1000,Metadata!$B$2:$B1000))),N$1,"""")"),"")</f>
        <v/>
      </c>
      <c r="O304" s="33" t="str">
        <f>IFERROR(__xludf.DUMMYFUNCTION("IF(IF(O$1="""","""",REGEXMATCH(LOWER($E304),XLOOKUP(O$1,Metadata!$A$2:$A1000,Metadata!$B$2:$B1000))),O$1,"""")"),"")</f>
        <v/>
      </c>
      <c r="P304" s="33" t="str">
        <f>IFERROR(__xludf.DUMMYFUNCTION("IF(IF(P$1="""","""",REGEXMATCH(LOWER($E304),XLOOKUP(P$1,Metadata!$A$2:$A1000,Metadata!$B$2:$B1000))),P$1,"""")"),"")</f>
        <v/>
      </c>
      <c r="Q304" s="33" t="str">
        <f>IFERROR(__xludf.DUMMYFUNCTION("IF(IF(Q$1="""","""",REGEXMATCH(LOWER($E304),XLOOKUP(Q$1,Metadata!$A$2:$A1000,Metadata!$B$2:$B1000))),Q$1,"""")"),"Unearth")</f>
        <v>Unearth</v>
      </c>
      <c r="R304" s="33" t="str">
        <f>IFERROR(__xludf.DUMMYFUNCTION("IF(IF(R$1="""","""",REGEXMATCH(LOWER($E304),XLOOKUP(R$1,Metadata!$A$2:$A1000,Metadata!$B$2:$B1000))),R$1,"""")"),"")</f>
        <v/>
      </c>
      <c r="S304" s="33" t="str">
        <f>IFERROR(__xludf.DUMMYFUNCTION("IF(IF(S$1="""","""",REGEXMATCH(LOWER($E304),XLOOKUP(S$1,Metadata!$A$2:$A1000,Metadata!$B$2:$B1000))),S$1,"""")"),"")</f>
        <v/>
      </c>
      <c r="T304" s="33" t="str">
        <f>IFERROR(__xludf.DUMMYFUNCTION("IF(IF(T$1="""","""",REGEXMATCH(LOWER($E304),XLOOKUP(T$1,Metadata!$A$2:$A1000,Metadata!$B$2:$B1000))),T$1,"""")"),"")</f>
        <v/>
      </c>
      <c r="U304" s="33" t="str">
        <f>IFERROR(__xludf.DUMMYFUNCTION("IF(IF(U$1="""","""",REGEXMATCH(LOWER($E304),XLOOKUP(U$1,Metadata!$A$2:$A1000,Metadata!$B$2:$B1000))),U$1,"""")"),"")</f>
        <v/>
      </c>
      <c r="V304" s="33" t="str">
        <f>IFERROR(__xludf.DUMMYFUNCTION("IF(IF(V$1="""","""",REGEXMATCH(LOWER($E304),XLOOKUP(V$1,Metadata!$A$2:$A1000,Metadata!$B$2:$B1000))),V$1,"""")"),"")</f>
        <v/>
      </c>
      <c r="W304" s="33" t="str">
        <f>IFERROR(__xludf.DUMMYFUNCTION("IF(IF(W$1="""","""",REGEXMATCH(LOWER($E304),XLOOKUP(W$1,Metadata!$A$2:$A1000,Metadata!$B$2:$B1000))),W$1,"""")"),"Move")</f>
        <v>Move</v>
      </c>
      <c r="X304" s="33" t="str">
        <f>IFERROR(__xludf.DUMMYFUNCTION("IF(IF(X$1="""","""",REGEXMATCH(LOWER($E304),XLOOKUP(X$1,Metadata!$A$2:$A1000,Metadata!$B$2:$B1000))),X$1,"""")"),"Ambush")</f>
        <v>Ambush</v>
      </c>
      <c r="Y304" s="33" t="str">
        <f>IFERROR(__xludf.DUMMYFUNCTION("IF(IF(Y$1="""","""",REGEXMATCH(LOWER($E304),XLOOKUP(Y$1,Metadata!$A$2:$A1000,Metadata!$B$2:$B1000))),Y$1,"""")"),"")</f>
        <v/>
      </c>
      <c r="Z304" s="33" t="str">
        <f>IFERROR(__xludf.DUMMYFUNCTION("IF(IF(Z$1="""","""",REGEXMATCH(LOWER($E304),XLOOKUP(Z$1,Metadata!$A$2:$A1000,Metadata!$B$2:$B1000))),Z$1,"""")"),"")</f>
        <v/>
      </c>
      <c r="AA304" s="33" t="str">
        <f>IFERROR(__xludf.DUMMYFUNCTION("IF(AA$1="""","""",REGEXMATCH(LOWER($E304),XLOOKUP(AA$1,Metadata!$A$2:$A1000,Metadata!$B$2:$B1000)))"),"")</f>
        <v/>
      </c>
    </row>
    <row r="305">
      <c r="A305" s="33" t="str">
        <f>IFERROR(__xludf.DUMMYFUNCTION("""COMPUTED_VALUE"""),"Shardtooth")</f>
        <v>Shardtooth</v>
      </c>
      <c r="B305" s="33" t="str">
        <f t="array" ref="B305:I305">XLOOKUP($A305,Cards!$A$2:$A1000,Cards!$B$2:$I1000,"")</f>
        <v>Nature</v>
      </c>
      <c r="C305" s="33">
        <v>1.0</v>
      </c>
      <c r="D305" s="33" t="s">
        <v>334</v>
      </c>
      <c r="E305" s="33" t="s">
        <v>1739</v>
      </c>
      <c r="F305" s="33"/>
      <c r="G305" s="33">
        <v>4.0</v>
      </c>
      <c r="H305" s="33" t="s">
        <v>1559</v>
      </c>
      <c r="I305" s="33" t="s">
        <v>62</v>
      </c>
      <c r="J305" s="33">
        <f>IFERROR(__xludf.DUMMYFUNCTION("LEN(REGEXREPLACE(XLOOKUP($A305,Cards!$A$2:$A1000,Cards!$H$2:$H1000,""""),"",\s"",""""))"),5.0)</f>
        <v>5</v>
      </c>
      <c r="K305" s="33" t="str">
        <f t="shared" si="1"/>
        <v>     Unearth       Ambush   </v>
      </c>
      <c r="L305" s="33" t="str">
        <f>IFERROR(__xludf.DUMMYFUNCTION("IF(IF(L$1="""","""",REGEXMATCH(LOWER($E305),XLOOKUP(L$1,Metadata!$A$2:$A1000,Metadata!$B$2:$B1000))),L$1,"""")"),"")</f>
        <v/>
      </c>
      <c r="M305" s="33" t="str">
        <f>IFERROR(__xludf.DUMMYFUNCTION("IF(IF(M$1="""","""",REGEXMATCH(LOWER($E305),XLOOKUP(M$1,Metadata!$A$2:$A1000,Metadata!$B$2:$B1000))),M$1,"""")"),"")</f>
        <v/>
      </c>
      <c r="N305" s="33" t="str">
        <f>IFERROR(__xludf.DUMMYFUNCTION("IF(IF(N$1="""","""",REGEXMATCH(LOWER($E305),XLOOKUP(N$1,Metadata!$A$2:$A1000,Metadata!$B$2:$B1000))),N$1,"""")"),"")</f>
        <v/>
      </c>
      <c r="O305" s="33" t="str">
        <f>IFERROR(__xludf.DUMMYFUNCTION("IF(IF(O$1="""","""",REGEXMATCH(LOWER($E305),XLOOKUP(O$1,Metadata!$A$2:$A1000,Metadata!$B$2:$B1000))),O$1,"""")"),"")</f>
        <v/>
      </c>
      <c r="P305" s="33" t="str">
        <f>IFERROR(__xludf.DUMMYFUNCTION("IF(IF(P$1="""","""",REGEXMATCH(LOWER($E305),XLOOKUP(P$1,Metadata!$A$2:$A1000,Metadata!$B$2:$B1000))),P$1,"""")"),"")</f>
        <v/>
      </c>
      <c r="Q305" s="33" t="str">
        <f>IFERROR(__xludf.DUMMYFUNCTION("IF(IF(Q$1="""","""",REGEXMATCH(LOWER($E305),XLOOKUP(Q$1,Metadata!$A$2:$A1000,Metadata!$B$2:$B1000))),Q$1,"""")"),"Unearth")</f>
        <v>Unearth</v>
      </c>
      <c r="R305" s="33" t="str">
        <f>IFERROR(__xludf.DUMMYFUNCTION("IF(IF(R$1="""","""",REGEXMATCH(LOWER($E305),XLOOKUP(R$1,Metadata!$A$2:$A1000,Metadata!$B$2:$B1000))),R$1,"""")"),"")</f>
        <v/>
      </c>
      <c r="S305" s="33" t="str">
        <f>IFERROR(__xludf.DUMMYFUNCTION("IF(IF(S$1="""","""",REGEXMATCH(LOWER($E305),XLOOKUP(S$1,Metadata!$A$2:$A1000,Metadata!$B$2:$B1000))),S$1,"""")"),"")</f>
        <v/>
      </c>
      <c r="T305" s="33" t="str">
        <f>IFERROR(__xludf.DUMMYFUNCTION("IF(IF(T$1="""","""",REGEXMATCH(LOWER($E305),XLOOKUP(T$1,Metadata!$A$2:$A1000,Metadata!$B$2:$B1000))),T$1,"""")"),"")</f>
        <v/>
      </c>
      <c r="U305" s="33" t="str">
        <f>IFERROR(__xludf.DUMMYFUNCTION("IF(IF(U$1="""","""",REGEXMATCH(LOWER($E305),XLOOKUP(U$1,Metadata!$A$2:$A1000,Metadata!$B$2:$B1000))),U$1,"""")"),"")</f>
        <v/>
      </c>
      <c r="V305" s="33" t="str">
        <f>IFERROR(__xludf.DUMMYFUNCTION("IF(IF(V$1="""","""",REGEXMATCH(LOWER($E305),XLOOKUP(V$1,Metadata!$A$2:$A1000,Metadata!$B$2:$B1000))),V$1,"""")"),"")</f>
        <v/>
      </c>
      <c r="W305" s="33" t="str">
        <f>IFERROR(__xludf.DUMMYFUNCTION("IF(IF(W$1="""","""",REGEXMATCH(LOWER($E305),XLOOKUP(W$1,Metadata!$A$2:$A1000,Metadata!$B$2:$B1000))),W$1,"""")"),"")</f>
        <v/>
      </c>
      <c r="X305" s="33" t="str">
        <f>IFERROR(__xludf.DUMMYFUNCTION("IF(IF(X$1="""","""",REGEXMATCH(LOWER($E305),XLOOKUP(X$1,Metadata!$A$2:$A1000,Metadata!$B$2:$B1000))),X$1,"""")"),"Ambush")</f>
        <v>Ambush</v>
      </c>
      <c r="Y305" s="33" t="str">
        <f>IFERROR(__xludf.DUMMYFUNCTION("IF(IF(Y$1="""","""",REGEXMATCH(LOWER($E305),XLOOKUP(Y$1,Metadata!$A$2:$A1000,Metadata!$B$2:$B1000))),Y$1,"""")"),"")</f>
        <v/>
      </c>
      <c r="Z305" s="33" t="str">
        <f>IFERROR(__xludf.DUMMYFUNCTION("IF(IF(Z$1="""","""",REGEXMATCH(LOWER($E305),XLOOKUP(Z$1,Metadata!$A$2:$A1000,Metadata!$B$2:$B1000))),Z$1,"""")"),"")</f>
        <v/>
      </c>
      <c r="AA305" s="33" t="str">
        <f>IFERROR(__xludf.DUMMYFUNCTION("IF(AA$1="""","""",REGEXMATCH(LOWER($E305),XLOOKUP(AA$1,Metadata!$A$2:$A1000,Metadata!$B$2:$B1000)))"),"")</f>
        <v/>
      </c>
    </row>
    <row r="306">
      <c r="A306" s="33" t="str">
        <f>IFERROR(__xludf.DUMMYFUNCTION("""COMPUTED_VALUE"""),"Hungry Shambler")</f>
        <v>Hungry Shambler</v>
      </c>
      <c r="B306" s="33" t="str">
        <f t="array" ref="B306:I306">XLOOKUP($A306,Cards!$A$2:$A1000,Cards!$B$2:$I1000,"")</f>
        <v>Void</v>
      </c>
      <c r="C306" s="33">
        <v>2.0</v>
      </c>
      <c r="D306" s="33" t="s">
        <v>1741</v>
      </c>
      <c r="E306" s="33" t="s">
        <v>1742</v>
      </c>
      <c r="F306" s="33" t="s">
        <v>1743</v>
      </c>
      <c r="G306" s="33">
        <v>3.0</v>
      </c>
      <c r="H306" s="33" t="s">
        <v>1688</v>
      </c>
      <c r="I306" s="33" t="s">
        <v>62</v>
      </c>
      <c r="J306" s="33">
        <f>IFERROR(__xludf.DUMMYFUNCTION("LEN(REGEXREPLACE(XLOOKUP($A306,Cards!$A$2:$A1000,Cards!$H$2:$H1000,""""),"",\s"",""""))"),2.0)</f>
        <v>2</v>
      </c>
      <c r="K306" s="33" t="str">
        <f t="shared" si="1"/>
        <v>               </v>
      </c>
      <c r="L306" s="33" t="str">
        <f>IFERROR(__xludf.DUMMYFUNCTION("IF(IF(L$1="""","""",REGEXMATCH(LOWER($E306),XLOOKUP(L$1,Metadata!$A$2:$A1000,Metadata!$B$2:$B1000))),L$1,"""")"),"")</f>
        <v/>
      </c>
      <c r="M306" s="33" t="str">
        <f>IFERROR(__xludf.DUMMYFUNCTION("IF(IF(M$1="""","""",REGEXMATCH(LOWER($E306),XLOOKUP(M$1,Metadata!$A$2:$A1000,Metadata!$B$2:$B1000))),M$1,"""")"),"")</f>
        <v/>
      </c>
      <c r="N306" s="33" t="str">
        <f>IFERROR(__xludf.DUMMYFUNCTION("IF(IF(N$1="""","""",REGEXMATCH(LOWER($E306),XLOOKUP(N$1,Metadata!$A$2:$A1000,Metadata!$B$2:$B1000))),N$1,"""")"),"")</f>
        <v/>
      </c>
      <c r="O306" s="33" t="str">
        <f>IFERROR(__xludf.DUMMYFUNCTION("IF(IF(O$1="""","""",REGEXMATCH(LOWER($E306),XLOOKUP(O$1,Metadata!$A$2:$A1000,Metadata!$B$2:$B1000))),O$1,"""")"),"")</f>
        <v/>
      </c>
      <c r="P306" s="33" t="str">
        <f>IFERROR(__xludf.DUMMYFUNCTION("IF(IF(P$1="""","""",REGEXMATCH(LOWER($E306),XLOOKUP(P$1,Metadata!$A$2:$A1000,Metadata!$B$2:$B1000))),P$1,"""")"),"")</f>
        <v/>
      </c>
      <c r="Q306" s="33" t="str">
        <f>IFERROR(__xludf.DUMMYFUNCTION("IF(IF(Q$1="""","""",REGEXMATCH(LOWER($E306),XLOOKUP(Q$1,Metadata!$A$2:$A1000,Metadata!$B$2:$B1000))),Q$1,"""")"),"")</f>
        <v/>
      </c>
      <c r="R306" s="33" t="str">
        <f>IFERROR(__xludf.DUMMYFUNCTION("IF(IF(R$1="""","""",REGEXMATCH(LOWER($E306),XLOOKUP(R$1,Metadata!$A$2:$A1000,Metadata!$B$2:$B1000))),R$1,"""")"),"")</f>
        <v/>
      </c>
      <c r="S306" s="33" t="str">
        <f>IFERROR(__xludf.DUMMYFUNCTION("IF(IF(S$1="""","""",REGEXMATCH(LOWER($E306),XLOOKUP(S$1,Metadata!$A$2:$A1000,Metadata!$B$2:$B1000))),S$1,"""")"),"")</f>
        <v/>
      </c>
      <c r="T306" s="33" t="str">
        <f>IFERROR(__xludf.DUMMYFUNCTION("IF(IF(T$1="""","""",REGEXMATCH(LOWER($E306),XLOOKUP(T$1,Metadata!$A$2:$A1000,Metadata!$B$2:$B1000))),T$1,"""")"),"")</f>
        <v/>
      </c>
      <c r="U306" s="33" t="str">
        <f>IFERROR(__xludf.DUMMYFUNCTION("IF(IF(U$1="""","""",REGEXMATCH(LOWER($E306),XLOOKUP(U$1,Metadata!$A$2:$A1000,Metadata!$B$2:$B1000))),U$1,"""")"),"")</f>
        <v/>
      </c>
      <c r="V306" s="33" t="str">
        <f>IFERROR(__xludf.DUMMYFUNCTION("IF(IF(V$1="""","""",REGEXMATCH(LOWER($E306),XLOOKUP(V$1,Metadata!$A$2:$A1000,Metadata!$B$2:$B1000))),V$1,"""")"),"")</f>
        <v/>
      </c>
      <c r="W306" s="33" t="str">
        <f>IFERROR(__xludf.DUMMYFUNCTION("IF(IF(W$1="""","""",REGEXMATCH(LOWER($E306),XLOOKUP(W$1,Metadata!$A$2:$A1000,Metadata!$B$2:$B1000))),W$1,"""")"),"")</f>
        <v/>
      </c>
      <c r="X306" s="33" t="str">
        <f>IFERROR(__xludf.DUMMYFUNCTION("IF(IF(X$1="""","""",REGEXMATCH(LOWER($E306),XLOOKUP(X$1,Metadata!$A$2:$A1000,Metadata!$B$2:$B1000))),X$1,"""")"),"")</f>
        <v/>
      </c>
      <c r="Y306" s="33" t="str">
        <f>IFERROR(__xludf.DUMMYFUNCTION("IF(IF(Y$1="""","""",REGEXMATCH(LOWER($E306),XLOOKUP(Y$1,Metadata!$A$2:$A1000,Metadata!$B$2:$B1000))),Y$1,"""")"),"")</f>
        <v/>
      </c>
      <c r="Z306" s="33" t="str">
        <f>IFERROR(__xludf.DUMMYFUNCTION("IF(IF(Z$1="""","""",REGEXMATCH(LOWER($E306),XLOOKUP(Z$1,Metadata!$A$2:$A1000,Metadata!$B$2:$B1000))),Z$1,"""")"),"")</f>
        <v/>
      </c>
      <c r="AA306" s="33" t="str">
        <f>IFERROR(__xludf.DUMMYFUNCTION("IF(AA$1="""","""",REGEXMATCH(LOWER($E306),XLOOKUP(AA$1,Metadata!$A$2:$A1000,Metadata!$B$2:$B1000)))"),"")</f>
        <v/>
      </c>
    </row>
    <row r="307">
      <c r="A307" s="33" t="str">
        <f>IFERROR(__xludf.DUMMYFUNCTION("""COMPUTED_VALUE"""),"Sunflower Sprite")</f>
        <v>Sunflower Sprite</v>
      </c>
      <c r="B307" s="33" t="str">
        <f t="array" ref="B307:I307">XLOOKUP($A307,Cards!$A$2:$A1000,Cards!$B$2:$I1000,"")</f>
        <v>Nature</v>
      </c>
      <c r="C307" s="33">
        <v>1.0</v>
      </c>
      <c r="D307" s="33" t="s">
        <v>1745</v>
      </c>
      <c r="E307" s="33" t="s">
        <v>1746</v>
      </c>
      <c r="F307" s="33" t="s">
        <v>1747</v>
      </c>
      <c r="G307" s="33">
        <v>1.0</v>
      </c>
      <c r="H307" s="33" t="s">
        <v>1446</v>
      </c>
      <c r="I307" s="33" t="s">
        <v>26</v>
      </c>
      <c r="J307" s="33">
        <f>IFERROR(__xludf.DUMMYFUNCTION("LEN(REGEXREPLACE(XLOOKUP($A307,Cards!$A$2:$A1000,Cards!$H$2:$H1000,""""),"",\s"",""""))"),2.0)</f>
        <v>2</v>
      </c>
      <c r="K307" s="33" t="str">
        <f t="shared" si="1"/>
        <v>   Nature            </v>
      </c>
      <c r="L307" s="33" t="str">
        <f>IFERROR(__xludf.DUMMYFUNCTION("IF(IF(L$1="""","""",REGEXMATCH(LOWER($E307),XLOOKUP(L$1,Metadata!$A$2:$A1000,Metadata!$B$2:$B1000))),L$1,"""")"),"")</f>
        <v/>
      </c>
      <c r="M307" s="33" t="str">
        <f>IFERROR(__xludf.DUMMYFUNCTION("IF(IF(M$1="""","""",REGEXMATCH(LOWER($E307),XLOOKUP(M$1,Metadata!$A$2:$A1000,Metadata!$B$2:$B1000))),M$1,"""")"),"")</f>
        <v/>
      </c>
      <c r="N307" s="33" t="str">
        <f>IFERROR(__xludf.DUMMYFUNCTION("IF(IF(N$1="""","""",REGEXMATCH(LOWER($E307),XLOOKUP(N$1,Metadata!$A$2:$A1000,Metadata!$B$2:$B1000))),N$1,"""")"),"")</f>
        <v/>
      </c>
      <c r="O307" s="33" t="str">
        <f>IFERROR(__xludf.DUMMYFUNCTION("IF(IF(O$1="""","""",REGEXMATCH(LOWER($E307),XLOOKUP(O$1,Metadata!$A$2:$A1000,Metadata!$B$2:$B1000))),O$1,"""")"),"Nature")</f>
        <v>Nature</v>
      </c>
      <c r="P307" s="33" t="str">
        <f>IFERROR(__xludf.DUMMYFUNCTION("IF(IF(P$1="""","""",REGEXMATCH(LOWER($E307),XLOOKUP(P$1,Metadata!$A$2:$A1000,Metadata!$B$2:$B1000))),P$1,"""")"),"")</f>
        <v/>
      </c>
      <c r="Q307" s="33" t="str">
        <f>IFERROR(__xludf.DUMMYFUNCTION("IF(IF(Q$1="""","""",REGEXMATCH(LOWER($E307),XLOOKUP(Q$1,Metadata!$A$2:$A1000,Metadata!$B$2:$B1000))),Q$1,"""")"),"")</f>
        <v/>
      </c>
      <c r="R307" s="33" t="str">
        <f>IFERROR(__xludf.DUMMYFUNCTION("IF(IF(R$1="""","""",REGEXMATCH(LOWER($E307),XLOOKUP(R$1,Metadata!$A$2:$A1000,Metadata!$B$2:$B1000))),R$1,"""")"),"")</f>
        <v/>
      </c>
      <c r="S307" s="33" t="str">
        <f>IFERROR(__xludf.DUMMYFUNCTION("IF(IF(S$1="""","""",REGEXMATCH(LOWER($E307),XLOOKUP(S$1,Metadata!$A$2:$A1000,Metadata!$B$2:$B1000))),S$1,"""")"),"")</f>
        <v/>
      </c>
      <c r="T307" s="33" t="str">
        <f>IFERROR(__xludf.DUMMYFUNCTION("IF(IF(T$1="""","""",REGEXMATCH(LOWER($E307),XLOOKUP(T$1,Metadata!$A$2:$A1000,Metadata!$B$2:$B1000))),T$1,"""")"),"")</f>
        <v/>
      </c>
      <c r="U307" s="33" t="str">
        <f>IFERROR(__xludf.DUMMYFUNCTION("IF(IF(U$1="""","""",REGEXMATCH(LOWER($E307),XLOOKUP(U$1,Metadata!$A$2:$A1000,Metadata!$B$2:$B1000))),U$1,"""")"),"")</f>
        <v/>
      </c>
      <c r="V307" s="33" t="str">
        <f>IFERROR(__xludf.DUMMYFUNCTION("IF(IF(V$1="""","""",REGEXMATCH(LOWER($E307),XLOOKUP(V$1,Metadata!$A$2:$A1000,Metadata!$B$2:$B1000))),V$1,"""")"),"")</f>
        <v/>
      </c>
      <c r="W307" s="33" t="str">
        <f>IFERROR(__xludf.DUMMYFUNCTION("IF(IF(W$1="""","""",REGEXMATCH(LOWER($E307),XLOOKUP(W$1,Metadata!$A$2:$A1000,Metadata!$B$2:$B1000))),W$1,"""")"),"")</f>
        <v/>
      </c>
      <c r="X307" s="33" t="str">
        <f>IFERROR(__xludf.DUMMYFUNCTION("IF(IF(X$1="""","""",REGEXMATCH(LOWER($E307),XLOOKUP(X$1,Metadata!$A$2:$A1000,Metadata!$B$2:$B1000))),X$1,"""")"),"")</f>
        <v/>
      </c>
      <c r="Y307" s="33" t="str">
        <f>IFERROR(__xludf.DUMMYFUNCTION("IF(IF(Y$1="""","""",REGEXMATCH(LOWER($E307),XLOOKUP(Y$1,Metadata!$A$2:$A1000,Metadata!$B$2:$B1000))),Y$1,"""")"),"")</f>
        <v/>
      </c>
      <c r="Z307" s="33" t="str">
        <f>IFERROR(__xludf.DUMMYFUNCTION("IF(IF(Z$1="""","""",REGEXMATCH(LOWER($E307),XLOOKUP(Z$1,Metadata!$A$2:$A1000,Metadata!$B$2:$B1000))),Z$1,"""")"),"")</f>
        <v/>
      </c>
      <c r="AA307" s="33" t="str">
        <f>IFERROR(__xludf.DUMMYFUNCTION("IF(AA$1="""","""",REGEXMATCH(LOWER($E307),XLOOKUP(AA$1,Metadata!$A$2:$A1000,Metadata!$B$2:$B1000)))"),"")</f>
        <v/>
      </c>
    </row>
    <row r="308">
      <c r="A308" s="33" t="str">
        <f>IFERROR(__xludf.DUMMYFUNCTION("""COMPUTED_VALUE"""),"Tiger Matriarch")</f>
        <v>Tiger Matriarch</v>
      </c>
      <c r="B308" s="33" t="str">
        <f t="array" ref="B308:I308">XLOOKUP($A308,Cards!$A$2:$A1000,Cards!$B$2:$I1000,"")</f>
        <v>Nature</v>
      </c>
      <c r="C308" s="33">
        <v>1.0</v>
      </c>
      <c r="D308" s="33" t="s">
        <v>266</v>
      </c>
      <c r="E308" s="33" t="s">
        <v>1749</v>
      </c>
      <c r="F308" s="33" t="s">
        <v>1750</v>
      </c>
      <c r="G308" s="33">
        <v>1.0</v>
      </c>
      <c r="H308" s="33" t="s">
        <v>1470</v>
      </c>
      <c r="I308" s="33" t="s">
        <v>26</v>
      </c>
      <c r="J308" s="33">
        <f>IFERROR(__xludf.DUMMYFUNCTION("LEN(REGEXREPLACE(XLOOKUP($A308,Cards!$A$2:$A1000,Cards!$H$2:$H1000,""""),"",\s"",""""))"),3.0)</f>
        <v>3</v>
      </c>
      <c r="K308" s="33" t="str">
        <f t="shared" si="1"/>
        <v>   Nature            </v>
      </c>
      <c r="L308" s="33" t="str">
        <f>IFERROR(__xludf.DUMMYFUNCTION("IF(IF(L$1="""","""",REGEXMATCH(LOWER($E308),XLOOKUP(L$1,Metadata!$A$2:$A1000,Metadata!$B$2:$B1000))),L$1,"""")"),"")</f>
        <v/>
      </c>
      <c r="M308" s="33" t="str">
        <f>IFERROR(__xludf.DUMMYFUNCTION("IF(IF(M$1="""","""",REGEXMATCH(LOWER($E308),XLOOKUP(M$1,Metadata!$A$2:$A1000,Metadata!$B$2:$B1000))),M$1,"""")"),"")</f>
        <v/>
      </c>
      <c r="N308" s="33" t="str">
        <f>IFERROR(__xludf.DUMMYFUNCTION("IF(IF(N$1="""","""",REGEXMATCH(LOWER($E308),XLOOKUP(N$1,Metadata!$A$2:$A1000,Metadata!$B$2:$B1000))),N$1,"""")"),"")</f>
        <v/>
      </c>
      <c r="O308" s="33" t="str">
        <f>IFERROR(__xludf.DUMMYFUNCTION("IF(IF(O$1="""","""",REGEXMATCH(LOWER($E308),XLOOKUP(O$1,Metadata!$A$2:$A1000,Metadata!$B$2:$B1000))),O$1,"""")"),"Nature")</f>
        <v>Nature</v>
      </c>
      <c r="P308" s="33" t="str">
        <f>IFERROR(__xludf.DUMMYFUNCTION("IF(IF(P$1="""","""",REGEXMATCH(LOWER($E308),XLOOKUP(P$1,Metadata!$A$2:$A1000,Metadata!$B$2:$B1000))),P$1,"""")"),"")</f>
        <v/>
      </c>
      <c r="Q308" s="33" t="str">
        <f>IFERROR(__xludf.DUMMYFUNCTION("IF(IF(Q$1="""","""",REGEXMATCH(LOWER($E308),XLOOKUP(Q$1,Metadata!$A$2:$A1000,Metadata!$B$2:$B1000))),Q$1,"""")"),"")</f>
        <v/>
      </c>
      <c r="R308" s="33" t="str">
        <f>IFERROR(__xludf.DUMMYFUNCTION("IF(IF(R$1="""","""",REGEXMATCH(LOWER($E308),XLOOKUP(R$1,Metadata!$A$2:$A1000,Metadata!$B$2:$B1000))),R$1,"""")"),"")</f>
        <v/>
      </c>
      <c r="S308" s="33" t="str">
        <f>IFERROR(__xludf.DUMMYFUNCTION("IF(IF(S$1="""","""",REGEXMATCH(LOWER($E308),XLOOKUP(S$1,Metadata!$A$2:$A1000,Metadata!$B$2:$B1000))),S$1,"""")"),"")</f>
        <v/>
      </c>
      <c r="T308" s="33" t="str">
        <f>IFERROR(__xludf.DUMMYFUNCTION("IF(IF(T$1="""","""",REGEXMATCH(LOWER($E308),XLOOKUP(T$1,Metadata!$A$2:$A1000,Metadata!$B$2:$B1000))),T$1,"""")"),"")</f>
        <v/>
      </c>
      <c r="U308" s="33" t="str">
        <f>IFERROR(__xludf.DUMMYFUNCTION("IF(IF(U$1="""","""",REGEXMATCH(LOWER($E308),XLOOKUP(U$1,Metadata!$A$2:$A1000,Metadata!$B$2:$B1000))),U$1,"""")"),"")</f>
        <v/>
      </c>
      <c r="V308" s="33" t="str">
        <f>IFERROR(__xludf.DUMMYFUNCTION("IF(IF(V$1="""","""",REGEXMATCH(LOWER($E308),XLOOKUP(V$1,Metadata!$A$2:$A1000,Metadata!$B$2:$B1000))),V$1,"""")"),"")</f>
        <v/>
      </c>
      <c r="W308" s="33" t="str">
        <f>IFERROR(__xludf.DUMMYFUNCTION("IF(IF(W$1="""","""",REGEXMATCH(LOWER($E308),XLOOKUP(W$1,Metadata!$A$2:$A1000,Metadata!$B$2:$B1000))),W$1,"""")"),"")</f>
        <v/>
      </c>
      <c r="X308" s="33" t="str">
        <f>IFERROR(__xludf.DUMMYFUNCTION("IF(IF(X$1="""","""",REGEXMATCH(LOWER($E308),XLOOKUP(X$1,Metadata!$A$2:$A1000,Metadata!$B$2:$B1000))),X$1,"""")"),"")</f>
        <v/>
      </c>
      <c r="Y308" s="33" t="str">
        <f>IFERROR(__xludf.DUMMYFUNCTION("IF(IF(Y$1="""","""",REGEXMATCH(LOWER($E308),XLOOKUP(Y$1,Metadata!$A$2:$A1000,Metadata!$B$2:$B1000))),Y$1,"""")"),"")</f>
        <v/>
      </c>
      <c r="Z308" s="33" t="str">
        <f>IFERROR(__xludf.DUMMYFUNCTION("IF(IF(Z$1="""","""",REGEXMATCH(LOWER($E308),XLOOKUP(Z$1,Metadata!$A$2:$A1000,Metadata!$B$2:$B1000))),Z$1,"""")"),"")</f>
        <v/>
      </c>
      <c r="AA308" s="33" t="str">
        <f>IFERROR(__xludf.DUMMYFUNCTION("IF(AA$1="""","""",REGEXMATCH(LOWER($E308),XLOOKUP(AA$1,Metadata!$A$2:$A1000,Metadata!$B$2:$B1000)))"),"")</f>
        <v/>
      </c>
    </row>
    <row r="309">
      <c r="A309" s="33" t="str">
        <f>IFERROR(__xludf.DUMMYFUNCTION("""COMPUTED_VALUE"""),"Meekbone Soldier")</f>
        <v>Meekbone Soldier</v>
      </c>
      <c r="B309" s="33" t="str">
        <f t="array" ref="B309:I309">XLOOKUP($A309,Cards!$A$2:$A1000,Cards!$B$2:$I1000,"")</f>
        <v>Void</v>
      </c>
      <c r="C309" s="33">
        <v>2.0</v>
      </c>
      <c r="D309" s="33" t="s">
        <v>180</v>
      </c>
      <c r="E309" s="33" t="s">
        <v>1752</v>
      </c>
      <c r="F309" s="33" t="s">
        <v>1691</v>
      </c>
      <c r="G309" s="33">
        <v>1.0</v>
      </c>
      <c r="H309" s="33" t="s">
        <v>1684</v>
      </c>
      <c r="I309" s="33" t="s">
        <v>26</v>
      </c>
      <c r="J309" s="33">
        <f>IFERROR(__xludf.DUMMYFUNCTION("LEN(REGEXREPLACE(XLOOKUP($A309,Cards!$A$2:$A1000,Cards!$H$2:$H1000,""""),"",\s"",""""))"),3.0)</f>
        <v>3</v>
      </c>
      <c r="K309" s="33" t="str">
        <f t="shared" si="1"/>
        <v>               </v>
      </c>
      <c r="L309" s="33" t="str">
        <f>IFERROR(__xludf.DUMMYFUNCTION("IF(IF(L$1="""","""",REGEXMATCH(LOWER($E309),XLOOKUP(L$1,Metadata!$A$2:$A1000,Metadata!$B$2:$B1000))),L$1,"""")"),"")</f>
        <v/>
      </c>
      <c r="M309" s="33" t="str">
        <f>IFERROR(__xludf.DUMMYFUNCTION("IF(IF(M$1="""","""",REGEXMATCH(LOWER($E309),XLOOKUP(M$1,Metadata!$A$2:$A1000,Metadata!$B$2:$B1000))),M$1,"""")"),"")</f>
        <v/>
      </c>
      <c r="N309" s="33" t="str">
        <f>IFERROR(__xludf.DUMMYFUNCTION("IF(IF(N$1="""","""",REGEXMATCH(LOWER($E309),XLOOKUP(N$1,Metadata!$A$2:$A1000,Metadata!$B$2:$B1000))),N$1,"""")"),"")</f>
        <v/>
      </c>
      <c r="O309" s="33" t="str">
        <f>IFERROR(__xludf.DUMMYFUNCTION("IF(IF(O$1="""","""",REGEXMATCH(LOWER($E309),XLOOKUP(O$1,Metadata!$A$2:$A1000,Metadata!$B$2:$B1000))),O$1,"""")"),"")</f>
        <v/>
      </c>
      <c r="P309" s="33" t="str">
        <f>IFERROR(__xludf.DUMMYFUNCTION("IF(IF(P$1="""","""",REGEXMATCH(LOWER($E309),XLOOKUP(P$1,Metadata!$A$2:$A1000,Metadata!$B$2:$B1000))),P$1,"""")"),"")</f>
        <v/>
      </c>
      <c r="Q309" s="33" t="str">
        <f>IFERROR(__xludf.DUMMYFUNCTION("IF(IF(Q$1="""","""",REGEXMATCH(LOWER($E309),XLOOKUP(Q$1,Metadata!$A$2:$A1000,Metadata!$B$2:$B1000))),Q$1,"""")"),"")</f>
        <v/>
      </c>
      <c r="R309" s="33" t="str">
        <f>IFERROR(__xludf.DUMMYFUNCTION("IF(IF(R$1="""","""",REGEXMATCH(LOWER($E309),XLOOKUP(R$1,Metadata!$A$2:$A1000,Metadata!$B$2:$B1000))),R$1,"""")"),"")</f>
        <v/>
      </c>
      <c r="S309" s="33" t="str">
        <f>IFERROR(__xludf.DUMMYFUNCTION("IF(IF(S$1="""","""",REGEXMATCH(LOWER($E309),XLOOKUP(S$1,Metadata!$A$2:$A1000,Metadata!$B$2:$B1000))),S$1,"""")"),"")</f>
        <v/>
      </c>
      <c r="T309" s="33" t="str">
        <f>IFERROR(__xludf.DUMMYFUNCTION("IF(IF(T$1="""","""",REGEXMATCH(LOWER($E309),XLOOKUP(T$1,Metadata!$A$2:$A1000,Metadata!$B$2:$B1000))),T$1,"""")"),"")</f>
        <v/>
      </c>
      <c r="U309" s="33" t="str">
        <f>IFERROR(__xludf.DUMMYFUNCTION("IF(IF(U$1="""","""",REGEXMATCH(LOWER($E309),XLOOKUP(U$1,Metadata!$A$2:$A1000,Metadata!$B$2:$B1000))),U$1,"""")"),"")</f>
        <v/>
      </c>
      <c r="V309" s="33" t="str">
        <f>IFERROR(__xludf.DUMMYFUNCTION("IF(IF(V$1="""","""",REGEXMATCH(LOWER($E309),XLOOKUP(V$1,Metadata!$A$2:$A1000,Metadata!$B$2:$B1000))),V$1,"""")"),"")</f>
        <v/>
      </c>
      <c r="W309" s="33" t="str">
        <f>IFERROR(__xludf.DUMMYFUNCTION("IF(IF(W$1="""","""",REGEXMATCH(LOWER($E309),XLOOKUP(W$1,Metadata!$A$2:$A1000,Metadata!$B$2:$B1000))),W$1,"""")"),"")</f>
        <v/>
      </c>
      <c r="X309" s="33" t="str">
        <f>IFERROR(__xludf.DUMMYFUNCTION("IF(IF(X$1="""","""",REGEXMATCH(LOWER($E309),XLOOKUP(X$1,Metadata!$A$2:$A1000,Metadata!$B$2:$B1000))),X$1,"""")"),"")</f>
        <v/>
      </c>
      <c r="Y309" s="33" t="str">
        <f>IFERROR(__xludf.DUMMYFUNCTION("IF(IF(Y$1="""","""",REGEXMATCH(LOWER($E309),XLOOKUP(Y$1,Metadata!$A$2:$A1000,Metadata!$B$2:$B1000))),Y$1,"""")"),"")</f>
        <v/>
      </c>
      <c r="Z309" s="33" t="str">
        <f>IFERROR(__xludf.DUMMYFUNCTION("IF(IF(Z$1="""","""",REGEXMATCH(LOWER($E309),XLOOKUP(Z$1,Metadata!$A$2:$A1000,Metadata!$B$2:$B1000))),Z$1,"""")"),"")</f>
        <v/>
      </c>
      <c r="AA309" s="33" t="str">
        <f>IFERROR(__xludf.DUMMYFUNCTION("IF(AA$1="""","""",REGEXMATCH(LOWER($E309),XLOOKUP(AA$1,Metadata!$A$2:$A1000,Metadata!$B$2:$B1000)))"),"")</f>
        <v/>
      </c>
    </row>
    <row r="310">
      <c r="A310" s="33" t="str">
        <f>IFERROR(__xludf.DUMMYFUNCTION("""COMPUTED_VALUE"""),"Monarch of Shadows")</f>
        <v>Monarch of Shadows</v>
      </c>
      <c r="B310" s="33" t="str">
        <f t="array" ref="B310:I310">XLOOKUP($A310,Cards!$A$2:$A1000,Cards!$B$2:$I1000,"")</f>
        <v>Void</v>
      </c>
      <c r="C310" s="33">
        <v>2.0</v>
      </c>
      <c r="D310" s="33" t="s">
        <v>1641</v>
      </c>
      <c r="E310" s="33" t="s">
        <v>1754</v>
      </c>
      <c r="F310" s="33" t="s">
        <v>1755</v>
      </c>
      <c r="G310" s="33">
        <v>1.0</v>
      </c>
      <c r="H310" s="33" t="s">
        <v>1734</v>
      </c>
      <c r="I310" s="33" t="s">
        <v>62</v>
      </c>
      <c r="J310" s="33">
        <f>IFERROR(__xludf.DUMMYFUNCTION("LEN(REGEXREPLACE(XLOOKUP($A310,Cards!$A$2:$A1000,Cards!$H$2:$H1000,""""),"",\s"",""""))"),4.0)</f>
        <v>4</v>
      </c>
      <c r="K310" s="33" t="str">
        <f t="shared" si="1"/>
        <v>            Ambush   </v>
      </c>
      <c r="L310" s="33" t="str">
        <f>IFERROR(__xludf.DUMMYFUNCTION("IF(IF(L$1="""","""",REGEXMATCH(LOWER($E310),XLOOKUP(L$1,Metadata!$A$2:$A1000,Metadata!$B$2:$B1000))),L$1,"""")"),"")</f>
        <v/>
      </c>
      <c r="M310" s="33" t="str">
        <f>IFERROR(__xludf.DUMMYFUNCTION("IF(IF(M$1="""","""",REGEXMATCH(LOWER($E310),XLOOKUP(M$1,Metadata!$A$2:$A1000,Metadata!$B$2:$B1000))),M$1,"""")"),"")</f>
        <v/>
      </c>
      <c r="N310" s="33" t="str">
        <f>IFERROR(__xludf.DUMMYFUNCTION("IF(IF(N$1="""","""",REGEXMATCH(LOWER($E310),XLOOKUP(N$1,Metadata!$A$2:$A1000,Metadata!$B$2:$B1000))),N$1,"""")"),"")</f>
        <v/>
      </c>
      <c r="O310" s="33" t="str">
        <f>IFERROR(__xludf.DUMMYFUNCTION("IF(IF(O$1="""","""",REGEXMATCH(LOWER($E310),XLOOKUP(O$1,Metadata!$A$2:$A1000,Metadata!$B$2:$B1000))),O$1,"""")"),"")</f>
        <v/>
      </c>
      <c r="P310" s="33" t="str">
        <f>IFERROR(__xludf.DUMMYFUNCTION("IF(IF(P$1="""","""",REGEXMATCH(LOWER($E310),XLOOKUP(P$1,Metadata!$A$2:$A1000,Metadata!$B$2:$B1000))),P$1,"""")"),"")</f>
        <v/>
      </c>
      <c r="Q310" s="33" t="str">
        <f>IFERROR(__xludf.DUMMYFUNCTION("IF(IF(Q$1="""","""",REGEXMATCH(LOWER($E310),XLOOKUP(Q$1,Metadata!$A$2:$A1000,Metadata!$B$2:$B1000))),Q$1,"""")"),"")</f>
        <v/>
      </c>
      <c r="R310" s="33" t="str">
        <f>IFERROR(__xludf.DUMMYFUNCTION("IF(IF(R$1="""","""",REGEXMATCH(LOWER($E310),XLOOKUP(R$1,Metadata!$A$2:$A1000,Metadata!$B$2:$B1000))),R$1,"""")"),"")</f>
        <v/>
      </c>
      <c r="S310" s="33" t="str">
        <f>IFERROR(__xludf.DUMMYFUNCTION("IF(IF(S$1="""","""",REGEXMATCH(LOWER($E310),XLOOKUP(S$1,Metadata!$A$2:$A1000,Metadata!$B$2:$B1000))),S$1,"""")"),"")</f>
        <v/>
      </c>
      <c r="T310" s="33" t="str">
        <f>IFERROR(__xludf.DUMMYFUNCTION("IF(IF(T$1="""","""",REGEXMATCH(LOWER($E310),XLOOKUP(T$1,Metadata!$A$2:$A1000,Metadata!$B$2:$B1000))),T$1,"""")"),"")</f>
        <v/>
      </c>
      <c r="U310" s="33" t="str">
        <f>IFERROR(__xludf.DUMMYFUNCTION("IF(IF(U$1="""","""",REGEXMATCH(LOWER($E310),XLOOKUP(U$1,Metadata!$A$2:$A1000,Metadata!$B$2:$B1000))),U$1,"""")"),"")</f>
        <v/>
      </c>
      <c r="V310" s="33" t="str">
        <f>IFERROR(__xludf.DUMMYFUNCTION("IF(IF(V$1="""","""",REGEXMATCH(LOWER($E310),XLOOKUP(V$1,Metadata!$A$2:$A1000,Metadata!$B$2:$B1000))),V$1,"""")"),"")</f>
        <v/>
      </c>
      <c r="W310" s="33" t="str">
        <f>IFERROR(__xludf.DUMMYFUNCTION("IF(IF(W$1="""","""",REGEXMATCH(LOWER($E310),XLOOKUP(W$1,Metadata!$A$2:$A1000,Metadata!$B$2:$B1000))),W$1,"""")"),"")</f>
        <v/>
      </c>
      <c r="X310" s="33" t="str">
        <f>IFERROR(__xludf.DUMMYFUNCTION("IF(IF(X$1="""","""",REGEXMATCH(LOWER($E310),XLOOKUP(X$1,Metadata!$A$2:$A1000,Metadata!$B$2:$B1000))),X$1,"""")"),"Ambush")</f>
        <v>Ambush</v>
      </c>
      <c r="Y310" s="33" t="str">
        <f>IFERROR(__xludf.DUMMYFUNCTION("IF(IF(Y$1="""","""",REGEXMATCH(LOWER($E310),XLOOKUP(Y$1,Metadata!$A$2:$A1000,Metadata!$B$2:$B1000))),Y$1,"""")"),"")</f>
        <v/>
      </c>
      <c r="Z310" s="33" t="str">
        <f>IFERROR(__xludf.DUMMYFUNCTION("IF(IF(Z$1="""","""",REGEXMATCH(LOWER($E310),XLOOKUP(Z$1,Metadata!$A$2:$A1000,Metadata!$B$2:$B1000))),Z$1,"""")"),"")</f>
        <v/>
      </c>
      <c r="AA310" s="33" t="str">
        <f>IFERROR(__xludf.DUMMYFUNCTION("IF(AA$1="""","""",REGEXMATCH(LOWER($E310),XLOOKUP(AA$1,Metadata!$A$2:$A1000,Metadata!$B$2:$B1000)))"),"")</f>
        <v/>
      </c>
    </row>
    <row r="311">
      <c r="A311" s="33" t="str">
        <f>IFERROR(__xludf.DUMMYFUNCTION("""COMPUTED_VALUE"""),"Venus Flytrap")</f>
        <v>Venus Flytrap</v>
      </c>
      <c r="B311" s="33" t="str">
        <f t="array" ref="B311:I311">XLOOKUP($A311,Cards!$A$2:$A1000,Cards!$B$2:$I1000,"")</f>
        <v>Nature</v>
      </c>
      <c r="C311" s="33">
        <v>1.0</v>
      </c>
      <c r="D311" s="33" t="s">
        <v>1610</v>
      </c>
      <c r="E311" s="33" t="s">
        <v>1757</v>
      </c>
      <c r="F311" s="33" t="s">
        <v>1758</v>
      </c>
      <c r="G311" s="33">
        <v>2.0</v>
      </c>
      <c r="H311" s="33" t="s">
        <v>1466</v>
      </c>
      <c r="I311" s="33" t="s">
        <v>62</v>
      </c>
      <c r="J311" s="33">
        <f>IFERROR(__xludf.DUMMYFUNCTION("LEN(REGEXREPLACE(XLOOKUP($A311,Cards!$A$2:$A1000,Cards!$H$2:$H1000,""""),"",\s"",""""))"),4.0)</f>
        <v>4</v>
      </c>
      <c r="K311" s="33" t="str">
        <f t="shared" si="1"/>
        <v>     Unearth  Control     Ambush   </v>
      </c>
      <c r="L311" s="33" t="str">
        <f>IFERROR(__xludf.DUMMYFUNCTION("IF(IF(L$1="""","""",REGEXMATCH(LOWER($E311),XLOOKUP(L$1,Metadata!$A$2:$A1000,Metadata!$B$2:$B1000))),L$1,"""")"),"")</f>
        <v/>
      </c>
      <c r="M311" s="33" t="str">
        <f>IFERROR(__xludf.DUMMYFUNCTION("IF(IF(M$1="""","""",REGEXMATCH(LOWER($E311),XLOOKUP(M$1,Metadata!$A$2:$A1000,Metadata!$B$2:$B1000))),M$1,"""")"),"")</f>
        <v/>
      </c>
      <c r="N311" s="33" t="str">
        <f>IFERROR(__xludf.DUMMYFUNCTION("IF(IF(N$1="""","""",REGEXMATCH(LOWER($E311),XLOOKUP(N$1,Metadata!$A$2:$A1000,Metadata!$B$2:$B1000))),N$1,"""")"),"")</f>
        <v/>
      </c>
      <c r="O311" s="33" t="str">
        <f>IFERROR(__xludf.DUMMYFUNCTION("IF(IF(O$1="""","""",REGEXMATCH(LOWER($E311),XLOOKUP(O$1,Metadata!$A$2:$A1000,Metadata!$B$2:$B1000))),O$1,"""")"),"")</f>
        <v/>
      </c>
      <c r="P311" s="33" t="str">
        <f>IFERROR(__xludf.DUMMYFUNCTION("IF(IF(P$1="""","""",REGEXMATCH(LOWER($E311),XLOOKUP(P$1,Metadata!$A$2:$A1000,Metadata!$B$2:$B1000))),P$1,"""")"),"")</f>
        <v/>
      </c>
      <c r="Q311" s="33" t="str">
        <f>IFERROR(__xludf.DUMMYFUNCTION("IF(IF(Q$1="""","""",REGEXMATCH(LOWER($E311),XLOOKUP(Q$1,Metadata!$A$2:$A1000,Metadata!$B$2:$B1000))),Q$1,"""")"),"Unearth")</f>
        <v>Unearth</v>
      </c>
      <c r="R311" s="33" t="str">
        <f>IFERROR(__xludf.DUMMYFUNCTION("IF(IF(R$1="""","""",REGEXMATCH(LOWER($E311),XLOOKUP(R$1,Metadata!$A$2:$A1000,Metadata!$B$2:$B1000))),R$1,"""")"),"")</f>
        <v/>
      </c>
      <c r="S311" s="33" t="str">
        <f>IFERROR(__xludf.DUMMYFUNCTION("IF(IF(S$1="""","""",REGEXMATCH(LOWER($E311),XLOOKUP(S$1,Metadata!$A$2:$A1000,Metadata!$B$2:$B1000))),S$1,"""")"),"Control")</f>
        <v>Control</v>
      </c>
      <c r="T311" s="33" t="str">
        <f>IFERROR(__xludf.DUMMYFUNCTION("IF(IF(T$1="""","""",REGEXMATCH(LOWER($E311),XLOOKUP(T$1,Metadata!$A$2:$A1000,Metadata!$B$2:$B1000))),T$1,"""")"),"")</f>
        <v/>
      </c>
      <c r="U311" s="33" t="str">
        <f>IFERROR(__xludf.DUMMYFUNCTION("IF(IF(U$1="""","""",REGEXMATCH(LOWER($E311),XLOOKUP(U$1,Metadata!$A$2:$A1000,Metadata!$B$2:$B1000))),U$1,"""")"),"")</f>
        <v/>
      </c>
      <c r="V311" s="33" t="str">
        <f>IFERROR(__xludf.DUMMYFUNCTION("IF(IF(V$1="""","""",REGEXMATCH(LOWER($E311),XLOOKUP(V$1,Metadata!$A$2:$A1000,Metadata!$B$2:$B1000))),V$1,"""")"),"")</f>
        <v/>
      </c>
      <c r="W311" s="33" t="str">
        <f>IFERROR(__xludf.DUMMYFUNCTION("IF(IF(W$1="""","""",REGEXMATCH(LOWER($E311),XLOOKUP(W$1,Metadata!$A$2:$A1000,Metadata!$B$2:$B1000))),W$1,"""")"),"")</f>
        <v/>
      </c>
      <c r="X311" s="33" t="str">
        <f>IFERROR(__xludf.DUMMYFUNCTION("IF(IF(X$1="""","""",REGEXMATCH(LOWER($E311),XLOOKUP(X$1,Metadata!$A$2:$A1000,Metadata!$B$2:$B1000))),X$1,"""")"),"Ambush")</f>
        <v>Ambush</v>
      </c>
      <c r="Y311" s="33" t="str">
        <f>IFERROR(__xludf.DUMMYFUNCTION("IF(IF(Y$1="""","""",REGEXMATCH(LOWER($E311),XLOOKUP(Y$1,Metadata!$A$2:$A1000,Metadata!$B$2:$B1000))),Y$1,"""")"),"")</f>
        <v/>
      </c>
      <c r="Z311" s="33" t="str">
        <f>IFERROR(__xludf.DUMMYFUNCTION("IF(IF(Z$1="""","""",REGEXMATCH(LOWER($E311),XLOOKUP(Z$1,Metadata!$A$2:$A1000,Metadata!$B$2:$B1000))),Z$1,"""")"),"")</f>
        <v/>
      </c>
      <c r="AA311" s="33" t="str">
        <f>IFERROR(__xludf.DUMMYFUNCTION("IF(AA$1="""","""",REGEXMATCH(LOWER($E311),XLOOKUP(AA$1,Metadata!$A$2:$A1000,Metadata!$B$2:$B1000)))"),"")</f>
        <v/>
      </c>
    </row>
    <row r="312">
      <c r="A312" s="33" t="str">
        <f>IFERROR(__xludf.DUMMYFUNCTION("""COMPUTED_VALUE"""),"Arcane Gorgosaur")</f>
        <v>Arcane Gorgosaur</v>
      </c>
      <c r="B312" s="33" t="str">
        <f t="array" ref="B312:I312">XLOOKUP($A312,Cards!$A$2:$A1000,Cards!$B$2:$I1000,"")</f>
        <v>Nature</v>
      </c>
      <c r="C312" s="33">
        <v>1.0</v>
      </c>
      <c r="D312" s="33" t="s">
        <v>1760</v>
      </c>
      <c r="E312" s="33" t="s">
        <v>1761</v>
      </c>
      <c r="F312" s="33" t="s">
        <v>1762</v>
      </c>
      <c r="G312" s="33">
        <v>4.0</v>
      </c>
      <c r="H312" s="33" t="s">
        <v>1763</v>
      </c>
      <c r="I312" s="33" t="s">
        <v>32</v>
      </c>
      <c r="J312" s="33">
        <f>IFERROR(__xludf.DUMMYFUNCTION("LEN(REGEXREPLACE(XLOOKUP($A312,Cards!$A$2:$A1000,Cards!$H$2:$H1000,""""),"",\s"",""""))"),2.0)</f>
        <v>2</v>
      </c>
      <c r="K312" s="33" t="str">
        <f t="shared" si="1"/>
        <v>      Ramp   Aggro      </v>
      </c>
      <c r="L312" s="33" t="str">
        <f>IFERROR(__xludf.DUMMYFUNCTION("IF(IF(L$1="""","""",REGEXMATCH(LOWER($E312),XLOOKUP(L$1,Metadata!$A$2:$A1000,Metadata!$B$2:$B1000))),L$1,"""")"),"")</f>
        <v/>
      </c>
      <c r="M312" s="33" t="str">
        <f>IFERROR(__xludf.DUMMYFUNCTION("IF(IF(M$1="""","""",REGEXMATCH(LOWER($E312),XLOOKUP(M$1,Metadata!$A$2:$A1000,Metadata!$B$2:$B1000))),M$1,"""")"),"")</f>
        <v/>
      </c>
      <c r="N312" s="33" t="str">
        <f>IFERROR(__xludf.DUMMYFUNCTION("IF(IF(N$1="""","""",REGEXMATCH(LOWER($E312),XLOOKUP(N$1,Metadata!$A$2:$A1000,Metadata!$B$2:$B1000))),N$1,"""")"),"")</f>
        <v/>
      </c>
      <c r="O312" s="33" t="str">
        <f>IFERROR(__xludf.DUMMYFUNCTION("IF(IF(O$1="""","""",REGEXMATCH(LOWER($E312),XLOOKUP(O$1,Metadata!$A$2:$A1000,Metadata!$B$2:$B1000))),O$1,"""")"),"")</f>
        <v/>
      </c>
      <c r="P312" s="33" t="str">
        <f>IFERROR(__xludf.DUMMYFUNCTION("IF(IF(P$1="""","""",REGEXMATCH(LOWER($E312),XLOOKUP(P$1,Metadata!$A$2:$A1000,Metadata!$B$2:$B1000))),P$1,"""")"),"")</f>
        <v/>
      </c>
      <c r="Q312" s="33" t="str">
        <f>IFERROR(__xludf.DUMMYFUNCTION("IF(IF(Q$1="""","""",REGEXMATCH(LOWER($E312),XLOOKUP(Q$1,Metadata!$A$2:$A1000,Metadata!$B$2:$B1000))),Q$1,"""")"),"")</f>
        <v/>
      </c>
      <c r="R312" s="33" t="str">
        <f>IFERROR(__xludf.DUMMYFUNCTION("IF(IF(R$1="""","""",REGEXMATCH(LOWER($E312),XLOOKUP(R$1,Metadata!$A$2:$A1000,Metadata!$B$2:$B1000))),R$1,"""")"),"Ramp")</f>
        <v>Ramp</v>
      </c>
      <c r="S312" s="33" t="str">
        <f>IFERROR(__xludf.DUMMYFUNCTION("IF(IF(S$1="""","""",REGEXMATCH(LOWER($E312),XLOOKUP(S$1,Metadata!$A$2:$A1000,Metadata!$B$2:$B1000))),S$1,"""")"),"")</f>
        <v/>
      </c>
      <c r="T312" s="33" t="str">
        <f>IFERROR(__xludf.DUMMYFUNCTION("IF(IF(T$1="""","""",REGEXMATCH(LOWER($E312),XLOOKUP(T$1,Metadata!$A$2:$A1000,Metadata!$B$2:$B1000))),T$1,"""")"),"")</f>
        <v/>
      </c>
      <c r="U312" s="33" t="str">
        <f>IFERROR(__xludf.DUMMYFUNCTION("IF(IF(U$1="""","""",REGEXMATCH(LOWER($E312),XLOOKUP(U$1,Metadata!$A$2:$A1000,Metadata!$B$2:$B1000))),U$1,"""")"),"Aggro")</f>
        <v>Aggro</v>
      </c>
      <c r="V312" s="33" t="str">
        <f>IFERROR(__xludf.DUMMYFUNCTION("IF(IF(V$1="""","""",REGEXMATCH(LOWER($E312),XLOOKUP(V$1,Metadata!$A$2:$A1000,Metadata!$B$2:$B1000))),V$1,"""")"),"")</f>
        <v/>
      </c>
      <c r="W312" s="33" t="str">
        <f>IFERROR(__xludf.DUMMYFUNCTION("IF(IF(W$1="""","""",REGEXMATCH(LOWER($E312),XLOOKUP(W$1,Metadata!$A$2:$A1000,Metadata!$B$2:$B1000))),W$1,"""")"),"")</f>
        <v/>
      </c>
      <c r="X312" s="33" t="str">
        <f>IFERROR(__xludf.DUMMYFUNCTION("IF(IF(X$1="""","""",REGEXMATCH(LOWER($E312),XLOOKUP(X$1,Metadata!$A$2:$A1000,Metadata!$B$2:$B1000))),X$1,"""")"),"")</f>
        <v/>
      </c>
      <c r="Y312" s="33" t="str">
        <f>IFERROR(__xludf.DUMMYFUNCTION("IF(IF(Y$1="""","""",REGEXMATCH(LOWER($E312),XLOOKUP(Y$1,Metadata!$A$2:$A1000,Metadata!$B$2:$B1000))),Y$1,"""")"),"")</f>
        <v/>
      </c>
      <c r="Z312" s="33" t="str">
        <f>IFERROR(__xludf.DUMMYFUNCTION("IF(IF(Z$1="""","""",REGEXMATCH(LOWER($E312),XLOOKUP(Z$1,Metadata!$A$2:$A1000,Metadata!$B$2:$B1000))),Z$1,"""")"),"")</f>
        <v/>
      </c>
      <c r="AA312" s="33" t="str">
        <f>IFERROR(__xludf.DUMMYFUNCTION("IF(AA$1="""","""",REGEXMATCH(LOWER($E312),XLOOKUP(AA$1,Metadata!$A$2:$A1000,Metadata!$B$2:$B1000)))"),"")</f>
        <v/>
      </c>
    </row>
    <row r="313">
      <c r="A313" s="33" t="str">
        <f>IFERROR(__xludf.DUMMYFUNCTION("""COMPUTED_VALUE"""),"Bloodclaw")</f>
        <v>Bloodclaw</v>
      </c>
      <c r="B313" s="33" t="str">
        <f t="array" ref="B313:I313">XLOOKUP($A313,Cards!$A$2:$A1000,Cards!$B$2:$I1000,"")</f>
        <v>Nature</v>
      </c>
      <c r="C313" s="33">
        <v>1.0</v>
      </c>
      <c r="D313" s="33" t="s">
        <v>977</v>
      </c>
      <c r="E313" s="33" t="s">
        <v>1765</v>
      </c>
      <c r="F313" s="33" t="s">
        <v>1766</v>
      </c>
      <c r="G313" s="33">
        <v>6.0</v>
      </c>
      <c r="H313" s="33" t="s">
        <v>1466</v>
      </c>
      <c r="I313" s="33" t="s">
        <v>32</v>
      </c>
      <c r="J313" s="33">
        <f>IFERROR(__xludf.DUMMYFUNCTION("LEN(REGEXREPLACE(XLOOKUP($A313,Cards!$A$2:$A1000,Cards!$H$2:$H1000,""""),"",\s"",""""))"),4.0)</f>
        <v>4</v>
      </c>
      <c r="K313" s="33" t="str">
        <f t="shared" si="1"/>
        <v>      Ramp         </v>
      </c>
      <c r="L313" s="33" t="str">
        <f>IFERROR(__xludf.DUMMYFUNCTION("IF(IF(L$1="""","""",REGEXMATCH(LOWER($E313),XLOOKUP(L$1,Metadata!$A$2:$A1000,Metadata!$B$2:$B1000))),L$1,"""")"),"")</f>
        <v/>
      </c>
      <c r="M313" s="33" t="str">
        <f>IFERROR(__xludf.DUMMYFUNCTION("IF(IF(M$1="""","""",REGEXMATCH(LOWER($E313),XLOOKUP(M$1,Metadata!$A$2:$A1000,Metadata!$B$2:$B1000))),M$1,"""")"),"")</f>
        <v/>
      </c>
      <c r="N313" s="33" t="str">
        <f>IFERROR(__xludf.DUMMYFUNCTION("IF(IF(N$1="""","""",REGEXMATCH(LOWER($E313),XLOOKUP(N$1,Metadata!$A$2:$A1000,Metadata!$B$2:$B1000))),N$1,"""")"),"")</f>
        <v/>
      </c>
      <c r="O313" s="33" t="str">
        <f>IFERROR(__xludf.DUMMYFUNCTION("IF(IF(O$1="""","""",REGEXMATCH(LOWER($E313),XLOOKUP(O$1,Metadata!$A$2:$A1000,Metadata!$B$2:$B1000))),O$1,"""")"),"")</f>
        <v/>
      </c>
      <c r="P313" s="33" t="str">
        <f>IFERROR(__xludf.DUMMYFUNCTION("IF(IF(P$1="""","""",REGEXMATCH(LOWER($E313),XLOOKUP(P$1,Metadata!$A$2:$A1000,Metadata!$B$2:$B1000))),P$1,"""")"),"")</f>
        <v/>
      </c>
      <c r="Q313" s="33" t="str">
        <f>IFERROR(__xludf.DUMMYFUNCTION("IF(IF(Q$1="""","""",REGEXMATCH(LOWER($E313),XLOOKUP(Q$1,Metadata!$A$2:$A1000,Metadata!$B$2:$B1000))),Q$1,"""")"),"")</f>
        <v/>
      </c>
      <c r="R313" s="33" t="str">
        <f>IFERROR(__xludf.DUMMYFUNCTION("IF(IF(R$1="""","""",REGEXMATCH(LOWER($E313),XLOOKUP(R$1,Metadata!$A$2:$A1000,Metadata!$B$2:$B1000))),R$1,"""")"),"Ramp")</f>
        <v>Ramp</v>
      </c>
      <c r="S313" s="33" t="str">
        <f>IFERROR(__xludf.DUMMYFUNCTION("IF(IF(S$1="""","""",REGEXMATCH(LOWER($E313),XLOOKUP(S$1,Metadata!$A$2:$A1000,Metadata!$B$2:$B1000))),S$1,"""")"),"")</f>
        <v/>
      </c>
      <c r="T313" s="33" t="str">
        <f>IFERROR(__xludf.DUMMYFUNCTION("IF(IF(T$1="""","""",REGEXMATCH(LOWER($E313),XLOOKUP(T$1,Metadata!$A$2:$A1000,Metadata!$B$2:$B1000))),T$1,"""")"),"")</f>
        <v/>
      </c>
      <c r="U313" s="33" t="str">
        <f>IFERROR(__xludf.DUMMYFUNCTION("IF(IF(U$1="""","""",REGEXMATCH(LOWER($E313),XLOOKUP(U$1,Metadata!$A$2:$A1000,Metadata!$B$2:$B1000))),U$1,"""")"),"")</f>
        <v/>
      </c>
      <c r="V313" s="33" t="str">
        <f>IFERROR(__xludf.DUMMYFUNCTION("IF(IF(V$1="""","""",REGEXMATCH(LOWER($E313),XLOOKUP(V$1,Metadata!$A$2:$A1000,Metadata!$B$2:$B1000))),V$1,"""")"),"")</f>
        <v/>
      </c>
      <c r="W313" s="33" t="str">
        <f>IFERROR(__xludf.DUMMYFUNCTION("IF(IF(W$1="""","""",REGEXMATCH(LOWER($E313),XLOOKUP(W$1,Metadata!$A$2:$A1000,Metadata!$B$2:$B1000))),W$1,"""")"),"")</f>
        <v/>
      </c>
      <c r="X313" s="33" t="str">
        <f>IFERROR(__xludf.DUMMYFUNCTION("IF(IF(X$1="""","""",REGEXMATCH(LOWER($E313),XLOOKUP(X$1,Metadata!$A$2:$A1000,Metadata!$B$2:$B1000))),X$1,"""")"),"")</f>
        <v/>
      </c>
      <c r="Y313" s="33" t="str">
        <f>IFERROR(__xludf.DUMMYFUNCTION("IF(IF(Y$1="""","""",REGEXMATCH(LOWER($E313),XLOOKUP(Y$1,Metadata!$A$2:$A1000,Metadata!$B$2:$B1000))),Y$1,"""")"),"")</f>
        <v/>
      </c>
      <c r="Z313" s="33" t="str">
        <f>IFERROR(__xludf.DUMMYFUNCTION("IF(IF(Z$1="""","""",REGEXMATCH(LOWER($E313),XLOOKUP(Z$1,Metadata!$A$2:$A1000,Metadata!$B$2:$B1000))),Z$1,"""")"),"")</f>
        <v/>
      </c>
      <c r="AA313" s="33" t="str">
        <f>IFERROR(__xludf.DUMMYFUNCTION("IF(AA$1="""","""",REGEXMATCH(LOWER($E313),XLOOKUP(AA$1,Metadata!$A$2:$A1000,Metadata!$B$2:$B1000)))"),"")</f>
        <v/>
      </c>
    </row>
    <row r="314">
      <c r="A314" s="33" t="str">
        <f>IFERROR(__xludf.DUMMYFUNCTION("""COMPUTED_VALUE"""),"Duke of the Grove")</f>
        <v>Duke of the Grove</v>
      </c>
      <c r="B314" s="33" t="str">
        <f t="array" ref="B314:I314">XLOOKUP($A314,Cards!$A$2:$A1000,Cards!$B$2:$I1000,"")</f>
        <v>Nature</v>
      </c>
      <c r="C314" s="33">
        <v>1.0</v>
      </c>
      <c r="D314" s="33" t="s">
        <v>174</v>
      </c>
      <c r="E314" s="33" t="s">
        <v>1768</v>
      </c>
      <c r="F314" s="33" t="s">
        <v>1769</v>
      </c>
      <c r="G314" s="33">
        <v>4.0</v>
      </c>
      <c r="H314" s="33" t="s">
        <v>1712</v>
      </c>
      <c r="I314" s="33" t="s">
        <v>32</v>
      </c>
      <c r="J314" s="33">
        <f>IFERROR(__xludf.DUMMYFUNCTION("LEN(REGEXREPLACE(XLOOKUP($A314,Cards!$A$2:$A1000,Cards!$H$2:$H1000,""""),"",\s"",""""))"),5.0)</f>
        <v>5</v>
      </c>
      <c r="K314" s="33" t="str">
        <f t="shared" si="1"/>
        <v>         Aggro      </v>
      </c>
      <c r="L314" s="33" t="str">
        <f>IFERROR(__xludf.DUMMYFUNCTION("IF(IF(L$1="""","""",REGEXMATCH(LOWER($E314),XLOOKUP(L$1,Metadata!$A$2:$A1000,Metadata!$B$2:$B1000))),L$1,"""")"),"")</f>
        <v/>
      </c>
      <c r="M314" s="33" t="str">
        <f>IFERROR(__xludf.DUMMYFUNCTION("IF(IF(M$1="""","""",REGEXMATCH(LOWER($E314),XLOOKUP(M$1,Metadata!$A$2:$A1000,Metadata!$B$2:$B1000))),M$1,"""")"),"")</f>
        <v/>
      </c>
      <c r="N314" s="33" t="str">
        <f>IFERROR(__xludf.DUMMYFUNCTION("IF(IF(N$1="""","""",REGEXMATCH(LOWER($E314),XLOOKUP(N$1,Metadata!$A$2:$A1000,Metadata!$B$2:$B1000))),N$1,"""")"),"")</f>
        <v/>
      </c>
      <c r="O314" s="33" t="str">
        <f>IFERROR(__xludf.DUMMYFUNCTION("IF(IF(O$1="""","""",REGEXMATCH(LOWER($E314),XLOOKUP(O$1,Metadata!$A$2:$A1000,Metadata!$B$2:$B1000))),O$1,"""")"),"")</f>
        <v/>
      </c>
      <c r="P314" s="33" t="str">
        <f>IFERROR(__xludf.DUMMYFUNCTION("IF(IF(P$1="""","""",REGEXMATCH(LOWER($E314),XLOOKUP(P$1,Metadata!$A$2:$A1000,Metadata!$B$2:$B1000))),P$1,"""")"),"")</f>
        <v/>
      </c>
      <c r="Q314" s="33" t="str">
        <f>IFERROR(__xludf.DUMMYFUNCTION("IF(IF(Q$1="""","""",REGEXMATCH(LOWER($E314),XLOOKUP(Q$1,Metadata!$A$2:$A1000,Metadata!$B$2:$B1000))),Q$1,"""")"),"")</f>
        <v/>
      </c>
      <c r="R314" s="33" t="str">
        <f>IFERROR(__xludf.DUMMYFUNCTION("IF(IF(R$1="""","""",REGEXMATCH(LOWER($E314),XLOOKUP(R$1,Metadata!$A$2:$A1000,Metadata!$B$2:$B1000))),R$1,"""")"),"")</f>
        <v/>
      </c>
      <c r="S314" s="33" t="str">
        <f>IFERROR(__xludf.DUMMYFUNCTION("IF(IF(S$1="""","""",REGEXMATCH(LOWER($E314),XLOOKUP(S$1,Metadata!$A$2:$A1000,Metadata!$B$2:$B1000))),S$1,"""")"),"")</f>
        <v/>
      </c>
      <c r="T314" s="33" t="str">
        <f>IFERROR(__xludf.DUMMYFUNCTION("IF(IF(T$1="""","""",REGEXMATCH(LOWER($E314),XLOOKUP(T$1,Metadata!$A$2:$A1000,Metadata!$B$2:$B1000))),T$1,"""")"),"")</f>
        <v/>
      </c>
      <c r="U314" s="33" t="str">
        <f>IFERROR(__xludf.DUMMYFUNCTION("IF(IF(U$1="""","""",REGEXMATCH(LOWER($E314),XLOOKUP(U$1,Metadata!$A$2:$A1000,Metadata!$B$2:$B1000))),U$1,"""")"),"Aggro")</f>
        <v>Aggro</v>
      </c>
      <c r="V314" s="33" t="str">
        <f>IFERROR(__xludf.DUMMYFUNCTION("IF(IF(V$1="""","""",REGEXMATCH(LOWER($E314),XLOOKUP(V$1,Metadata!$A$2:$A1000,Metadata!$B$2:$B1000))),V$1,"""")"),"")</f>
        <v/>
      </c>
      <c r="W314" s="33" t="str">
        <f>IFERROR(__xludf.DUMMYFUNCTION("IF(IF(W$1="""","""",REGEXMATCH(LOWER($E314),XLOOKUP(W$1,Metadata!$A$2:$A1000,Metadata!$B$2:$B1000))),W$1,"""")"),"")</f>
        <v/>
      </c>
      <c r="X314" s="33" t="str">
        <f>IFERROR(__xludf.DUMMYFUNCTION("IF(IF(X$1="""","""",REGEXMATCH(LOWER($E314),XLOOKUP(X$1,Metadata!$A$2:$A1000,Metadata!$B$2:$B1000))),X$1,"""")"),"")</f>
        <v/>
      </c>
      <c r="Y314" s="33" t="str">
        <f>IFERROR(__xludf.DUMMYFUNCTION("IF(IF(Y$1="""","""",REGEXMATCH(LOWER($E314),XLOOKUP(Y$1,Metadata!$A$2:$A1000,Metadata!$B$2:$B1000))),Y$1,"""")"),"")</f>
        <v/>
      </c>
      <c r="Z314" s="33" t="str">
        <f>IFERROR(__xludf.DUMMYFUNCTION("IF(IF(Z$1="""","""",REGEXMATCH(LOWER($E314),XLOOKUP(Z$1,Metadata!$A$2:$A1000,Metadata!$B$2:$B1000))),Z$1,"""")"),"")</f>
        <v/>
      </c>
      <c r="AA314" s="33" t="str">
        <f>IFERROR(__xludf.DUMMYFUNCTION("IF(AA$1="""","""",REGEXMATCH(LOWER($E314),XLOOKUP(AA$1,Metadata!$A$2:$A1000,Metadata!$B$2:$B1000)))"),"")</f>
        <v/>
      </c>
    </row>
    <row r="315">
      <c r="A315" s="33" t="str">
        <f>IFERROR(__xludf.DUMMYFUNCTION("""COMPUTED_VALUE"""),"Omenshadow")</f>
        <v>Omenshadow</v>
      </c>
      <c r="B315" s="33" t="str">
        <f t="array" ref="B315:I315">XLOOKUP($A315,Cards!$A$2:$A1000,Cards!$B$2:$I1000,"")</f>
        <v>Void</v>
      </c>
      <c r="C315" s="33">
        <v>2.0</v>
      </c>
      <c r="D315" s="33" t="s">
        <v>1681</v>
      </c>
      <c r="E315" s="33" t="s">
        <v>1771</v>
      </c>
      <c r="F315" s="33" t="s">
        <v>1772</v>
      </c>
      <c r="G315" s="33">
        <v>3.0</v>
      </c>
      <c r="H315" s="33" t="s">
        <v>1684</v>
      </c>
      <c r="I315" s="33" t="s">
        <v>62</v>
      </c>
      <c r="J315" s="33">
        <f>IFERROR(__xludf.DUMMYFUNCTION("LEN(REGEXREPLACE(XLOOKUP($A315,Cards!$A$2:$A1000,Cards!$H$2:$H1000,""""),"",\s"",""""))"),3.0)</f>
        <v>3</v>
      </c>
      <c r="K315" s="33" t="str">
        <f t="shared" si="1"/>
        <v>      Ramp         </v>
      </c>
      <c r="L315" s="33" t="str">
        <f>IFERROR(__xludf.DUMMYFUNCTION("IF(IF(L$1="""","""",REGEXMATCH(LOWER($E315),XLOOKUP(L$1,Metadata!$A$2:$A1000,Metadata!$B$2:$B1000))),L$1,"""")"),"")</f>
        <v/>
      </c>
      <c r="M315" s="33" t="str">
        <f>IFERROR(__xludf.DUMMYFUNCTION("IF(IF(M$1="""","""",REGEXMATCH(LOWER($E315),XLOOKUP(M$1,Metadata!$A$2:$A1000,Metadata!$B$2:$B1000))),M$1,"""")"),"")</f>
        <v/>
      </c>
      <c r="N315" s="33" t="str">
        <f>IFERROR(__xludf.DUMMYFUNCTION("IF(IF(N$1="""","""",REGEXMATCH(LOWER($E315),XLOOKUP(N$1,Metadata!$A$2:$A1000,Metadata!$B$2:$B1000))),N$1,"""")"),"")</f>
        <v/>
      </c>
      <c r="O315" s="33" t="str">
        <f>IFERROR(__xludf.DUMMYFUNCTION("IF(IF(O$1="""","""",REGEXMATCH(LOWER($E315),XLOOKUP(O$1,Metadata!$A$2:$A1000,Metadata!$B$2:$B1000))),O$1,"""")"),"")</f>
        <v/>
      </c>
      <c r="P315" s="33" t="str">
        <f>IFERROR(__xludf.DUMMYFUNCTION("IF(IF(P$1="""","""",REGEXMATCH(LOWER($E315),XLOOKUP(P$1,Metadata!$A$2:$A1000,Metadata!$B$2:$B1000))),P$1,"""")"),"")</f>
        <v/>
      </c>
      <c r="Q315" s="33" t="str">
        <f>IFERROR(__xludf.DUMMYFUNCTION("IF(IF(Q$1="""","""",REGEXMATCH(LOWER($E315),XLOOKUP(Q$1,Metadata!$A$2:$A1000,Metadata!$B$2:$B1000))),Q$1,"""")"),"")</f>
        <v/>
      </c>
      <c r="R315" s="33" t="str">
        <f>IFERROR(__xludf.DUMMYFUNCTION("IF(IF(R$1="""","""",REGEXMATCH(LOWER($E315),XLOOKUP(R$1,Metadata!$A$2:$A1000,Metadata!$B$2:$B1000))),R$1,"""")"),"Ramp")</f>
        <v>Ramp</v>
      </c>
      <c r="S315" s="33" t="str">
        <f>IFERROR(__xludf.DUMMYFUNCTION("IF(IF(S$1="""","""",REGEXMATCH(LOWER($E315),XLOOKUP(S$1,Metadata!$A$2:$A1000,Metadata!$B$2:$B1000))),S$1,"""")"),"")</f>
        <v/>
      </c>
      <c r="T315" s="33" t="str">
        <f>IFERROR(__xludf.DUMMYFUNCTION("IF(IF(T$1="""","""",REGEXMATCH(LOWER($E315),XLOOKUP(T$1,Metadata!$A$2:$A1000,Metadata!$B$2:$B1000))),T$1,"""")"),"")</f>
        <v/>
      </c>
      <c r="U315" s="33" t="str">
        <f>IFERROR(__xludf.DUMMYFUNCTION("IF(IF(U$1="""","""",REGEXMATCH(LOWER($E315),XLOOKUP(U$1,Metadata!$A$2:$A1000,Metadata!$B$2:$B1000))),U$1,"""")"),"")</f>
        <v/>
      </c>
      <c r="V315" s="33" t="str">
        <f>IFERROR(__xludf.DUMMYFUNCTION("IF(IF(V$1="""","""",REGEXMATCH(LOWER($E315),XLOOKUP(V$1,Metadata!$A$2:$A1000,Metadata!$B$2:$B1000))),V$1,"""")"),"")</f>
        <v/>
      </c>
      <c r="W315" s="33" t="str">
        <f>IFERROR(__xludf.DUMMYFUNCTION("IF(IF(W$1="""","""",REGEXMATCH(LOWER($E315),XLOOKUP(W$1,Metadata!$A$2:$A1000,Metadata!$B$2:$B1000))),W$1,"""")"),"")</f>
        <v/>
      </c>
      <c r="X315" s="33" t="str">
        <f>IFERROR(__xludf.DUMMYFUNCTION("IF(IF(X$1="""","""",REGEXMATCH(LOWER($E315),XLOOKUP(X$1,Metadata!$A$2:$A1000,Metadata!$B$2:$B1000))),X$1,"""")"),"")</f>
        <v/>
      </c>
      <c r="Y315" s="33" t="str">
        <f>IFERROR(__xludf.DUMMYFUNCTION("IF(IF(Y$1="""","""",REGEXMATCH(LOWER($E315),XLOOKUP(Y$1,Metadata!$A$2:$A1000,Metadata!$B$2:$B1000))),Y$1,"""")"),"")</f>
        <v/>
      </c>
      <c r="Z315" s="33" t="str">
        <f>IFERROR(__xludf.DUMMYFUNCTION("IF(IF(Z$1="""","""",REGEXMATCH(LOWER($E315),XLOOKUP(Z$1,Metadata!$A$2:$A1000,Metadata!$B$2:$B1000))),Z$1,"""")"),"")</f>
        <v/>
      </c>
      <c r="AA315" s="33" t="str">
        <f>IFERROR(__xludf.DUMMYFUNCTION("IF(AA$1="""","""",REGEXMATCH(LOWER($E315),XLOOKUP(AA$1,Metadata!$A$2:$A1000,Metadata!$B$2:$B1000)))"),"")</f>
        <v/>
      </c>
    </row>
    <row r="316">
      <c r="A316" s="33" t="str">
        <f>IFERROR(__xludf.DUMMYFUNCTION("""COMPUTED_VALUE"""),"Mantis Queen")</f>
        <v>Mantis Queen</v>
      </c>
      <c r="B316" s="33" t="str">
        <f t="array" ref="B316:I316">XLOOKUP($A316,Cards!$A$2:$A1000,Cards!$B$2:$I1000,"")</f>
        <v>Nature</v>
      </c>
      <c r="C316" s="33">
        <v>1.0</v>
      </c>
      <c r="D316" s="33" t="s">
        <v>1671</v>
      </c>
      <c r="E316" s="33" t="s">
        <v>1774</v>
      </c>
      <c r="F316" s="33" t="s">
        <v>1775</v>
      </c>
      <c r="G316" s="33">
        <v>5.0</v>
      </c>
      <c r="H316" s="33" t="s">
        <v>1559</v>
      </c>
      <c r="I316" s="33" t="s">
        <v>32</v>
      </c>
      <c r="J316" s="33">
        <f>IFERROR(__xludf.DUMMYFUNCTION("LEN(REGEXREPLACE(XLOOKUP($A316,Cards!$A$2:$A1000,Cards!$H$2:$H1000,""""),"",\s"",""""))"),5.0)</f>
        <v>5</v>
      </c>
      <c r="K316" s="33" t="str">
        <f t="shared" si="1"/>
        <v>     Unearth       Ambush   </v>
      </c>
      <c r="L316" s="33" t="str">
        <f>IFERROR(__xludf.DUMMYFUNCTION("IF(IF(L$1="""","""",REGEXMATCH(LOWER($E316),XLOOKUP(L$1,Metadata!$A$2:$A1000,Metadata!$B$2:$B1000))),L$1,"""")"),"")</f>
        <v/>
      </c>
      <c r="M316" s="33" t="str">
        <f>IFERROR(__xludf.DUMMYFUNCTION("IF(IF(M$1="""","""",REGEXMATCH(LOWER($E316),XLOOKUP(M$1,Metadata!$A$2:$A1000,Metadata!$B$2:$B1000))),M$1,"""")"),"")</f>
        <v/>
      </c>
      <c r="N316" s="33" t="str">
        <f>IFERROR(__xludf.DUMMYFUNCTION("IF(IF(N$1="""","""",REGEXMATCH(LOWER($E316),XLOOKUP(N$1,Metadata!$A$2:$A1000,Metadata!$B$2:$B1000))),N$1,"""")"),"")</f>
        <v/>
      </c>
      <c r="O316" s="33" t="str">
        <f>IFERROR(__xludf.DUMMYFUNCTION("IF(IF(O$1="""","""",REGEXMATCH(LOWER($E316),XLOOKUP(O$1,Metadata!$A$2:$A1000,Metadata!$B$2:$B1000))),O$1,"""")"),"")</f>
        <v/>
      </c>
      <c r="P316" s="33" t="str">
        <f>IFERROR(__xludf.DUMMYFUNCTION("IF(IF(P$1="""","""",REGEXMATCH(LOWER($E316),XLOOKUP(P$1,Metadata!$A$2:$A1000,Metadata!$B$2:$B1000))),P$1,"""")"),"")</f>
        <v/>
      </c>
      <c r="Q316" s="33" t="str">
        <f>IFERROR(__xludf.DUMMYFUNCTION("IF(IF(Q$1="""","""",REGEXMATCH(LOWER($E316),XLOOKUP(Q$1,Metadata!$A$2:$A1000,Metadata!$B$2:$B1000))),Q$1,"""")"),"Unearth")</f>
        <v>Unearth</v>
      </c>
      <c r="R316" s="33" t="str">
        <f>IFERROR(__xludf.DUMMYFUNCTION("IF(IF(R$1="""","""",REGEXMATCH(LOWER($E316),XLOOKUP(R$1,Metadata!$A$2:$A1000,Metadata!$B$2:$B1000))),R$1,"""")"),"")</f>
        <v/>
      </c>
      <c r="S316" s="33" t="str">
        <f>IFERROR(__xludf.DUMMYFUNCTION("IF(IF(S$1="""","""",REGEXMATCH(LOWER($E316),XLOOKUP(S$1,Metadata!$A$2:$A1000,Metadata!$B$2:$B1000))),S$1,"""")"),"")</f>
        <v/>
      </c>
      <c r="T316" s="33" t="str">
        <f>IFERROR(__xludf.DUMMYFUNCTION("IF(IF(T$1="""","""",REGEXMATCH(LOWER($E316),XLOOKUP(T$1,Metadata!$A$2:$A1000,Metadata!$B$2:$B1000))),T$1,"""")"),"")</f>
        <v/>
      </c>
      <c r="U316" s="33" t="str">
        <f>IFERROR(__xludf.DUMMYFUNCTION("IF(IF(U$1="""","""",REGEXMATCH(LOWER($E316),XLOOKUP(U$1,Metadata!$A$2:$A1000,Metadata!$B$2:$B1000))),U$1,"""")"),"")</f>
        <v/>
      </c>
      <c r="V316" s="33" t="str">
        <f>IFERROR(__xludf.DUMMYFUNCTION("IF(IF(V$1="""","""",REGEXMATCH(LOWER($E316),XLOOKUP(V$1,Metadata!$A$2:$A1000,Metadata!$B$2:$B1000))),V$1,"""")"),"")</f>
        <v/>
      </c>
      <c r="W316" s="33" t="str">
        <f>IFERROR(__xludf.DUMMYFUNCTION("IF(IF(W$1="""","""",REGEXMATCH(LOWER($E316),XLOOKUP(W$1,Metadata!$A$2:$A1000,Metadata!$B$2:$B1000))),W$1,"""")"),"")</f>
        <v/>
      </c>
      <c r="X316" s="33" t="str">
        <f>IFERROR(__xludf.DUMMYFUNCTION("IF(IF(X$1="""","""",REGEXMATCH(LOWER($E316),XLOOKUP(X$1,Metadata!$A$2:$A1000,Metadata!$B$2:$B1000))),X$1,"""")"),"Ambush")</f>
        <v>Ambush</v>
      </c>
      <c r="Y316" s="33" t="str">
        <f>IFERROR(__xludf.DUMMYFUNCTION("IF(IF(Y$1="""","""",REGEXMATCH(LOWER($E316),XLOOKUP(Y$1,Metadata!$A$2:$A1000,Metadata!$B$2:$B1000))),Y$1,"""")"),"")</f>
        <v/>
      </c>
      <c r="Z316" s="33" t="str">
        <f>IFERROR(__xludf.DUMMYFUNCTION("IF(IF(Z$1="""","""",REGEXMATCH(LOWER($E316),XLOOKUP(Z$1,Metadata!$A$2:$A1000,Metadata!$B$2:$B1000))),Z$1,"""")"),"")</f>
        <v/>
      </c>
      <c r="AA316" s="33" t="str">
        <f>IFERROR(__xludf.DUMMYFUNCTION("IF(AA$1="""","""",REGEXMATCH(LOWER($E316),XLOOKUP(AA$1,Metadata!$A$2:$A1000,Metadata!$B$2:$B1000)))"),"")</f>
        <v/>
      </c>
    </row>
    <row r="317">
      <c r="A317" s="33" t="str">
        <f>IFERROR(__xludf.DUMMYFUNCTION("""COMPUTED_VALUE"""),"Purple Crusader")</f>
        <v>Purple Crusader</v>
      </c>
      <c r="B317" s="33" t="str">
        <f t="array" ref="B317:I317">XLOOKUP($A317,Cards!$A$2:$A1000,Cards!$B$2:$I1000,"")</f>
        <v>Void</v>
      </c>
      <c r="C317" s="33">
        <v>2.0</v>
      </c>
      <c r="D317" s="33" t="s">
        <v>1521</v>
      </c>
      <c r="E317" s="33" t="s">
        <v>249</v>
      </c>
      <c r="F317" s="33" t="s">
        <v>1777</v>
      </c>
      <c r="G317" s="33">
        <v>2.0</v>
      </c>
      <c r="H317" s="33" t="s">
        <v>1688</v>
      </c>
      <c r="I317" s="33" t="s">
        <v>26</v>
      </c>
      <c r="J317" s="33">
        <f>IFERROR(__xludf.DUMMYFUNCTION("LEN(REGEXREPLACE(XLOOKUP($A317,Cards!$A$2:$A1000,Cards!$H$2:$H1000,""""),"",\s"",""""))"),2.0)</f>
        <v>2</v>
      </c>
      <c r="K317" s="33" t="str">
        <f t="shared" si="1"/>
        <v>               </v>
      </c>
      <c r="L317" s="33" t="str">
        <f>IFERROR(__xludf.DUMMYFUNCTION("IF(IF(L$1="""","""",REGEXMATCH(LOWER($E317),XLOOKUP(L$1,Metadata!$A$2:$A1000,Metadata!$B$2:$B1000))),L$1,"""")"),"")</f>
        <v/>
      </c>
      <c r="M317" s="33" t="str">
        <f>IFERROR(__xludf.DUMMYFUNCTION("IF(IF(M$1="""","""",REGEXMATCH(LOWER($E317),XLOOKUP(M$1,Metadata!$A$2:$A1000,Metadata!$B$2:$B1000))),M$1,"""")"),"")</f>
        <v/>
      </c>
      <c r="N317" s="33" t="str">
        <f>IFERROR(__xludf.DUMMYFUNCTION("IF(IF(N$1="""","""",REGEXMATCH(LOWER($E317),XLOOKUP(N$1,Metadata!$A$2:$A1000,Metadata!$B$2:$B1000))),N$1,"""")"),"")</f>
        <v/>
      </c>
      <c r="O317" s="33" t="str">
        <f>IFERROR(__xludf.DUMMYFUNCTION("IF(IF(O$1="""","""",REGEXMATCH(LOWER($E317),XLOOKUP(O$1,Metadata!$A$2:$A1000,Metadata!$B$2:$B1000))),O$1,"""")"),"")</f>
        <v/>
      </c>
      <c r="P317" s="33" t="str">
        <f>IFERROR(__xludf.DUMMYFUNCTION("IF(IF(P$1="""","""",REGEXMATCH(LOWER($E317),XLOOKUP(P$1,Metadata!$A$2:$A1000,Metadata!$B$2:$B1000))),P$1,"""")"),"")</f>
        <v/>
      </c>
      <c r="Q317" s="33" t="str">
        <f>IFERROR(__xludf.DUMMYFUNCTION("IF(IF(Q$1="""","""",REGEXMATCH(LOWER($E317),XLOOKUP(Q$1,Metadata!$A$2:$A1000,Metadata!$B$2:$B1000))),Q$1,"""")"),"")</f>
        <v/>
      </c>
      <c r="R317" s="33" t="str">
        <f>IFERROR(__xludf.DUMMYFUNCTION("IF(IF(R$1="""","""",REGEXMATCH(LOWER($E317),XLOOKUP(R$1,Metadata!$A$2:$A1000,Metadata!$B$2:$B1000))),R$1,"""")"),"")</f>
        <v/>
      </c>
      <c r="S317" s="33" t="str">
        <f>IFERROR(__xludf.DUMMYFUNCTION("IF(IF(S$1="""","""",REGEXMATCH(LOWER($E317),XLOOKUP(S$1,Metadata!$A$2:$A1000,Metadata!$B$2:$B1000))),S$1,"""")"),"")</f>
        <v/>
      </c>
      <c r="T317" s="33" t="str">
        <f>IFERROR(__xludf.DUMMYFUNCTION("IF(IF(T$1="""","""",REGEXMATCH(LOWER($E317),XLOOKUP(T$1,Metadata!$A$2:$A1000,Metadata!$B$2:$B1000))),T$1,"""")"),"")</f>
        <v/>
      </c>
      <c r="U317" s="33" t="str">
        <f>IFERROR(__xludf.DUMMYFUNCTION("IF(IF(U$1="""","""",REGEXMATCH(LOWER($E317),XLOOKUP(U$1,Metadata!$A$2:$A1000,Metadata!$B$2:$B1000))),U$1,"""")"),"")</f>
        <v/>
      </c>
      <c r="V317" s="33" t="str">
        <f>IFERROR(__xludf.DUMMYFUNCTION("IF(IF(V$1="""","""",REGEXMATCH(LOWER($E317),XLOOKUP(V$1,Metadata!$A$2:$A1000,Metadata!$B$2:$B1000))),V$1,"""")"),"")</f>
        <v/>
      </c>
      <c r="W317" s="33" t="str">
        <f>IFERROR(__xludf.DUMMYFUNCTION("IF(IF(W$1="""","""",REGEXMATCH(LOWER($E317),XLOOKUP(W$1,Metadata!$A$2:$A1000,Metadata!$B$2:$B1000))),W$1,"""")"),"")</f>
        <v/>
      </c>
      <c r="X317" s="33" t="str">
        <f>IFERROR(__xludf.DUMMYFUNCTION("IF(IF(X$1="""","""",REGEXMATCH(LOWER($E317),XLOOKUP(X$1,Metadata!$A$2:$A1000,Metadata!$B$2:$B1000))),X$1,"""")"),"")</f>
        <v/>
      </c>
      <c r="Y317" s="33" t="str">
        <f>IFERROR(__xludf.DUMMYFUNCTION("IF(IF(Y$1="""","""",REGEXMATCH(LOWER($E317),XLOOKUP(Y$1,Metadata!$A$2:$A1000,Metadata!$B$2:$B1000))),Y$1,"""")"),"")</f>
        <v/>
      </c>
      <c r="Z317" s="33" t="str">
        <f>IFERROR(__xludf.DUMMYFUNCTION("IF(IF(Z$1="""","""",REGEXMATCH(LOWER($E317),XLOOKUP(Z$1,Metadata!$A$2:$A1000,Metadata!$B$2:$B1000))),Z$1,"""")"),"")</f>
        <v/>
      </c>
      <c r="AA317" s="33" t="str">
        <f>IFERROR(__xludf.DUMMYFUNCTION("IF(AA$1="""","""",REGEXMATCH(LOWER($E317),XLOOKUP(AA$1,Metadata!$A$2:$A1000,Metadata!$B$2:$B1000)))"),"")</f>
        <v/>
      </c>
    </row>
    <row r="318">
      <c r="A318" s="33" t="str">
        <f>IFERROR(__xludf.DUMMYFUNCTION("""COMPUTED_VALUE"""),"Reborn Stargazer")</f>
        <v>Reborn Stargazer</v>
      </c>
      <c r="B318" s="33" t="str">
        <f t="array" ref="B318:I318">XLOOKUP($A318,Cards!$A$2:$A1000,Cards!$B$2:$I1000,"")</f>
        <v>Void</v>
      </c>
      <c r="C318" s="33">
        <v>2.0</v>
      </c>
      <c r="D318" s="33" t="s">
        <v>107</v>
      </c>
      <c r="E318" s="33" t="s">
        <v>1779</v>
      </c>
      <c r="F318" s="33" t="s">
        <v>1780</v>
      </c>
      <c r="G318" s="33">
        <v>2.0</v>
      </c>
      <c r="H318" s="33" t="s">
        <v>1688</v>
      </c>
      <c r="I318" s="33" t="s">
        <v>26</v>
      </c>
      <c r="J318" s="33">
        <f>IFERROR(__xludf.DUMMYFUNCTION("LEN(REGEXREPLACE(XLOOKUP($A318,Cards!$A$2:$A1000,Cards!$H$2:$H1000,""""),"",\s"",""""))"),2.0)</f>
        <v>2</v>
      </c>
      <c r="K318" s="33" t="str">
        <f t="shared" si="1"/>
        <v>     Unearth  Control     Ambush   </v>
      </c>
      <c r="L318" s="33" t="str">
        <f>IFERROR(__xludf.DUMMYFUNCTION("IF(IF(L$1="""","""",REGEXMATCH(LOWER($E318),XLOOKUP(L$1,Metadata!$A$2:$A1000,Metadata!$B$2:$B1000))),L$1,"""")"),"")</f>
        <v/>
      </c>
      <c r="M318" s="33" t="str">
        <f>IFERROR(__xludf.DUMMYFUNCTION("IF(IF(M$1="""","""",REGEXMATCH(LOWER($E318),XLOOKUP(M$1,Metadata!$A$2:$A1000,Metadata!$B$2:$B1000))),M$1,"""")"),"")</f>
        <v/>
      </c>
      <c r="N318" s="33" t="str">
        <f>IFERROR(__xludf.DUMMYFUNCTION("IF(IF(N$1="""","""",REGEXMATCH(LOWER($E318),XLOOKUP(N$1,Metadata!$A$2:$A1000,Metadata!$B$2:$B1000))),N$1,"""")"),"")</f>
        <v/>
      </c>
      <c r="O318" s="33" t="str">
        <f>IFERROR(__xludf.DUMMYFUNCTION("IF(IF(O$1="""","""",REGEXMATCH(LOWER($E318),XLOOKUP(O$1,Metadata!$A$2:$A1000,Metadata!$B$2:$B1000))),O$1,"""")"),"")</f>
        <v/>
      </c>
      <c r="P318" s="33" t="str">
        <f>IFERROR(__xludf.DUMMYFUNCTION("IF(IF(P$1="""","""",REGEXMATCH(LOWER($E318),XLOOKUP(P$1,Metadata!$A$2:$A1000,Metadata!$B$2:$B1000))),P$1,"""")"),"")</f>
        <v/>
      </c>
      <c r="Q318" s="33" t="str">
        <f>IFERROR(__xludf.DUMMYFUNCTION("IF(IF(Q$1="""","""",REGEXMATCH(LOWER($E318),XLOOKUP(Q$1,Metadata!$A$2:$A1000,Metadata!$B$2:$B1000))),Q$1,"""")"),"Unearth")</f>
        <v>Unearth</v>
      </c>
      <c r="R318" s="33" t="str">
        <f>IFERROR(__xludf.DUMMYFUNCTION("IF(IF(R$1="""","""",REGEXMATCH(LOWER($E318),XLOOKUP(R$1,Metadata!$A$2:$A1000,Metadata!$B$2:$B1000))),R$1,"""")"),"")</f>
        <v/>
      </c>
      <c r="S318" s="33" t="str">
        <f>IFERROR(__xludf.DUMMYFUNCTION("IF(IF(S$1="""","""",REGEXMATCH(LOWER($E318),XLOOKUP(S$1,Metadata!$A$2:$A1000,Metadata!$B$2:$B1000))),S$1,"""")"),"Control")</f>
        <v>Control</v>
      </c>
      <c r="T318" s="33" t="str">
        <f>IFERROR(__xludf.DUMMYFUNCTION("IF(IF(T$1="""","""",REGEXMATCH(LOWER($E318),XLOOKUP(T$1,Metadata!$A$2:$A1000,Metadata!$B$2:$B1000))),T$1,"""")"),"")</f>
        <v/>
      </c>
      <c r="U318" s="33" t="str">
        <f>IFERROR(__xludf.DUMMYFUNCTION("IF(IF(U$1="""","""",REGEXMATCH(LOWER($E318),XLOOKUP(U$1,Metadata!$A$2:$A1000,Metadata!$B$2:$B1000))),U$1,"""")"),"")</f>
        <v/>
      </c>
      <c r="V318" s="33" t="str">
        <f>IFERROR(__xludf.DUMMYFUNCTION("IF(IF(V$1="""","""",REGEXMATCH(LOWER($E318),XLOOKUP(V$1,Metadata!$A$2:$A1000,Metadata!$B$2:$B1000))),V$1,"""")"),"")</f>
        <v/>
      </c>
      <c r="W318" s="33" t="str">
        <f>IFERROR(__xludf.DUMMYFUNCTION("IF(IF(W$1="""","""",REGEXMATCH(LOWER($E318),XLOOKUP(W$1,Metadata!$A$2:$A1000,Metadata!$B$2:$B1000))),W$1,"""")"),"")</f>
        <v/>
      </c>
      <c r="X318" s="33" t="str">
        <f>IFERROR(__xludf.DUMMYFUNCTION("IF(IF(X$1="""","""",REGEXMATCH(LOWER($E318),XLOOKUP(X$1,Metadata!$A$2:$A1000,Metadata!$B$2:$B1000))),X$1,"""")"),"Ambush")</f>
        <v>Ambush</v>
      </c>
      <c r="Y318" s="33" t="str">
        <f>IFERROR(__xludf.DUMMYFUNCTION("IF(IF(Y$1="""","""",REGEXMATCH(LOWER($E318),XLOOKUP(Y$1,Metadata!$A$2:$A1000,Metadata!$B$2:$B1000))),Y$1,"""")"),"")</f>
        <v/>
      </c>
      <c r="Z318" s="33" t="str">
        <f>IFERROR(__xludf.DUMMYFUNCTION("IF(IF(Z$1="""","""",REGEXMATCH(LOWER($E318),XLOOKUP(Z$1,Metadata!$A$2:$A1000,Metadata!$B$2:$B1000))),Z$1,"""")"),"")</f>
        <v/>
      </c>
      <c r="AA318" s="33" t="str">
        <f>IFERROR(__xludf.DUMMYFUNCTION("IF(AA$1="""","""",REGEXMATCH(LOWER($E318),XLOOKUP(AA$1,Metadata!$A$2:$A1000,Metadata!$B$2:$B1000)))"),"")</f>
        <v/>
      </c>
    </row>
    <row r="319">
      <c r="A319" s="33" t="str">
        <f>IFERROR(__xludf.DUMMYFUNCTION("""COMPUTED_VALUE"""),"Relentless Guardian")</f>
        <v>Relentless Guardian</v>
      </c>
      <c r="B319" s="33" t="str">
        <f t="array" ref="B319:I319">XLOOKUP($A319,Cards!$A$2:$A1000,Cards!$B$2:$I1000,"")</f>
        <v>Void</v>
      </c>
      <c r="C319" s="33">
        <v>2.0</v>
      </c>
      <c r="D319" s="33" t="s">
        <v>1782</v>
      </c>
      <c r="E319" s="33" t="s">
        <v>1783</v>
      </c>
      <c r="F319" s="33" t="s">
        <v>1784</v>
      </c>
      <c r="G319" s="33">
        <v>3.0</v>
      </c>
      <c r="H319" s="33" t="s">
        <v>1785</v>
      </c>
      <c r="I319" s="33" t="s">
        <v>26</v>
      </c>
      <c r="J319" s="33">
        <f>IFERROR(__xludf.DUMMYFUNCTION("LEN(REGEXREPLACE(XLOOKUP($A319,Cards!$A$2:$A1000,Cards!$H$2:$H1000,""""),"",\s"",""""))"),4.0)</f>
        <v>4</v>
      </c>
      <c r="K319" s="33" t="str">
        <f t="shared" si="1"/>
        <v>     Unearth  Control   Empty-Crystal  Ambush   </v>
      </c>
      <c r="L319" s="33" t="str">
        <f>IFERROR(__xludf.DUMMYFUNCTION("IF(IF(L$1="""","""",REGEXMATCH(LOWER($E319),XLOOKUP(L$1,Metadata!$A$2:$A1000,Metadata!$B$2:$B1000))),L$1,"""")"),"")</f>
        <v/>
      </c>
      <c r="M319" s="33" t="str">
        <f>IFERROR(__xludf.DUMMYFUNCTION("IF(IF(M$1="""","""",REGEXMATCH(LOWER($E319),XLOOKUP(M$1,Metadata!$A$2:$A1000,Metadata!$B$2:$B1000))),M$1,"""")"),"")</f>
        <v/>
      </c>
      <c r="N319" s="33" t="str">
        <f>IFERROR(__xludf.DUMMYFUNCTION("IF(IF(N$1="""","""",REGEXMATCH(LOWER($E319),XLOOKUP(N$1,Metadata!$A$2:$A1000,Metadata!$B$2:$B1000))),N$1,"""")"),"")</f>
        <v/>
      </c>
      <c r="O319" s="33" t="str">
        <f>IFERROR(__xludf.DUMMYFUNCTION("IF(IF(O$1="""","""",REGEXMATCH(LOWER($E319),XLOOKUP(O$1,Metadata!$A$2:$A1000,Metadata!$B$2:$B1000))),O$1,"""")"),"")</f>
        <v/>
      </c>
      <c r="P319" s="33" t="str">
        <f>IFERROR(__xludf.DUMMYFUNCTION("IF(IF(P$1="""","""",REGEXMATCH(LOWER($E319),XLOOKUP(P$1,Metadata!$A$2:$A1000,Metadata!$B$2:$B1000))),P$1,"""")"),"")</f>
        <v/>
      </c>
      <c r="Q319" s="33" t="str">
        <f>IFERROR(__xludf.DUMMYFUNCTION("IF(IF(Q$1="""","""",REGEXMATCH(LOWER($E319),XLOOKUP(Q$1,Metadata!$A$2:$A1000,Metadata!$B$2:$B1000))),Q$1,"""")"),"Unearth")</f>
        <v>Unearth</v>
      </c>
      <c r="R319" s="33" t="str">
        <f>IFERROR(__xludf.DUMMYFUNCTION("IF(IF(R$1="""","""",REGEXMATCH(LOWER($E319),XLOOKUP(R$1,Metadata!$A$2:$A1000,Metadata!$B$2:$B1000))),R$1,"""")"),"")</f>
        <v/>
      </c>
      <c r="S319" s="33" t="str">
        <f>IFERROR(__xludf.DUMMYFUNCTION("IF(IF(S$1="""","""",REGEXMATCH(LOWER($E319),XLOOKUP(S$1,Metadata!$A$2:$A1000,Metadata!$B$2:$B1000))),S$1,"""")"),"Control")</f>
        <v>Control</v>
      </c>
      <c r="T319" s="33" t="str">
        <f>IFERROR(__xludf.DUMMYFUNCTION("IF(IF(T$1="""","""",REGEXMATCH(LOWER($E319),XLOOKUP(T$1,Metadata!$A$2:$A1000,Metadata!$B$2:$B1000))),T$1,"""")"),"")</f>
        <v/>
      </c>
      <c r="U319" s="33" t="str">
        <f>IFERROR(__xludf.DUMMYFUNCTION("IF(IF(U$1="""","""",REGEXMATCH(LOWER($E319),XLOOKUP(U$1,Metadata!$A$2:$A1000,Metadata!$B$2:$B1000))),U$1,"""")"),"")</f>
        <v/>
      </c>
      <c r="V319" s="33" t="str">
        <f>IFERROR(__xludf.DUMMYFUNCTION("IF(IF(V$1="""","""",REGEXMATCH(LOWER($E319),XLOOKUP(V$1,Metadata!$A$2:$A1000,Metadata!$B$2:$B1000))),V$1,"""")"),"Empty-Crystal")</f>
        <v>Empty-Crystal</v>
      </c>
      <c r="W319" s="33" t="str">
        <f>IFERROR(__xludf.DUMMYFUNCTION("IF(IF(W$1="""","""",REGEXMATCH(LOWER($E319),XLOOKUP(W$1,Metadata!$A$2:$A1000,Metadata!$B$2:$B1000))),W$1,"""")"),"")</f>
        <v/>
      </c>
      <c r="X319" s="33" t="str">
        <f>IFERROR(__xludf.DUMMYFUNCTION("IF(IF(X$1="""","""",REGEXMATCH(LOWER($E319),XLOOKUP(X$1,Metadata!$A$2:$A1000,Metadata!$B$2:$B1000))),X$1,"""")"),"Ambush")</f>
        <v>Ambush</v>
      </c>
      <c r="Y319" s="33" t="str">
        <f>IFERROR(__xludf.DUMMYFUNCTION("IF(IF(Y$1="""","""",REGEXMATCH(LOWER($E319),XLOOKUP(Y$1,Metadata!$A$2:$A1000,Metadata!$B$2:$B1000))),Y$1,"""")"),"")</f>
        <v/>
      </c>
      <c r="Z319" s="33" t="str">
        <f>IFERROR(__xludf.DUMMYFUNCTION("IF(IF(Z$1="""","""",REGEXMATCH(LOWER($E319),XLOOKUP(Z$1,Metadata!$A$2:$A1000,Metadata!$B$2:$B1000))),Z$1,"""")"),"")</f>
        <v/>
      </c>
      <c r="AA319" s="33" t="str">
        <f>IFERROR(__xludf.DUMMYFUNCTION("IF(AA$1="""","""",REGEXMATCH(LOWER($E319),XLOOKUP(AA$1,Metadata!$A$2:$A1000,Metadata!$B$2:$B1000)))"),"")</f>
        <v/>
      </c>
    </row>
    <row r="320">
      <c r="A320" s="33" t="str">
        <f>IFERROR(__xludf.DUMMYFUNCTION("""COMPUTED_VALUE"""),"Runic Arachnid")</f>
        <v>Runic Arachnid</v>
      </c>
      <c r="B320" s="33" t="str">
        <f t="array" ref="B320:I320">XLOOKUP($A320,Cards!$A$2:$A1000,Cards!$B$2:$I1000,"")</f>
        <v>Void</v>
      </c>
      <c r="C320" s="33">
        <v>2.0</v>
      </c>
      <c r="D320" s="33" t="s">
        <v>1671</v>
      </c>
      <c r="E320" s="33" t="s">
        <v>1787</v>
      </c>
      <c r="F320" s="33" t="s">
        <v>1788</v>
      </c>
      <c r="G320" s="33">
        <v>2.0</v>
      </c>
      <c r="H320" s="33" t="s">
        <v>1734</v>
      </c>
      <c r="I320" s="33" t="s">
        <v>62</v>
      </c>
      <c r="J320" s="33">
        <f>IFERROR(__xludf.DUMMYFUNCTION("LEN(REGEXREPLACE(XLOOKUP($A320,Cards!$A$2:$A1000,Cards!$H$2:$H1000,""""),"",\s"",""""))"),4.0)</f>
        <v>4</v>
      </c>
      <c r="K320" s="33" t="str">
        <f t="shared" si="1"/>
        <v>     Unearth   Copy Aggro   Ambush   </v>
      </c>
      <c r="L320" s="33" t="str">
        <f>IFERROR(__xludf.DUMMYFUNCTION("IF(IF(L$1="""","""",REGEXMATCH(LOWER($E320),XLOOKUP(L$1,Metadata!$A$2:$A1000,Metadata!$B$2:$B1000))),L$1,"""")"),"")</f>
        <v/>
      </c>
      <c r="M320" s="33" t="str">
        <f>IFERROR(__xludf.DUMMYFUNCTION("IF(IF(M$1="""","""",REGEXMATCH(LOWER($E320),XLOOKUP(M$1,Metadata!$A$2:$A1000,Metadata!$B$2:$B1000))),M$1,"""")"),"")</f>
        <v/>
      </c>
      <c r="N320" s="33" t="str">
        <f>IFERROR(__xludf.DUMMYFUNCTION("IF(IF(N$1="""","""",REGEXMATCH(LOWER($E320),XLOOKUP(N$1,Metadata!$A$2:$A1000,Metadata!$B$2:$B1000))),N$1,"""")"),"")</f>
        <v/>
      </c>
      <c r="O320" s="33" t="str">
        <f>IFERROR(__xludf.DUMMYFUNCTION("IF(IF(O$1="""","""",REGEXMATCH(LOWER($E320),XLOOKUP(O$1,Metadata!$A$2:$A1000,Metadata!$B$2:$B1000))),O$1,"""")"),"")</f>
        <v/>
      </c>
      <c r="P320" s="33" t="str">
        <f>IFERROR(__xludf.DUMMYFUNCTION("IF(IF(P$1="""","""",REGEXMATCH(LOWER($E320),XLOOKUP(P$1,Metadata!$A$2:$A1000,Metadata!$B$2:$B1000))),P$1,"""")"),"")</f>
        <v/>
      </c>
      <c r="Q320" s="33" t="str">
        <f>IFERROR(__xludf.DUMMYFUNCTION("IF(IF(Q$1="""","""",REGEXMATCH(LOWER($E320),XLOOKUP(Q$1,Metadata!$A$2:$A1000,Metadata!$B$2:$B1000))),Q$1,"""")"),"Unearth")</f>
        <v>Unearth</v>
      </c>
      <c r="R320" s="33" t="str">
        <f>IFERROR(__xludf.DUMMYFUNCTION("IF(IF(R$1="""","""",REGEXMATCH(LOWER($E320),XLOOKUP(R$1,Metadata!$A$2:$A1000,Metadata!$B$2:$B1000))),R$1,"""")"),"")</f>
        <v/>
      </c>
      <c r="S320" s="33" t="str">
        <f>IFERROR(__xludf.DUMMYFUNCTION("IF(IF(S$1="""","""",REGEXMATCH(LOWER($E320),XLOOKUP(S$1,Metadata!$A$2:$A1000,Metadata!$B$2:$B1000))),S$1,"""")"),"")</f>
        <v/>
      </c>
      <c r="T320" s="33" t="str">
        <f>IFERROR(__xludf.DUMMYFUNCTION("IF(IF(T$1="""","""",REGEXMATCH(LOWER($E320),XLOOKUP(T$1,Metadata!$A$2:$A1000,Metadata!$B$2:$B1000))),T$1,"""")"),"Copy")</f>
        <v>Copy</v>
      </c>
      <c r="U320" s="33" t="str">
        <f>IFERROR(__xludf.DUMMYFUNCTION("IF(IF(U$1="""","""",REGEXMATCH(LOWER($E320),XLOOKUP(U$1,Metadata!$A$2:$A1000,Metadata!$B$2:$B1000))),U$1,"""")"),"Aggro")</f>
        <v>Aggro</v>
      </c>
      <c r="V320" s="33" t="str">
        <f>IFERROR(__xludf.DUMMYFUNCTION("IF(IF(V$1="""","""",REGEXMATCH(LOWER($E320),XLOOKUP(V$1,Metadata!$A$2:$A1000,Metadata!$B$2:$B1000))),V$1,"""")"),"")</f>
        <v/>
      </c>
      <c r="W320" s="33" t="str">
        <f>IFERROR(__xludf.DUMMYFUNCTION("IF(IF(W$1="""","""",REGEXMATCH(LOWER($E320),XLOOKUP(W$1,Metadata!$A$2:$A1000,Metadata!$B$2:$B1000))),W$1,"""")"),"")</f>
        <v/>
      </c>
      <c r="X320" s="33" t="str">
        <f>IFERROR(__xludf.DUMMYFUNCTION("IF(IF(X$1="""","""",REGEXMATCH(LOWER($E320),XLOOKUP(X$1,Metadata!$A$2:$A1000,Metadata!$B$2:$B1000))),X$1,"""")"),"Ambush")</f>
        <v>Ambush</v>
      </c>
      <c r="Y320" s="33" t="str">
        <f>IFERROR(__xludf.DUMMYFUNCTION("IF(IF(Y$1="""","""",REGEXMATCH(LOWER($E320),XLOOKUP(Y$1,Metadata!$A$2:$A1000,Metadata!$B$2:$B1000))),Y$1,"""")"),"")</f>
        <v/>
      </c>
      <c r="Z320" s="33" t="str">
        <f>IFERROR(__xludf.DUMMYFUNCTION("IF(IF(Z$1="""","""",REGEXMATCH(LOWER($E320),XLOOKUP(Z$1,Metadata!$A$2:$A1000,Metadata!$B$2:$B1000))),Z$1,"""")"),"")</f>
        <v/>
      </c>
      <c r="AA320" s="33" t="str">
        <f>IFERROR(__xludf.DUMMYFUNCTION("IF(AA$1="""","""",REGEXMATCH(LOWER($E320),XLOOKUP(AA$1,Metadata!$A$2:$A1000,Metadata!$B$2:$B1000)))"),"")</f>
        <v/>
      </c>
    </row>
    <row r="321">
      <c r="A321" s="33" t="str">
        <f>IFERROR(__xludf.DUMMYFUNCTION("""COMPUTED_VALUE"""),"Sanguine Teapot")</f>
        <v>Sanguine Teapot</v>
      </c>
      <c r="B321" s="33" t="str">
        <f t="array" ref="B321:I321">XLOOKUP($A321,Cards!$A$2:$A1000,Cards!$B$2:$I1000,"")</f>
        <v>Void</v>
      </c>
      <c r="C321" s="33">
        <v>2.0</v>
      </c>
      <c r="D321" s="33" t="s">
        <v>76</v>
      </c>
      <c r="E321" s="33" t="s">
        <v>1790</v>
      </c>
      <c r="F321" s="33" t="s">
        <v>1791</v>
      </c>
      <c r="G321" s="33">
        <v>0.0</v>
      </c>
      <c r="H321" s="33" t="s">
        <v>1734</v>
      </c>
      <c r="I321" s="33" t="s">
        <v>62</v>
      </c>
      <c r="J321" s="33">
        <f>IFERROR(__xludf.DUMMYFUNCTION("LEN(REGEXREPLACE(XLOOKUP($A321,Cards!$A$2:$A1000,Cards!$H$2:$H1000,""""),"",\s"",""""))"),4.0)</f>
        <v>4</v>
      </c>
      <c r="K321" s="33" t="str">
        <f t="shared" si="1"/>
        <v>               </v>
      </c>
      <c r="L321" s="33" t="str">
        <f>IFERROR(__xludf.DUMMYFUNCTION("IF(IF(L$1="""","""",REGEXMATCH(LOWER($E321),XLOOKUP(L$1,Metadata!$A$2:$A1000,Metadata!$B$2:$B1000))),L$1,"""")"),"")</f>
        <v/>
      </c>
      <c r="M321" s="33" t="str">
        <f>IFERROR(__xludf.DUMMYFUNCTION("IF(IF(M$1="""","""",REGEXMATCH(LOWER($E321),XLOOKUP(M$1,Metadata!$A$2:$A1000,Metadata!$B$2:$B1000))),M$1,"""")"),"")</f>
        <v/>
      </c>
      <c r="N321" s="33" t="str">
        <f>IFERROR(__xludf.DUMMYFUNCTION("IF(IF(N$1="""","""",REGEXMATCH(LOWER($E321),XLOOKUP(N$1,Metadata!$A$2:$A1000,Metadata!$B$2:$B1000))),N$1,"""")"),"")</f>
        <v/>
      </c>
      <c r="O321" s="33" t="str">
        <f>IFERROR(__xludf.DUMMYFUNCTION("IF(IF(O$1="""","""",REGEXMATCH(LOWER($E321),XLOOKUP(O$1,Metadata!$A$2:$A1000,Metadata!$B$2:$B1000))),O$1,"""")"),"")</f>
        <v/>
      </c>
      <c r="P321" s="33" t="str">
        <f>IFERROR(__xludf.DUMMYFUNCTION("IF(IF(P$1="""","""",REGEXMATCH(LOWER($E321),XLOOKUP(P$1,Metadata!$A$2:$A1000,Metadata!$B$2:$B1000))),P$1,"""")"),"")</f>
        <v/>
      </c>
      <c r="Q321" s="33" t="str">
        <f>IFERROR(__xludf.DUMMYFUNCTION("IF(IF(Q$1="""","""",REGEXMATCH(LOWER($E321),XLOOKUP(Q$1,Metadata!$A$2:$A1000,Metadata!$B$2:$B1000))),Q$1,"""")"),"")</f>
        <v/>
      </c>
      <c r="R321" s="33" t="str">
        <f>IFERROR(__xludf.DUMMYFUNCTION("IF(IF(R$1="""","""",REGEXMATCH(LOWER($E321),XLOOKUP(R$1,Metadata!$A$2:$A1000,Metadata!$B$2:$B1000))),R$1,"""")"),"")</f>
        <v/>
      </c>
      <c r="S321" s="33" t="str">
        <f>IFERROR(__xludf.DUMMYFUNCTION("IF(IF(S$1="""","""",REGEXMATCH(LOWER($E321),XLOOKUP(S$1,Metadata!$A$2:$A1000,Metadata!$B$2:$B1000))),S$1,"""")"),"")</f>
        <v/>
      </c>
      <c r="T321" s="33" t="str">
        <f>IFERROR(__xludf.DUMMYFUNCTION("IF(IF(T$1="""","""",REGEXMATCH(LOWER($E321),XLOOKUP(T$1,Metadata!$A$2:$A1000,Metadata!$B$2:$B1000))),T$1,"""")"),"")</f>
        <v/>
      </c>
      <c r="U321" s="33" t="str">
        <f>IFERROR(__xludf.DUMMYFUNCTION("IF(IF(U$1="""","""",REGEXMATCH(LOWER($E321),XLOOKUP(U$1,Metadata!$A$2:$A1000,Metadata!$B$2:$B1000))),U$1,"""")"),"")</f>
        <v/>
      </c>
      <c r="V321" s="33" t="str">
        <f>IFERROR(__xludf.DUMMYFUNCTION("IF(IF(V$1="""","""",REGEXMATCH(LOWER($E321),XLOOKUP(V$1,Metadata!$A$2:$A1000,Metadata!$B$2:$B1000))),V$1,"""")"),"")</f>
        <v/>
      </c>
      <c r="W321" s="33" t="str">
        <f>IFERROR(__xludf.DUMMYFUNCTION("IF(IF(W$1="""","""",REGEXMATCH(LOWER($E321),XLOOKUP(W$1,Metadata!$A$2:$A1000,Metadata!$B$2:$B1000))),W$1,"""")"),"")</f>
        <v/>
      </c>
      <c r="X321" s="33" t="str">
        <f>IFERROR(__xludf.DUMMYFUNCTION("IF(IF(X$1="""","""",REGEXMATCH(LOWER($E321),XLOOKUP(X$1,Metadata!$A$2:$A1000,Metadata!$B$2:$B1000))),X$1,"""")"),"")</f>
        <v/>
      </c>
      <c r="Y321" s="33" t="str">
        <f>IFERROR(__xludf.DUMMYFUNCTION("IF(IF(Y$1="""","""",REGEXMATCH(LOWER($E321),XLOOKUP(Y$1,Metadata!$A$2:$A1000,Metadata!$B$2:$B1000))),Y$1,"""")"),"")</f>
        <v/>
      </c>
      <c r="Z321" s="33" t="str">
        <f>IFERROR(__xludf.DUMMYFUNCTION("IF(IF(Z$1="""","""",REGEXMATCH(LOWER($E321),XLOOKUP(Z$1,Metadata!$A$2:$A1000,Metadata!$B$2:$B1000))),Z$1,"""")"),"")</f>
        <v/>
      </c>
      <c r="AA321" s="33" t="str">
        <f>IFERROR(__xludf.DUMMYFUNCTION("IF(AA$1="""","""",REGEXMATCH(LOWER($E321),XLOOKUP(AA$1,Metadata!$A$2:$A1000,Metadata!$B$2:$B1000)))"),"")</f>
        <v/>
      </c>
    </row>
    <row r="322">
      <c r="A322" s="33" t="str">
        <f>IFERROR(__xludf.DUMMYFUNCTION("""COMPUTED_VALUE"""),"Sun Crystal Saurus")</f>
        <v>Sun Crystal Saurus</v>
      </c>
      <c r="B322" s="33" t="str">
        <f t="array" ref="B322:I322">XLOOKUP($A322,Cards!$A$2:$A1000,Cards!$B$2:$I1000,"")</f>
        <v>Nature</v>
      </c>
      <c r="C322" s="33">
        <v>1.0</v>
      </c>
      <c r="D322" s="33" t="s">
        <v>334</v>
      </c>
      <c r="E322" s="33" t="s">
        <v>1793</v>
      </c>
      <c r="F322" s="33"/>
      <c r="G322" s="33">
        <v>6.0</v>
      </c>
      <c r="H322" s="33" t="s">
        <v>1794</v>
      </c>
      <c r="I322" s="33" t="s">
        <v>32</v>
      </c>
      <c r="J322" s="33">
        <f>IFERROR(__xludf.DUMMYFUNCTION("LEN(REGEXREPLACE(XLOOKUP($A322,Cards!$A$2:$A1000,Cards!$H$2:$H1000,""""),"",\s"",""""))"),4.0)</f>
        <v>4</v>
      </c>
      <c r="K322" s="33" t="str">
        <f t="shared" si="1"/>
        <v>      Ramp   Aggro      </v>
      </c>
      <c r="L322" s="33" t="str">
        <f>IFERROR(__xludf.DUMMYFUNCTION("IF(IF(L$1="""","""",REGEXMATCH(LOWER($E322),XLOOKUP(L$1,Metadata!$A$2:$A1000,Metadata!$B$2:$B1000))),L$1,"""")"),"")</f>
        <v/>
      </c>
      <c r="M322" s="33" t="str">
        <f>IFERROR(__xludf.DUMMYFUNCTION("IF(IF(M$1="""","""",REGEXMATCH(LOWER($E322),XLOOKUP(M$1,Metadata!$A$2:$A1000,Metadata!$B$2:$B1000))),M$1,"""")"),"")</f>
        <v/>
      </c>
      <c r="N322" s="33" t="str">
        <f>IFERROR(__xludf.DUMMYFUNCTION("IF(IF(N$1="""","""",REGEXMATCH(LOWER($E322),XLOOKUP(N$1,Metadata!$A$2:$A1000,Metadata!$B$2:$B1000))),N$1,"""")"),"")</f>
        <v/>
      </c>
      <c r="O322" s="33" t="str">
        <f>IFERROR(__xludf.DUMMYFUNCTION("IF(IF(O$1="""","""",REGEXMATCH(LOWER($E322),XLOOKUP(O$1,Metadata!$A$2:$A1000,Metadata!$B$2:$B1000))),O$1,"""")"),"")</f>
        <v/>
      </c>
      <c r="P322" s="33" t="str">
        <f>IFERROR(__xludf.DUMMYFUNCTION("IF(IF(P$1="""","""",REGEXMATCH(LOWER($E322),XLOOKUP(P$1,Metadata!$A$2:$A1000,Metadata!$B$2:$B1000))),P$1,"""")"),"")</f>
        <v/>
      </c>
      <c r="Q322" s="33" t="str">
        <f>IFERROR(__xludf.DUMMYFUNCTION("IF(IF(Q$1="""","""",REGEXMATCH(LOWER($E322),XLOOKUP(Q$1,Metadata!$A$2:$A1000,Metadata!$B$2:$B1000))),Q$1,"""")"),"")</f>
        <v/>
      </c>
      <c r="R322" s="33" t="str">
        <f>IFERROR(__xludf.DUMMYFUNCTION("IF(IF(R$1="""","""",REGEXMATCH(LOWER($E322),XLOOKUP(R$1,Metadata!$A$2:$A1000,Metadata!$B$2:$B1000))),R$1,"""")"),"Ramp")</f>
        <v>Ramp</v>
      </c>
      <c r="S322" s="33" t="str">
        <f>IFERROR(__xludf.DUMMYFUNCTION("IF(IF(S$1="""","""",REGEXMATCH(LOWER($E322),XLOOKUP(S$1,Metadata!$A$2:$A1000,Metadata!$B$2:$B1000))),S$1,"""")"),"")</f>
        <v/>
      </c>
      <c r="T322" s="33" t="str">
        <f>IFERROR(__xludf.DUMMYFUNCTION("IF(IF(T$1="""","""",REGEXMATCH(LOWER($E322),XLOOKUP(T$1,Metadata!$A$2:$A1000,Metadata!$B$2:$B1000))),T$1,"""")"),"")</f>
        <v/>
      </c>
      <c r="U322" s="33" t="str">
        <f>IFERROR(__xludf.DUMMYFUNCTION("IF(IF(U$1="""","""",REGEXMATCH(LOWER($E322),XLOOKUP(U$1,Metadata!$A$2:$A1000,Metadata!$B$2:$B1000))),U$1,"""")"),"Aggro")</f>
        <v>Aggro</v>
      </c>
      <c r="V322" s="33" t="str">
        <f>IFERROR(__xludf.DUMMYFUNCTION("IF(IF(V$1="""","""",REGEXMATCH(LOWER($E322),XLOOKUP(V$1,Metadata!$A$2:$A1000,Metadata!$B$2:$B1000))),V$1,"""")"),"")</f>
        <v/>
      </c>
      <c r="W322" s="33" t="str">
        <f>IFERROR(__xludf.DUMMYFUNCTION("IF(IF(W$1="""","""",REGEXMATCH(LOWER($E322),XLOOKUP(W$1,Metadata!$A$2:$A1000,Metadata!$B$2:$B1000))),W$1,"""")"),"")</f>
        <v/>
      </c>
      <c r="X322" s="33" t="str">
        <f>IFERROR(__xludf.DUMMYFUNCTION("IF(IF(X$1="""","""",REGEXMATCH(LOWER($E322),XLOOKUP(X$1,Metadata!$A$2:$A1000,Metadata!$B$2:$B1000))),X$1,"""")"),"")</f>
        <v/>
      </c>
      <c r="Y322" s="33" t="str">
        <f>IFERROR(__xludf.DUMMYFUNCTION("IF(IF(Y$1="""","""",REGEXMATCH(LOWER($E322),XLOOKUP(Y$1,Metadata!$A$2:$A1000,Metadata!$B$2:$B1000))),Y$1,"""")"),"")</f>
        <v/>
      </c>
      <c r="Z322" s="33" t="str">
        <f>IFERROR(__xludf.DUMMYFUNCTION("IF(IF(Z$1="""","""",REGEXMATCH(LOWER($E322),XLOOKUP(Z$1,Metadata!$A$2:$A1000,Metadata!$B$2:$B1000))),Z$1,"""")"),"")</f>
        <v/>
      </c>
      <c r="AA322" s="33" t="str">
        <f>IFERROR(__xludf.DUMMYFUNCTION("IF(AA$1="""","""",REGEXMATCH(LOWER($E322),XLOOKUP(AA$1,Metadata!$A$2:$A1000,Metadata!$B$2:$B1000)))"),"")</f>
        <v/>
      </c>
    </row>
    <row r="323">
      <c r="A323" s="33" t="str">
        <f>IFERROR(__xludf.DUMMYFUNCTION("""COMPUTED_VALUE"""),"Sandsilk Fox")</f>
        <v>Sandsilk Fox</v>
      </c>
      <c r="B323" s="33" t="str">
        <f t="array" ref="B323:I323">XLOOKUP($A323,Cards!$A$2:$A1000,Cards!$B$2:$I1000,"")</f>
        <v>Nature</v>
      </c>
      <c r="C323" s="33">
        <v>1.0</v>
      </c>
      <c r="D323" s="33" t="s">
        <v>266</v>
      </c>
      <c r="E323" s="33"/>
      <c r="F323" s="33"/>
      <c r="G323" s="33">
        <v>1.0</v>
      </c>
      <c r="H323" s="33" t="s">
        <v>1608</v>
      </c>
      <c r="I323" s="33" t="s">
        <v>26</v>
      </c>
      <c r="J323" s="33">
        <f>IFERROR(__xludf.DUMMYFUNCTION("LEN(REGEXREPLACE(XLOOKUP($A323,Cards!$A$2:$A1000,Cards!$H$2:$H1000,""""),"",\s"",""""))"),1.0)</f>
        <v>1</v>
      </c>
      <c r="K323" s="33" t="str">
        <f t="shared" si="1"/>
        <v>               </v>
      </c>
      <c r="L323" s="33" t="str">
        <f>IFERROR(__xludf.DUMMYFUNCTION("IF(IF(L$1="""","""",REGEXMATCH(LOWER($E323),XLOOKUP(L$1,Metadata!$A$2:$A1000,Metadata!$B$2:$B1000))),L$1,"""")"),"")</f>
        <v/>
      </c>
      <c r="M323" s="33" t="str">
        <f>IFERROR(__xludf.DUMMYFUNCTION("IF(IF(M$1="""","""",REGEXMATCH(LOWER($E323),XLOOKUP(M$1,Metadata!$A$2:$A1000,Metadata!$B$2:$B1000))),M$1,"""")"),"")</f>
        <v/>
      </c>
      <c r="N323" s="33" t="str">
        <f>IFERROR(__xludf.DUMMYFUNCTION("IF(IF(N$1="""","""",REGEXMATCH(LOWER($E323),XLOOKUP(N$1,Metadata!$A$2:$A1000,Metadata!$B$2:$B1000))),N$1,"""")"),"")</f>
        <v/>
      </c>
      <c r="O323" s="33" t="str">
        <f>IFERROR(__xludf.DUMMYFUNCTION("IF(IF(O$1="""","""",REGEXMATCH(LOWER($E323),XLOOKUP(O$1,Metadata!$A$2:$A1000,Metadata!$B$2:$B1000))),O$1,"""")"),"")</f>
        <v/>
      </c>
      <c r="P323" s="33" t="str">
        <f>IFERROR(__xludf.DUMMYFUNCTION("IF(IF(P$1="""","""",REGEXMATCH(LOWER($E323),XLOOKUP(P$1,Metadata!$A$2:$A1000,Metadata!$B$2:$B1000))),P$1,"""")"),"")</f>
        <v/>
      </c>
      <c r="Q323" s="33" t="str">
        <f>IFERROR(__xludf.DUMMYFUNCTION("IF(IF(Q$1="""","""",REGEXMATCH(LOWER($E323),XLOOKUP(Q$1,Metadata!$A$2:$A1000,Metadata!$B$2:$B1000))),Q$1,"""")"),"")</f>
        <v/>
      </c>
      <c r="R323" s="33" t="str">
        <f>IFERROR(__xludf.DUMMYFUNCTION("IF(IF(R$1="""","""",REGEXMATCH(LOWER($E323),XLOOKUP(R$1,Metadata!$A$2:$A1000,Metadata!$B$2:$B1000))),R$1,"""")"),"")</f>
        <v/>
      </c>
      <c r="S323" s="33" t="str">
        <f>IFERROR(__xludf.DUMMYFUNCTION("IF(IF(S$1="""","""",REGEXMATCH(LOWER($E323),XLOOKUP(S$1,Metadata!$A$2:$A1000,Metadata!$B$2:$B1000))),S$1,"""")"),"")</f>
        <v/>
      </c>
      <c r="T323" s="33" t="str">
        <f>IFERROR(__xludf.DUMMYFUNCTION("IF(IF(T$1="""","""",REGEXMATCH(LOWER($E323),XLOOKUP(T$1,Metadata!$A$2:$A1000,Metadata!$B$2:$B1000))),T$1,"""")"),"")</f>
        <v/>
      </c>
      <c r="U323" s="33" t="str">
        <f>IFERROR(__xludf.DUMMYFUNCTION("IF(IF(U$1="""","""",REGEXMATCH(LOWER($E323),XLOOKUP(U$1,Metadata!$A$2:$A1000,Metadata!$B$2:$B1000))),U$1,"""")"),"")</f>
        <v/>
      </c>
      <c r="V323" s="33" t="str">
        <f>IFERROR(__xludf.DUMMYFUNCTION("IF(IF(V$1="""","""",REGEXMATCH(LOWER($E323),XLOOKUP(V$1,Metadata!$A$2:$A1000,Metadata!$B$2:$B1000))),V$1,"""")"),"")</f>
        <v/>
      </c>
      <c r="W323" s="33" t="str">
        <f>IFERROR(__xludf.DUMMYFUNCTION("IF(IF(W$1="""","""",REGEXMATCH(LOWER($E323),XLOOKUP(W$1,Metadata!$A$2:$A1000,Metadata!$B$2:$B1000))),W$1,"""")"),"")</f>
        <v/>
      </c>
      <c r="X323" s="33" t="str">
        <f>IFERROR(__xludf.DUMMYFUNCTION("IF(IF(X$1="""","""",REGEXMATCH(LOWER($E323),XLOOKUP(X$1,Metadata!$A$2:$A1000,Metadata!$B$2:$B1000))),X$1,"""")"),"")</f>
        <v/>
      </c>
      <c r="Y323" s="33" t="str">
        <f>IFERROR(__xludf.DUMMYFUNCTION("IF(IF(Y$1="""","""",REGEXMATCH(LOWER($E323),XLOOKUP(Y$1,Metadata!$A$2:$A1000,Metadata!$B$2:$B1000))),Y$1,"""")"),"")</f>
        <v/>
      </c>
      <c r="Z323" s="33" t="str">
        <f>IFERROR(__xludf.DUMMYFUNCTION("IF(IF(Z$1="""","""",REGEXMATCH(LOWER($E323),XLOOKUP(Z$1,Metadata!$A$2:$A1000,Metadata!$B$2:$B1000))),Z$1,"""")"),"")</f>
        <v/>
      </c>
      <c r="AA323" s="33" t="str">
        <f>IFERROR(__xludf.DUMMYFUNCTION("IF(AA$1="""","""",REGEXMATCH(LOWER($E323),XLOOKUP(AA$1,Metadata!$A$2:$A1000,Metadata!$B$2:$B1000)))"),"")</f>
        <v/>
      </c>
    </row>
    <row r="324">
      <c r="A324" s="33" t="str">
        <f>IFERROR(__xludf.DUMMYFUNCTION("""COMPUTED_VALUE"""),"Living Thicket")</f>
        <v>Living Thicket</v>
      </c>
      <c r="B324" s="33" t="str">
        <f t="array" ref="B324:I324">XLOOKUP($A324,Cards!$A$2:$A1000,Cards!$B$2:$I1000,"")</f>
        <v>Nature</v>
      </c>
      <c r="C324" s="33">
        <v>1.0</v>
      </c>
      <c r="D324" s="33" t="s">
        <v>1745</v>
      </c>
      <c r="E324" s="33"/>
      <c r="F324" s="33" t="s">
        <v>1800</v>
      </c>
      <c r="G324" s="33">
        <v>4.0</v>
      </c>
      <c r="H324" s="33" t="s">
        <v>1583</v>
      </c>
      <c r="I324" s="33" t="s">
        <v>26</v>
      </c>
      <c r="J324" s="33">
        <f>IFERROR(__xludf.DUMMYFUNCTION("LEN(REGEXREPLACE(XLOOKUP($A324,Cards!$A$2:$A1000,Cards!$H$2:$H1000,""""),"",\s"",""""))"),3.0)</f>
        <v>3</v>
      </c>
      <c r="K324" s="33" t="str">
        <f t="shared" si="1"/>
        <v>               </v>
      </c>
      <c r="L324" s="33" t="str">
        <f>IFERROR(__xludf.DUMMYFUNCTION("IF(IF(L$1="""","""",REGEXMATCH(LOWER($E324),XLOOKUP(L$1,Metadata!$A$2:$A1000,Metadata!$B$2:$B1000))),L$1,"""")"),"")</f>
        <v/>
      </c>
      <c r="M324" s="33" t="str">
        <f>IFERROR(__xludf.DUMMYFUNCTION("IF(IF(M$1="""","""",REGEXMATCH(LOWER($E324),XLOOKUP(M$1,Metadata!$A$2:$A1000,Metadata!$B$2:$B1000))),M$1,"""")"),"")</f>
        <v/>
      </c>
      <c r="N324" s="33" t="str">
        <f>IFERROR(__xludf.DUMMYFUNCTION("IF(IF(N$1="""","""",REGEXMATCH(LOWER($E324),XLOOKUP(N$1,Metadata!$A$2:$A1000,Metadata!$B$2:$B1000))),N$1,"""")"),"")</f>
        <v/>
      </c>
      <c r="O324" s="33" t="str">
        <f>IFERROR(__xludf.DUMMYFUNCTION("IF(IF(O$1="""","""",REGEXMATCH(LOWER($E324),XLOOKUP(O$1,Metadata!$A$2:$A1000,Metadata!$B$2:$B1000))),O$1,"""")"),"")</f>
        <v/>
      </c>
      <c r="P324" s="33" t="str">
        <f>IFERROR(__xludf.DUMMYFUNCTION("IF(IF(P$1="""","""",REGEXMATCH(LOWER($E324),XLOOKUP(P$1,Metadata!$A$2:$A1000,Metadata!$B$2:$B1000))),P$1,"""")"),"")</f>
        <v/>
      </c>
      <c r="Q324" s="33" t="str">
        <f>IFERROR(__xludf.DUMMYFUNCTION("IF(IF(Q$1="""","""",REGEXMATCH(LOWER($E324),XLOOKUP(Q$1,Metadata!$A$2:$A1000,Metadata!$B$2:$B1000))),Q$1,"""")"),"")</f>
        <v/>
      </c>
      <c r="R324" s="33" t="str">
        <f>IFERROR(__xludf.DUMMYFUNCTION("IF(IF(R$1="""","""",REGEXMATCH(LOWER($E324),XLOOKUP(R$1,Metadata!$A$2:$A1000,Metadata!$B$2:$B1000))),R$1,"""")"),"")</f>
        <v/>
      </c>
      <c r="S324" s="33" t="str">
        <f>IFERROR(__xludf.DUMMYFUNCTION("IF(IF(S$1="""","""",REGEXMATCH(LOWER($E324),XLOOKUP(S$1,Metadata!$A$2:$A1000,Metadata!$B$2:$B1000))),S$1,"""")"),"")</f>
        <v/>
      </c>
      <c r="T324" s="33" t="str">
        <f>IFERROR(__xludf.DUMMYFUNCTION("IF(IF(T$1="""","""",REGEXMATCH(LOWER($E324),XLOOKUP(T$1,Metadata!$A$2:$A1000,Metadata!$B$2:$B1000))),T$1,"""")"),"")</f>
        <v/>
      </c>
      <c r="U324" s="33" t="str">
        <f>IFERROR(__xludf.DUMMYFUNCTION("IF(IF(U$1="""","""",REGEXMATCH(LOWER($E324),XLOOKUP(U$1,Metadata!$A$2:$A1000,Metadata!$B$2:$B1000))),U$1,"""")"),"")</f>
        <v/>
      </c>
      <c r="V324" s="33" t="str">
        <f>IFERROR(__xludf.DUMMYFUNCTION("IF(IF(V$1="""","""",REGEXMATCH(LOWER($E324),XLOOKUP(V$1,Metadata!$A$2:$A1000,Metadata!$B$2:$B1000))),V$1,"""")"),"")</f>
        <v/>
      </c>
      <c r="W324" s="33" t="str">
        <f>IFERROR(__xludf.DUMMYFUNCTION("IF(IF(W$1="""","""",REGEXMATCH(LOWER($E324),XLOOKUP(W$1,Metadata!$A$2:$A1000,Metadata!$B$2:$B1000))),W$1,"""")"),"")</f>
        <v/>
      </c>
      <c r="X324" s="33" t="str">
        <f>IFERROR(__xludf.DUMMYFUNCTION("IF(IF(X$1="""","""",REGEXMATCH(LOWER($E324),XLOOKUP(X$1,Metadata!$A$2:$A1000,Metadata!$B$2:$B1000))),X$1,"""")"),"")</f>
        <v/>
      </c>
      <c r="Y324" s="33" t="str">
        <f>IFERROR(__xludf.DUMMYFUNCTION("IF(IF(Y$1="""","""",REGEXMATCH(LOWER($E324),XLOOKUP(Y$1,Metadata!$A$2:$A1000,Metadata!$B$2:$B1000))),Y$1,"""")"),"")</f>
        <v/>
      </c>
      <c r="Z324" s="33" t="str">
        <f>IFERROR(__xludf.DUMMYFUNCTION("IF(IF(Z$1="""","""",REGEXMATCH(LOWER($E324),XLOOKUP(Z$1,Metadata!$A$2:$A1000,Metadata!$B$2:$B1000))),Z$1,"""")"),"")</f>
        <v/>
      </c>
      <c r="AA324" s="33" t="str">
        <f>IFERROR(__xludf.DUMMYFUNCTION("IF(AA$1="""","""",REGEXMATCH(LOWER($E324),XLOOKUP(AA$1,Metadata!$A$2:$A1000,Metadata!$B$2:$B1000)))"),"")</f>
        <v/>
      </c>
    </row>
    <row r="325">
      <c r="A325" s="33" t="str">
        <f>IFERROR(__xludf.DUMMYFUNCTION("""COMPUTED_VALUE"""),"Shrouded Trickster")</f>
        <v>Shrouded Trickster</v>
      </c>
      <c r="B325" s="33" t="str">
        <f t="array" ref="B325:I325">XLOOKUP($A325,Cards!$A$2:$A1000,Cards!$B$2:$I1000,"")</f>
        <v>Void</v>
      </c>
      <c r="C325" s="33">
        <v>2.0</v>
      </c>
      <c r="D325" s="33" t="s">
        <v>1802</v>
      </c>
      <c r="E325" s="33" t="s">
        <v>1803</v>
      </c>
      <c r="F325" s="33" t="s">
        <v>1804</v>
      </c>
      <c r="G325" s="33">
        <v>4.0</v>
      </c>
      <c r="H325" s="33" t="s">
        <v>1734</v>
      </c>
      <c r="I325" s="33" t="s">
        <v>62</v>
      </c>
      <c r="J325" s="33">
        <f>IFERROR(__xludf.DUMMYFUNCTION("LEN(REGEXREPLACE(XLOOKUP($A325,Cards!$A$2:$A1000,Cards!$H$2:$H1000,""""),"",\s"",""""))"),4.0)</f>
        <v>4</v>
      </c>
      <c r="K325" s="33" t="str">
        <f t="shared" si="1"/>
        <v>      Ramp      Ambush   </v>
      </c>
      <c r="L325" s="33" t="str">
        <f>IFERROR(__xludf.DUMMYFUNCTION("IF(IF(L$1="""","""",REGEXMATCH(LOWER($E325),XLOOKUP(L$1,Metadata!$A$2:$A1000,Metadata!$B$2:$B1000))),L$1,"""")"),"")</f>
        <v/>
      </c>
      <c r="M325" s="33" t="str">
        <f>IFERROR(__xludf.DUMMYFUNCTION("IF(IF(M$1="""","""",REGEXMATCH(LOWER($E325),XLOOKUP(M$1,Metadata!$A$2:$A1000,Metadata!$B$2:$B1000))),M$1,"""")"),"")</f>
        <v/>
      </c>
      <c r="N325" s="33" t="str">
        <f>IFERROR(__xludf.DUMMYFUNCTION("IF(IF(N$1="""","""",REGEXMATCH(LOWER($E325),XLOOKUP(N$1,Metadata!$A$2:$A1000,Metadata!$B$2:$B1000))),N$1,"""")"),"")</f>
        <v/>
      </c>
      <c r="O325" s="33" t="str">
        <f>IFERROR(__xludf.DUMMYFUNCTION("IF(IF(O$1="""","""",REGEXMATCH(LOWER($E325),XLOOKUP(O$1,Metadata!$A$2:$A1000,Metadata!$B$2:$B1000))),O$1,"""")"),"")</f>
        <v/>
      </c>
      <c r="P325" s="33" t="str">
        <f>IFERROR(__xludf.DUMMYFUNCTION("IF(IF(P$1="""","""",REGEXMATCH(LOWER($E325),XLOOKUP(P$1,Metadata!$A$2:$A1000,Metadata!$B$2:$B1000))),P$1,"""")"),"")</f>
        <v/>
      </c>
      <c r="Q325" s="33" t="str">
        <f>IFERROR(__xludf.DUMMYFUNCTION("IF(IF(Q$1="""","""",REGEXMATCH(LOWER($E325),XLOOKUP(Q$1,Metadata!$A$2:$A1000,Metadata!$B$2:$B1000))),Q$1,"""")"),"")</f>
        <v/>
      </c>
      <c r="R325" s="33" t="str">
        <f>IFERROR(__xludf.DUMMYFUNCTION("IF(IF(R$1="""","""",REGEXMATCH(LOWER($E325),XLOOKUP(R$1,Metadata!$A$2:$A1000,Metadata!$B$2:$B1000))),R$1,"""")"),"Ramp")</f>
        <v>Ramp</v>
      </c>
      <c r="S325" s="33" t="str">
        <f>IFERROR(__xludf.DUMMYFUNCTION("IF(IF(S$1="""","""",REGEXMATCH(LOWER($E325),XLOOKUP(S$1,Metadata!$A$2:$A1000,Metadata!$B$2:$B1000))),S$1,"""")"),"")</f>
        <v/>
      </c>
      <c r="T325" s="33" t="str">
        <f>IFERROR(__xludf.DUMMYFUNCTION("IF(IF(T$1="""","""",REGEXMATCH(LOWER($E325),XLOOKUP(T$1,Metadata!$A$2:$A1000,Metadata!$B$2:$B1000))),T$1,"""")"),"")</f>
        <v/>
      </c>
      <c r="U325" s="33" t="str">
        <f>IFERROR(__xludf.DUMMYFUNCTION("IF(IF(U$1="""","""",REGEXMATCH(LOWER($E325),XLOOKUP(U$1,Metadata!$A$2:$A1000,Metadata!$B$2:$B1000))),U$1,"""")"),"")</f>
        <v/>
      </c>
      <c r="V325" s="33" t="str">
        <f>IFERROR(__xludf.DUMMYFUNCTION("IF(IF(V$1="""","""",REGEXMATCH(LOWER($E325),XLOOKUP(V$1,Metadata!$A$2:$A1000,Metadata!$B$2:$B1000))),V$1,"""")"),"")</f>
        <v/>
      </c>
      <c r="W325" s="33" t="str">
        <f>IFERROR(__xludf.DUMMYFUNCTION("IF(IF(W$1="""","""",REGEXMATCH(LOWER($E325),XLOOKUP(W$1,Metadata!$A$2:$A1000,Metadata!$B$2:$B1000))),W$1,"""")"),"")</f>
        <v/>
      </c>
      <c r="X325" s="33" t="str">
        <f>IFERROR(__xludf.DUMMYFUNCTION("IF(IF(X$1="""","""",REGEXMATCH(LOWER($E325),XLOOKUP(X$1,Metadata!$A$2:$A1000,Metadata!$B$2:$B1000))),X$1,"""")"),"Ambush")</f>
        <v>Ambush</v>
      </c>
      <c r="Y325" s="33" t="str">
        <f>IFERROR(__xludf.DUMMYFUNCTION("IF(IF(Y$1="""","""",REGEXMATCH(LOWER($E325),XLOOKUP(Y$1,Metadata!$A$2:$A1000,Metadata!$B$2:$B1000))),Y$1,"""")"),"")</f>
        <v/>
      </c>
      <c r="Z325" s="33" t="str">
        <f>IFERROR(__xludf.DUMMYFUNCTION("IF(IF(Z$1="""","""",REGEXMATCH(LOWER($E325),XLOOKUP(Z$1,Metadata!$A$2:$A1000,Metadata!$B$2:$B1000))),Z$1,"""")"),"")</f>
        <v/>
      </c>
      <c r="AA325" s="33" t="str">
        <f>IFERROR(__xludf.DUMMYFUNCTION("IF(AA$1="""","""",REGEXMATCH(LOWER($E325),XLOOKUP(AA$1,Metadata!$A$2:$A1000,Metadata!$B$2:$B1000)))"),"")</f>
        <v/>
      </c>
    </row>
    <row r="326">
      <c r="A326" s="33" t="str">
        <f>IFERROR(__xludf.DUMMYFUNCTION("""COMPUTED_VALUE"""),"Advocate of the Grove")</f>
        <v>Advocate of the Grove</v>
      </c>
      <c r="B326" s="33" t="str">
        <f t="array" ref="B326:I326">XLOOKUP($A326,Cards!$A$2:$A1000,Cards!$B$2:$I1000,"")</f>
        <v>Nature</v>
      </c>
      <c r="C326" s="33">
        <v>1.0</v>
      </c>
      <c r="D326" s="33" t="s">
        <v>867</v>
      </c>
      <c r="E326" s="33"/>
      <c r="F326" s="33"/>
      <c r="G326" s="33">
        <v>5.0</v>
      </c>
      <c r="H326" s="33" t="s">
        <v>1806</v>
      </c>
      <c r="I326" s="33" t="s">
        <v>26</v>
      </c>
      <c r="J326" s="33">
        <f>IFERROR(__xludf.DUMMYFUNCTION("LEN(REGEXREPLACE(XLOOKUP($A326,Cards!$A$2:$A1000,Cards!$H$2:$H1000,""""),"",\s"",""""))"),5.0)</f>
        <v>5</v>
      </c>
      <c r="K326" s="33" t="str">
        <f t="shared" si="1"/>
        <v>               </v>
      </c>
      <c r="L326" s="33" t="str">
        <f>IFERROR(__xludf.DUMMYFUNCTION("IF(IF(L$1="""","""",REGEXMATCH(LOWER($E326),XLOOKUP(L$1,Metadata!$A$2:$A1000,Metadata!$B$2:$B1000))),L$1,"""")"),"")</f>
        <v/>
      </c>
      <c r="M326" s="33" t="str">
        <f>IFERROR(__xludf.DUMMYFUNCTION("IF(IF(M$1="""","""",REGEXMATCH(LOWER($E326),XLOOKUP(M$1,Metadata!$A$2:$A1000,Metadata!$B$2:$B1000))),M$1,"""")"),"")</f>
        <v/>
      </c>
      <c r="N326" s="33" t="str">
        <f>IFERROR(__xludf.DUMMYFUNCTION("IF(IF(N$1="""","""",REGEXMATCH(LOWER($E326),XLOOKUP(N$1,Metadata!$A$2:$A1000,Metadata!$B$2:$B1000))),N$1,"""")"),"")</f>
        <v/>
      </c>
      <c r="O326" s="33" t="str">
        <f>IFERROR(__xludf.DUMMYFUNCTION("IF(IF(O$1="""","""",REGEXMATCH(LOWER($E326),XLOOKUP(O$1,Metadata!$A$2:$A1000,Metadata!$B$2:$B1000))),O$1,"""")"),"")</f>
        <v/>
      </c>
      <c r="P326" s="33" t="str">
        <f>IFERROR(__xludf.DUMMYFUNCTION("IF(IF(P$1="""","""",REGEXMATCH(LOWER($E326),XLOOKUP(P$1,Metadata!$A$2:$A1000,Metadata!$B$2:$B1000))),P$1,"""")"),"")</f>
        <v/>
      </c>
      <c r="Q326" s="33" t="str">
        <f>IFERROR(__xludf.DUMMYFUNCTION("IF(IF(Q$1="""","""",REGEXMATCH(LOWER($E326),XLOOKUP(Q$1,Metadata!$A$2:$A1000,Metadata!$B$2:$B1000))),Q$1,"""")"),"")</f>
        <v/>
      </c>
      <c r="R326" s="33" t="str">
        <f>IFERROR(__xludf.DUMMYFUNCTION("IF(IF(R$1="""","""",REGEXMATCH(LOWER($E326),XLOOKUP(R$1,Metadata!$A$2:$A1000,Metadata!$B$2:$B1000))),R$1,"""")"),"")</f>
        <v/>
      </c>
      <c r="S326" s="33" t="str">
        <f>IFERROR(__xludf.DUMMYFUNCTION("IF(IF(S$1="""","""",REGEXMATCH(LOWER($E326),XLOOKUP(S$1,Metadata!$A$2:$A1000,Metadata!$B$2:$B1000))),S$1,"""")"),"")</f>
        <v/>
      </c>
      <c r="T326" s="33" t="str">
        <f>IFERROR(__xludf.DUMMYFUNCTION("IF(IF(T$1="""","""",REGEXMATCH(LOWER($E326),XLOOKUP(T$1,Metadata!$A$2:$A1000,Metadata!$B$2:$B1000))),T$1,"""")"),"")</f>
        <v/>
      </c>
      <c r="U326" s="33" t="str">
        <f>IFERROR(__xludf.DUMMYFUNCTION("IF(IF(U$1="""","""",REGEXMATCH(LOWER($E326),XLOOKUP(U$1,Metadata!$A$2:$A1000,Metadata!$B$2:$B1000))),U$1,"""")"),"")</f>
        <v/>
      </c>
      <c r="V326" s="33" t="str">
        <f>IFERROR(__xludf.DUMMYFUNCTION("IF(IF(V$1="""","""",REGEXMATCH(LOWER($E326),XLOOKUP(V$1,Metadata!$A$2:$A1000,Metadata!$B$2:$B1000))),V$1,"""")"),"")</f>
        <v/>
      </c>
      <c r="W326" s="33" t="str">
        <f>IFERROR(__xludf.DUMMYFUNCTION("IF(IF(W$1="""","""",REGEXMATCH(LOWER($E326),XLOOKUP(W$1,Metadata!$A$2:$A1000,Metadata!$B$2:$B1000))),W$1,"""")"),"")</f>
        <v/>
      </c>
      <c r="X326" s="33" t="str">
        <f>IFERROR(__xludf.DUMMYFUNCTION("IF(IF(X$1="""","""",REGEXMATCH(LOWER($E326),XLOOKUP(X$1,Metadata!$A$2:$A1000,Metadata!$B$2:$B1000))),X$1,"""")"),"")</f>
        <v/>
      </c>
      <c r="Y326" s="33" t="str">
        <f>IFERROR(__xludf.DUMMYFUNCTION("IF(IF(Y$1="""","""",REGEXMATCH(LOWER($E326),XLOOKUP(Y$1,Metadata!$A$2:$A1000,Metadata!$B$2:$B1000))),Y$1,"""")"),"")</f>
        <v/>
      </c>
      <c r="Z326" s="33" t="str">
        <f>IFERROR(__xludf.DUMMYFUNCTION("IF(IF(Z$1="""","""",REGEXMATCH(LOWER($E326),XLOOKUP(Z$1,Metadata!$A$2:$A1000,Metadata!$B$2:$B1000))),Z$1,"""")"),"")</f>
        <v/>
      </c>
      <c r="AA326" s="33" t="str">
        <f>IFERROR(__xludf.DUMMYFUNCTION("IF(AA$1="""","""",REGEXMATCH(LOWER($E326),XLOOKUP(AA$1,Metadata!$A$2:$A1000,Metadata!$B$2:$B1000)))"),"")</f>
        <v/>
      </c>
    </row>
    <row r="327">
      <c r="A327" s="33" t="str">
        <f>IFERROR(__xludf.DUMMYFUNCTION("""COMPUTED_VALUE"""),"Slumbering Fiend")</f>
        <v>Slumbering Fiend</v>
      </c>
      <c r="B327" s="33" t="str">
        <f t="array" ref="B327:I327">XLOOKUP($A327,Cards!$A$2:$A1000,Cards!$B$2:$I1000,"")</f>
        <v>Void</v>
      </c>
      <c r="C327" s="33">
        <v>2.0</v>
      </c>
      <c r="D327" s="33" t="s">
        <v>1118</v>
      </c>
      <c r="E327" s="33" t="s">
        <v>1808</v>
      </c>
      <c r="F327" s="33" t="s">
        <v>1809</v>
      </c>
      <c r="G327" s="33">
        <v>2.0</v>
      </c>
      <c r="H327" s="33" t="s">
        <v>1684</v>
      </c>
      <c r="I327" s="33" t="s">
        <v>26</v>
      </c>
      <c r="J327" s="33">
        <f>IFERROR(__xludf.DUMMYFUNCTION("LEN(REGEXREPLACE(XLOOKUP($A327,Cards!$A$2:$A1000,Cards!$H$2:$H1000,""""),"",\s"",""""))"),3.0)</f>
        <v>3</v>
      </c>
      <c r="K327" s="33" t="str">
        <f t="shared" si="1"/>
        <v>     Unearth          </v>
      </c>
      <c r="L327" s="33" t="str">
        <f>IFERROR(__xludf.DUMMYFUNCTION("IF(IF(L$1="""","""",REGEXMATCH(LOWER($E327),XLOOKUP(L$1,Metadata!$A$2:$A1000,Metadata!$B$2:$B1000))),L$1,"""")"),"")</f>
        <v/>
      </c>
      <c r="M327" s="33" t="str">
        <f>IFERROR(__xludf.DUMMYFUNCTION("IF(IF(M$1="""","""",REGEXMATCH(LOWER($E327),XLOOKUP(M$1,Metadata!$A$2:$A1000,Metadata!$B$2:$B1000))),M$1,"""")"),"")</f>
        <v/>
      </c>
      <c r="N327" s="33" t="str">
        <f>IFERROR(__xludf.DUMMYFUNCTION("IF(IF(N$1="""","""",REGEXMATCH(LOWER($E327),XLOOKUP(N$1,Metadata!$A$2:$A1000,Metadata!$B$2:$B1000))),N$1,"""")"),"")</f>
        <v/>
      </c>
      <c r="O327" s="33" t="str">
        <f>IFERROR(__xludf.DUMMYFUNCTION("IF(IF(O$1="""","""",REGEXMATCH(LOWER($E327),XLOOKUP(O$1,Metadata!$A$2:$A1000,Metadata!$B$2:$B1000))),O$1,"""")"),"")</f>
        <v/>
      </c>
      <c r="P327" s="33" t="str">
        <f>IFERROR(__xludf.DUMMYFUNCTION("IF(IF(P$1="""","""",REGEXMATCH(LOWER($E327),XLOOKUP(P$1,Metadata!$A$2:$A1000,Metadata!$B$2:$B1000))),P$1,"""")"),"")</f>
        <v/>
      </c>
      <c r="Q327" s="33" t="str">
        <f>IFERROR(__xludf.DUMMYFUNCTION("IF(IF(Q$1="""","""",REGEXMATCH(LOWER($E327),XLOOKUP(Q$1,Metadata!$A$2:$A1000,Metadata!$B$2:$B1000))),Q$1,"""")"),"Unearth")</f>
        <v>Unearth</v>
      </c>
      <c r="R327" s="33" t="str">
        <f>IFERROR(__xludf.DUMMYFUNCTION("IF(IF(R$1="""","""",REGEXMATCH(LOWER($E327),XLOOKUP(R$1,Metadata!$A$2:$A1000,Metadata!$B$2:$B1000))),R$1,"""")"),"")</f>
        <v/>
      </c>
      <c r="S327" s="33" t="str">
        <f>IFERROR(__xludf.DUMMYFUNCTION("IF(IF(S$1="""","""",REGEXMATCH(LOWER($E327),XLOOKUP(S$1,Metadata!$A$2:$A1000,Metadata!$B$2:$B1000))),S$1,"""")"),"")</f>
        <v/>
      </c>
      <c r="T327" s="33" t="str">
        <f>IFERROR(__xludf.DUMMYFUNCTION("IF(IF(T$1="""","""",REGEXMATCH(LOWER($E327),XLOOKUP(T$1,Metadata!$A$2:$A1000,Metadata!$B$2:$B1000))),T$1,"""")"),"")</f>
        <v/>
      </c>
      <c r="U327" s="33" t="str">
        <f>IFERROR(__xludf.DUMMYFUNCTION("IF(IF(U$1="""","""",REGEXMATCH(LOWER($E327),XLOOKUP(U$1,Metadata!$A$2:$A1000,Metadata!$B$2:$B1000))),U$1,"""")"),"")</f>
        <v/>
      </c>
      <c r="V327" s="33" t="str">
        <f>IFERROR(__xludf.DUMMYFUNCTION("IF(IF(V$1="""","""",REGEXMATCH(LOWER($E327),XLOOKUP(V$1,Metadata!$A$2:$A1000,Metadata!$B$2:$B1000))),V$1,"""")"),"")</f>
        <v/>
      </c>
      <c r="W327" s="33" t="str">
        <f>IFERROR(__xludf.DUMMYFUNCTION("IF(IF(W$1="""","""",REGEXMATCH(LOWER($E327),XLOOKUP(W$1,Metadata!$A$2:$A1000,Metadata!$B$2:$B1000))),W$1,"""")"),"")</f>
        <v/>
      </c>
      <c r="X327" s="33" t="str">
        <f>IFERROR(__xludf.DUMMYFUNCTION("IF(IF(X$1="""","""",REGEXMATCH(LOWER($E327),XLOOKUP(X$1,Metadata!$A$2:$A1000,Metadata!$B$2:$B1000))),X$1,"""")"),"")</f>
        <v/>
      </c>
      <c r="Y327" s="33" t="str">
        <f>IFERROR(__xludf.DUMMYFUNCTION("IF(IF(Y$1="""","""",REGEXMATCH(LOWER($E327),XLOOKUP(Y$1,Metadata!$A$2:$A1000,Metadata!$B$2:$B1000))),Y$1,"""")"),"")</f>
        <v/>
      </c>
      <c r="Z327" s="33" t="str">
        <f>IFERROR(__xludf.DUMMYFUNCTION("IF(IF(Z$1="""","""",REGEXMATCH(LOWER($E327),XLOOKUP(Z$1,Metadata!$A$2:$A1000,Metadata!$B$2:$B1000))),Z$1,"""")"),"")</f>
        <v/>
      </c>
      <c r="AA327" s="33" t="str">
        <f>IFERROR(__xludf.DUMMYFUNCTION("IF(AA$1="""","""",REGEXMATCH(LOWER($E327),XLOOKUP(AA$1,Metadata!$A$2:$A1000,Metadata!$B$2:$B1000)))"),"")</f>
        <v/>
      </c>
    </row>
    <row r="328">
      <c r="A328" s="33" t="str">
        <f>IFERROR(__xludf.DUMMYFUNCTION("""COMPUTED_VALUE"""),"Invigorating Lotus Bloom")</f>
        <v>Invigorating Lotus Bloom</v>
      </c>
      <c r="B328" s="33" t="str">
        <f t="array" ref="B328:I328">XLOOKUP($A328,Cards!$A$2:$A1000,Cards!$B$2:$I1000,"")</f>
        <v>Nature</v>
      </c>
      <c r="C328" s="33">
        <v>1.0</v>
      </c>
      <c r="D328" s="33" t="s">
        <v>1340</v>
      </c>
      <c r="E328" s="33" t="s">
        <v>1811</v>
      </c>
      <c r="F328" s="33" t="s">
        <v>1812</v>
      </c>
      <c r="G328" s="33">
        <v>1.0</v>
      </c>
      <c r="H328" s="33" t="s">
        <v>1608</v>
      </c>
      <c r="I328" s="33" t="s">
        <v>32</v>
      </c>
      <c r="J328" s="33">
        <f>IFERROR(__xludf.DUMMYFUNCTION("LEN(REGEXREPLACE(XLOOKUP($A328,Cards!$A$2:$A1000,Cards!$H$2:$H1000,""""),"",\s"",""""))"),1.0)</f>
        <v>1</v>
      </c>
      <c r="K328" s="33" t="str">
        <f t="shared" si="1"/>
        <v>       Control     Ambush   </v>
      </c>
      <c r="L328" s="33" t="str">
        <f>IFERROR(__xludf.DUMMYFUNCTION("IF(IF(L$1="""","""",REGEXMATCH(LOWER($E328),XLOOKUP(L$1,Metadata!$A$2:$A1000,Metadata!$B$2:$B1000))),L$1,"""")"),"")</f>
        <v/>
      </c>
      <c r="M328" s="33" t="str">
        <f>IFERROR(__xludf.DUMMYFUNCTION("IF(IF(M$1="""","""",REGEXMATCH(LOWER($E328),XLOOKUP(M$1,Metadata!$A$2:$A1000,Metadata!$B$2:$B1000))),M$1,"""")"),"")</f>
        <v/>
      </c>
      <c r="N328" s="33" t="str">
        <f>IFERROR(__xludf.DUMMYFUNCTION("IF(IF(N$1="""","""",REGEXMATCH(LOWER($E328),XLOOKUP(N$1,Metadata!$A$2:$A1000,Metadata!$B$2:$B1000))),N$1,"""")"),"")</f>
        <v/>
      </c>
      <c r="O328" s="33" t="str">
        <f>IFERROR(__xludf.DUMMYFUNCTION("IF(IF(O$1="""","""",REGEXMATCH(LOWER($E328),XLOOKUP(O$1,Metadata!$A$2:$A1000,Metadata!$B$2:$B1000))),O$1,"""")"),"")</f>
        <v/>
      </c>
      <c r="P328" s="33" t="str">
        <f>IFERROR(__xludf.DUMMYFUNCTION("IF(IF(P$1="""","""",REGEXMATCH(LOWER($E328),XLOOKUP(P$1,Metadata!$A$2:$A1000,Metadata!$B$2:$B1000))),P$1,"""")"),"")</f>
        <v/>
      </c>
      <c r="Q328" s="33" t="str">
        <f>IFERROR(__xludf.DUMMYFUNCTION("IF(IF(Q$1="""","""",REGEXMATCH(LOWER($E328),XLOOKUP(Q$1,Metadata!$A$2:$A1000,Metadata!$B$2:$B1000))),Q$1,"""")"),"")</f>
        <v/>
      </c>
      <c r="R328" s="33" t="str">
        <f>IFERROR(__xludf.DUMMYFUNCTION("IF(IF(R$1="""","""",REGEXMATCH(LOWER($E328),XLOOKUP(R$1,Metadata!$A$2:$A1000,Metadata!$B$2:$B1000))),R$1,"""")"),"")</f>
        <v/>
      </c>
      <c r="S328" s="33" t="str">
        <f>IFERROR(__xludf.DUMMYFUNCTION("IF(IF(S$1="""","""",REGEXMATCH(LOWER($E328),XLOOKUP(S$1,Metadata!$A$2:$A1000,Metadata!$B$2:$B1000))),S$1,"""")"),"Control")</f>
        <v>Control</v>
      </c>
      <c r="T328" s="33" t="str">
        <f>IFERROR(__xludf.DUMMYFUNCTION("IF(IF(T$1="""","""",REGEXMATCH(LOWER($E328),XLOOKUP(T$1,Metadata!$A$2:$A1000,Metadata!$B$2:$B1000))),T$1,"""")"),"")</f>
        <v/>
      </c>
      <c r="U328" s="33" t="str">
        <f>IFERROR(__xludf.DUMMYFUNCTION("IF(IF(U$1="""","""",REGEXMATCH(LOWER($E328),XLOOKUP(U$1,Metadata!$A$2:$A1000,Metadata!$B$2:$B1000))),U$1,"""")"),"")</f>
        <v/>
      </c>
      <c r="V328" s="33" t="str">
        <f>IFERROR(__xludf.DUMMYFUNCTION("IF(IF(V$1="""","""",REGEXMATCH(LOWER($E328),XLOOKUP(V$1,Metadata!$A$2:$A1000,Metadata!$B$2:$B1000))),V$1,"""")"),"")</f>
        <v/>
      </c>
      <c r="W328" s="33" t="str">
        <f>IFERROR(__xludf.DUMMYFUNCTION("IF(IF(W$1="""","""",REGEXMATCH(LOWER($E328),XLOOKUP(W$1,Metadata!$A$2:$A1000,Metadata!$B$2:$B1000))),W$1,"""")"),"")</f>
        <v/>
      </c>
      <c r="X328" s="33" t="str">
        <f>IFERROR(__xludf.DUMMYFUNCTION("IF(IF(X$1="""","""",REGEXMATCH(LOWER($E328),XLOOKUP(X$1,Metadata!$A$2:$A1000,Metadata!$B$2:$B1000))),X$1,"""")"),"Ambush")</f>
        <v>Ambush</v>
      </c>
      <c r="Y328" s="33" t="str">
        <f>IFERROR(__xludf.DUMMYFUNCTION("IF(IF(Y$1="""","""",REGEXMATCH(LOWER($E328),XLOOKUP(Y$1,Metadata!$A$2:$A1000,Metadata!$B$2:$B1000))),Y$1,"""")"),"")</f>
        <v/>
      </c>
      <c r="Z328" s="33" t="str">
        <f>IFERROR(__xludf.DUMMYFUNCTION("IF(IF(Z$1="""","""",REGEXMATCH(LOWER($E328),XLOOKUP(Z$1,Metadata!$A$2:$A1000,Metadata!$B$2:$B1000))),Z$1,"""")"),"")</f>
        <v/>
      </c>
      <c r="AA328" s="33" t="str">
        <f>IFERROR(__xludf.DUMMYFUNCTION("IF(AA$1="""","""",REGEXMATCH(LOWER($E328),XLOOKUP(AA$1,Metadata!$A$2:$A1000,Metadata!$B$2:$B1000)))"),"")</f>
        <v/>
      </c>
    </row>
    <row r="329">
      <c r="A329" s="33" t="str">
        <f>IFERROR(__xludf.DUMMYFUNCTION("""COMPUTED_VALUE"""),"Photosynthaurus")</f>
        <v>Photosynthaurus</v>
      </c>
      <c r="B329" s="33" t="str">
        <f t="array" ref="B329:I329">XLOOKUP($A329,Cards!$A$2:$A1000,Cards!$B$2:$I1000,"")</f>
        <v>Nature</v>
      </c>
      <c r="C329" s="33">
        <v>1.0</v>
      </c>
      <c r="D329" s="33" t="s">
        <v>1613</v>
      </c>
      <c r="E329" s="33" t="s">
        <v>1814</v>
      </c>
      <c r="F329" s="33"/>
      <c r="G329" s="33">
        <v>6.0</v>
      </c>
      <c r="H329" s="33" t="s">
        <v>1475</v>
      </c>
      <c r="I329" s="33" t="s">
        <v>62</v>
      </c>
      <c r="J329" s="33">
        <f>IFERROR(__xludf.DUMMYFUNCTION("LEN(REGEXREPLACE(XLOOKUP($A329,Cards!$A$2:$A1000,Cards!$H$2:$H1000,""""),"",\s"",""""))"),6.0)</f>
        <v>6</v>
      </c>
      <c r="K329" s="33" t="str">
        <f t="shared" si="1"/>
        <v>               </v>
      </c>
      <c r="L329" s="33" t="str">
        <f>IFERROR(__xludf.DUMMYFUNCTION("IF(IF(L$1="""","""",REGEXMATCH(LOWER($E329),XLOOKUP(L$1,Metadata!$A$2:$A1000,Metadata!$B$2:$B1000))),L$1,"""")"),"")</f>
        <v/>
      </c>
      <c r="M329" s="33" t="str">
        <f>IFERROR(__xludf.DUMMYFUNCTION("IF(IF(M$1="""","""",REGEXMATCH(LOWER($E329),XLOOKUP(M$1,Metadata!$A$2:$A1000,Metadata!$B$2:$B1000))),M$1,"""")"),"")</f>
        <v/>
      </c>
      <c r="N329" s="33" t="str">
        <f>IFERROR(__xludf.DUMMYFUNCTION("IF(IF(N$1="""","""",REGEXMATCH(LOWER($E329),XLOOKUP(N$1,Metadata!$A$2:$A1000,Metadata!$B$2:$B1000))),N$1,"""")"),"")</f>
        <v/>
      </c>
      <c r="O329" s="33" t="str">
        <f>IFERROR(__xludf.DUMMYFUNCTION("IF(IF(O$1="""","""",REGEXMATCH(LOWER($E329),XLOOKUP(O$1,Metadata!$A$2:$A1000,Metadata!$B$2:$B1000))),O$1,"""")"),"")</f>
        <v/>
      </c>
      <c r="P329" s="33" t="str">
        <f>IFERROR(__xludf.DUMMYFUNCTION("IF(IF(P$1="""","""",REGEXMATCH(LOWER($E329),XLOOKUP(P$1,Metadata!$A$2:$A1000,Metadata!$B$2:$B1000))),P$1,"""")"),"")</f>
        <v/>
      </c>
      <c r="Q329" s="33" t="str">
        <f>IFERROR(__xludf.DUMMYFUNCTION("IF(IF(Q$1="""","""",REGEXMATCH(LOWER($E329),XLOOKUP(Q$1,Metadata!$A$2:$A1000,Metadata!$B$2:$B1000))),Q$1,"""")"),"")</f>
        <v/>
      </c>
      <c r="R329" s="33" t="str">
        <f>IFERROR(__xludf.DUMMYFUNCTION("IF(IF(R$1="""","""",REGEXMATCH(LOWER($E329),XLOOKUP(R$1,Metadata!$A$2:$A1000,Metadata!$B$2:$B1000))),R$1,"""")"),"")</f>
        <v/>
      </c>
      <c r="S329" s="33" t="str">
        <f>IFERROR(__xludf.DUMMYFUNCTION("IF(IF(S$1="""","""",REGEXMATCH(LOWER($E329),XLOOKUP(S$1,Metadata!$A$2:$A1000,Metadata!$B$2:$B1000))),S$1,"""")"),"")</f>
        <v/>
      </c>
      <c r="T329" s="33" t="str">
        <f>IFERROR(__xludf.DUMMYFUNCTION("IF(IF(T$1="""","""",REGEXMATCH(LOWER($E329),XLOOKUP(T$1,Metadata!$A$2:$A1000,Metadata!$B$2:$B1000))),T$1,"""")"),"")</f>
        <v/>
      </c>
      <c r="U329" s="33" t="str">
        <f>IFERROR(__xludf.DUMMYFUNCTION("IF(IF(U$1="""","""",REGEXMATCH(LOWER($E329),XLOOKUP(U$1,Metadata!$A$2:$A1000,Metadata!$B$2:$B1000))),U$1,"""")"),"")</f>
        <v/>
      </c>
      <c r="V329" s="33" t="str">
        <f>IFERROR(__xludf.DUMMYFUNCTION("IF(IF(V$1="""","""",REGEXMATCH(LOWER($E329),XLOOKUP(V$1,Metadata!$A$2:$A1000,Metadata!$B$2:$B1000))),V$1,"""")"),"")</f>
        <v/>
      </c>
      <c r="W329" s="33" t="str">
        <f>IFERROR(__xludf.DUMMYFUNCTION("IF(IF(W$1="""","""",REGEXMATCH(LOWER($E329),XLOOKUP(W$1,Metadata!$A$2:$A1000,Metadata!$B$2:$B1000))),W$1,"""")"),"")</f>
        <v/>
      </c>
      <c r="X329" s="33" t="str">
        <f>IFERROR(__xludf.DUMMYFUNCTION("IF(IF(X$1="""","""",REGEXMATCH(LOWER($E329),XLOOKUP(X$1,Metadata!$A$2:$A1000,Metadata!$B$2:$B1000))),X$1,"""")"),"")</f>
        <v/>
      </c>
      <c r="Y329" s="33" t="str">
        <f>IFERROR(__xludf.DUMMYFUNCTION("IF(IF(Y$1="""","""",REGEXMATCH(LOWER($E329),XLOOKUP(Y$1,Metadata!$A$2:$A1000,Metadata!$B$2:$B1000))),Y$1,"""")"),"")</f>
        <v/>
      </c>
      <c r="Z329" s="33" t="str">
        <f>IFERROR(__xludf.DUMMYFUNCTION("IF(IF(Z$1="""","""",REGEXMATCH(LOWER($E329),XLOOKUP(Z$1,Metadata!$A$2:$A1000,Metadata!$B$2:$B1000))),Z$1,"""")"),"")</f>
        <v/>
      </c>
      <c r="AA329" s="33" t="str">
        <f>IFERROR(__xludf.DUMMYFUNCTION("IF(AA$1="""","""",REGEXMATCH(LOWER($E329),XLOOKUP(AA$1,Metadata!$A$2:$A1000,Metadata!$B$2:$B1000)))"),"")</f>
        <v/>
      </c>
    </row>
    <row r="330">
      <c r="A330" s="33" t="str">
        <f>IFERROR(__xludf.DUMMYFUNCTION("""COMPUTED_VALUE"""),"Southern Reach Bulwark")</f>
        <v>Southern Reach Bulwark</v>
      </c>
      <c r="B330" s="33" t="str">
        <f t="array" ref="B330:I330">XLOOKUP($A330,Cards!$A$2:$A1000,Cards!$B$2:$I1000,"")</f>
        <v>Nature</v>
      </c>
      <c r="C330" s="33">
        <v>1.0</v>
      </c>
      <c r="D330" s="33" t="s">
        <v>229</v>
      </c>
      <c r="E330" s="33" t="s">
        <v>1816</v>
      </c>
      <c r="F330" s="33"/>
      <c r="G330" s="33">
        <v>4.0</v>
      </c>
      <c r="H330" s="33" t="s">
        <v>1712</v>
      </c>
      <c r="I330" s="33" t="s">
        <v>32</v>
      </c>
      <c r="J330" s="33">
        <f>IFERROR(__xludf.DUMMYFUNCTION("LEN(REGEXREPLACE(XLOOKUP($A330,Cards!$A$2:$A1000,Cards!$H$2:$H1000,""""),"",\s"",""""))"),5.0)</f>
        <v>5</v>
      </c>
      <c r="K330" s="33" t="str">
        <f t="shared" si="1"/>
        <v>      Ramp         </v>
      </c>
      <c r="L330" s="33" t="str">
        <f>IFERROR(__xludf.DUMMYFUNCTION("IF(IF(L$1="""","""",REGEXMATCH(LOWER($E330),XLOOKUP(L$1,Metadata!$A$2:$A1000,Metadata!$B$2:$B1000))),L$1,"""")"),"")</f>
        <v/>
      </c>
      <c r="M330" s="33" t="str">
        <f>IFERROR(__xludf.DUMMYFUNCTION("IF(IF(M$1="""","""",REGEXMATCH(LOWER($E330),XLOOKUP(M$1,Metadata!$A$2:$A1000,Metadata!$B$2:$B1000))),M$1,"""")"),"")</f>
        <v/>
      </c>
      <c r="N330" s="33" t="str">
        <f>IFERROR(__xludf.DUMMYFUNCTION("IF(IF(N$1="""","""",REGEXMATCH(LOWER($E330),XLOOKUP(N$1,Metadata!$A$2:$A1000,Metadata!$B$2:$B1000))),N$1,"""")"),"")</f>
        <v/>
      </c>
      <c r="O330" s="33" t="str">
        <f>IFERROR(__xludf.DUMMYFUNCTION("IF(IF(O$1="""","""",REGEXMATCH(LOWER($E330),XLOOKUP(O$1,Metadata!$A$2:$A1000,Metadata!$B$2:$B1000))),O$1,"""")"),"")</f>
        <v/>
      </c>
      <c r="P330" s="33" t="str">
        <f>IFERROR(__xludf.DUMMYFUNCTION("IF(IF(P$1="""","""",REGEXMATCH(LOWER($E330),XLOOKUP(P$1,Metadata!$A$2:$A1000,Metadata!$B$2:$B1000))),P$1,"""")"),"")</f>
        <v/>
      </c>
      <c r="Q330" s="33" t="str">
        <f>IFERROR(__xludf.DUMMYFUNCTION("IF(IF(Q$1="""","""",REGEXMATCH(LOWER($E330),XLOOKUP(Q$1,Metadata!$A$2:$A1000,Metadata!$B$2:$B1000))),Q$1,"""")"),"")</f>
        <v/>
      </c>
      <c r="R330" s="33" t="str">
        <f>IFERROR(__xludf.DUMMYFUNCTION("IF(IF(R$1="""","""",REGEXMATCH(LOWER($E330),XLOOKUP(R$1,Metadata!$A$2:$A1000,Metadata!$B$2:$B1000))),R$1,"""")"),"Ramp")</f>
        <v>Ramp</v>
      </c>
      <c r="S330" s="33" t="str">
        <f>IFERROR(__xludf.DUMMYFUNCTION("IF(IF(S$1="""","""",REGEXMATCH(LOWER($E330),XLOOKUP(S$1,Metadata!$A$2:$A1000,Metadata!$B$2:$B1000))),S$1,"""")"),"")</f>
        <v/>
      </c>
      <c r="T330" s="33" t="str">
        <f>IFERROR(__xludf.DUMMYFUNCTION("IF(IF(T$1="""","""",REGEXMATCH(LOWER($E330),XLOOKUP(T$1,Metadata!$A$2:$A1000,Metadata!$B$2:$B1000))),T$1,"""")"),"")</f>
        <v/>
      </c>
      <c r="U330" s="33" t="str">
        <f>IFERROR(__xludf.DUMMYFUNCTION("IF(IF(U$1="""","""",REGEXMATCH(LOWER($E330),XLOOKUP(U$1,Metadata!$A$2:$A1000,Metadata!$B$2:$B1000))),U$1,"""")"),"")</f>
        <v/>
      </c>
      <c r="V330" s="33" t="str">
        <f>IFERROR(__xludf.DUMMYFUNCTION("IF(IF(V$1="""","""",REGEXMATCH(LOWER($E330),XLOOKUP(V$1,Metadata!$A$2:$A1000,Metadata!$B$2:$B1000))),V$1,"""")"),"")</f>
        <v/>
      </c>
      <c r="W330" s="33" t="str">
        <f>IFERROR(__xludf.DUMMYFUNCTION("IF(IF(W$1="""","""",REGEXMATCH(LOWER($E330),XLOOKUP(W$1,Metadata!$A$2:$A1000,Metadata!$B$2:$B1000))),W$1,"""")"),"")</f>
        <v/>
      </c>
      <c r="X330" s="33" t="str">
        <f>IFERROR(__xludf.DUMMYFUNCTION("IF(IF(X$1="""","""",REGEXMATCH(LOWER($E330),XLOOKUP(X$1,Metadata!$A$2:$A1000,Metadata!$B$2:$B1000))),X$1,"""")"),"")</f>
        <v/>
      </c>
      <c r="Y330" s="33" t="str">
        <f>IFERROR(__xludf.DUMMYFUNCTION("IF(IF(Y$1="""","""",REGEXMATCH(LOWER($E330),XLOOKUP(Y$1,Metadata!$A$2:$A1000,Metadata!$B$2:$B1000))),Y$1,"""")"),"")</f>
        <v/>
      </c>
      <c r="Z330" s="33" t="str">
        <f>IFERROR(__xludf.DUMMYFUNCTION("IF(IF(Z$1="""","""",REGEXMATCH(LOWER($E330),XLOOKUP(Z$1,Metadata!$A$2:$A1000,Metadata!$B$2:$B1000))),Z$1,"""")"),"")</f>
        <v/>
      </c>
      <c r="AA330" s="33" t="str">
        <f>IFERROR(__xludf.DUMMYFUNCTION("IF(AA$1="""","""",REGEXMATCH(LOWER($E330),XLOOKUP(AA$1,Metadata!$A$2:$A1000,Metadata!$B$2:$B1000)))"),"")</f>
        <v/>
      </c>
    </row>
    <row r="331">
      <c r="A331" s="33" t="str">
        <f>IFERROR(__xludf.DUMMYFUNCTION("""COMPUTED_VALUE"""),"Thoughtfeaster")</f>
        <v>Thoughtfeaster</v>
      </c>
      <c r="B331" s="33" t="str">
        <f t="array" ref="B331:I331">XLOOKUP($A331,Cards!$A$2:$A1000,Cards!$B$2:$I1000,"")</f>
        <v>Void</v>
      </c>
      <c r="C331" s="33">
        <v>2.0</v>
      </c>
      <c r="D331" s="33" t="s">
        <v>599</v>
      </c>
      <c r="E331" s="33" t="s">
        <v>1818</v>
      </c>
      <c r="F331" s="33" t="s">
        <v>1819</v>
      </c>
      <c r="G331" s="33">
        <v>0.0</v>
      </c>
      <c r="H331" s="33" t="s">
        <v>1674</v>
      </c>
      <c r="I331" s="33" t="s">
        <v>62</v>
      </c>
      <c r="J331" s="33">
        <f>IFERROR(__xludf.DUMMYFUNCTION("LEN(REGEXREPLACE(XLOOKUP($A331,Cards!$A$2:$A1000,Cards!$H$2:$H1000,""""),"",\s"",""""))"),5.0)</f>
        <v>5</v>
      </c>
      <c r="K331" s="33" t="str">
        <f t="shared" si="1"/>
        <v>               </v>
      </c>
      <c r="L331" s="33" t="str">
        <f>IFERROR(__xludf.DUMMYFUNCTION("IF(IF(L$1="""","""",REGEXMATCH(LOWER($E331),XLOOKUP(L$1,Metadata!$A$2:$A1000,Metadata!$B$2:$B1000))),L$1,"""")"),"")</f>
        <v/>
      </c>
      <c r="M331" s="33" t="str">
        <f>IFERROR(__xludf.DUMMYFUNCTION("IF(IF(M$1="""","""",REGEXMATCH(LOWER($E331),XLOOKUP(M$1,Metadata!$A$2:$A1000,Metadata!$B$2:$B1000))),M$1,"""")"),"")</f>
        <v/>
      </c>
      <c r="N331" s="33" t="str">
        <f>IFERROR(__xludf.DUMMYFUNCTION("IF(IF(N$1="""","""",REGEXMATCH(LOWER($E331),XLOOKUP(N$1,Metadata!$A$2:$A1000,Metadata!$B$2:$B1000))),N$1,"""")"),"")</f>
        <v/>
      </c>
      <c r="O331" s="33" t="str">
        <f>IFERROR(__xludf.DUMMYFUNCTION("IF(IF(O$1="""","""",REGEXMATCH(LOWER($E331),XLOOKUP(O$1,Metadata!$A$2:$A1000,Metadata!$B$2:$B1000))),O$1,"""")"),"")</f>
        <v/>
      </c>
      <c r="P331" s="33" t="str">
        <f>IFERROR(__xludf.DUMMYFUNCTION("IF(IF(P$1="""","""",REGEXMATCH(LOWER($E331),XLOOKUP(P$1,Metadata!$A$2:$A1000,Metadata!$B$2:$B1000))),P$1,"""")"),"")</f>
        <v/>
      </c>
      <c r="Q331" s="33" t="str">
        <f>IFERROR(__xludf.DUMMYFUNCTION("IF(IF(Q$1="""","""",REGEXMATCH(LOWER($E331),XLOOKUP(Q$1,Metadata!$A$2:$A1000,Metadata!$B$2:$B1000))),Q$1,"""")"),"")</f>
        <v/>
      </c>
      <c r="R331" s="33" t="str">
        <f>IFERROR(__xludf.DUMMYFUNCTION("IF(IF(R$1="""","""",REGEXMATCH(LOWER($E331),XLOOKUP(R$1,Metadata!$A$2:$A1000,Metadata!$B$2:$B1000))),R$1,"""")"),"")</f>
        <v/>
      </c>
      <c r="S331" s="33" t="str">
        <f>IFERROR(__xludf.DUMMYFUNCTION("IF(IF(S$1="""","""",REGEXMATCH(LOWER($E331),XLOOKUP(S$1,Metadata!$A$2:$A1000,Metadata!$B$2:$B1000))),S$1,"""")"),"")</f>
        <v/>
      </c>
      <c r="T331" s="33" t="str">
        <f>IFERROR(__xludf.DUMMYFUNCTION("IF(IF(T$1="""","""",REGEXMATCH(LOWER($E331),XLOOKUP(T$1,Metadata!$A$2:$A1000,Metadata!$B$2:$B1000))),T$1,"""")"),"")</f>
        <v/>
      </c>
      <c r="U331" s="33" t="str">
        <f>IFERROR(__xludf.DUMMYFUNCTION("IF(IF(U$1="""","""",REGEXMATCH(LOWER($E331),XLOOKUP(U$1,Metadata!$A$2:$A1000,Metadata!$B$2:$B1000))),U$1,"""")"),"")</f>
        <v/>
      </c>
      <c r="V331" s="33" t="str">
        <f>IFERROR(__xludf.DUMMYFUNCTION("IF(IF(V$1="""","""",REGEXMATCH(LOWER($E331),XLOOKUP(V$1,Metadata!$A$2:$A1000,Metadata!$B$2:$B1000))),V$1,"""")"),"")</f>
        <v/>
      </c>
      <c r="W331" s="33" t="str">
        <f>IFERROR(__xludf.DUMMYFUNCTION("IF(IF(W$1="""","""",REGEXMATCH(LOWER($E331),XLOOKUP(W$1,Metadata!$A$2:$A1000,Metadata!$B$2:$B1000))),W$1,"""")"),"")</f>
        <v/>
      </c>
      <c r="X331" s="33" t="str">
        <f>IFERROR(__xludf.DUMMYFUNCTION("IF(IF(X$1="""","""",REGEXMATCH(LOWER($E331),XLOOKUP(X$1,Metadata!$A$2:$A1000,Metadata!$B$2:$B1000))),X$1,"""")"),"")</f>
        <v/>
      </c>
      <c r="Y331" s="33" t="str">
        <f>IFERROR(__xludf.DUMMYFUNCTION("IF(IF(Y$1="""","""",REGEXMATCH(LOWER($E331),XLOOKUP(Y$1,Metadata!$A$2:$A1000,Metadata!$B$2:$B1000))),Y$1,"""")"),"")</f>
        <v/>
      </c>
      <c r="Z331" s="33" t="str">
        <f>IFERROR(__xludf.DUMMYFUNCTION("IF(IF(Z$1="""","""",REGEXMATCH(LOWER($E331),XLOOKUP(Z$1,Metadata!$A$2:$A1000,Metadata!$B$2:$B1000))),Z$1,"""")"),"")</f>
        <v/>
      </c>
      <c r="AA331" s="33" t="str">
        <f>IFERROR(__xludf.DUMMYFUNCTION("IF(AA$1="""","""",REGEXMATCH(LOWER($E331),XLOOKUP(AA$1,Metadata!$A$2:$A1000,Metadata!$B$2:$B1000)))"),"")</f>
        <v/>
      </c>
    </row>
    <row r="332">
      <c r="A332" s="33" t="str">
        <f>IFERROR(__xludf.DUMMYFUNCTION("""COMPUTED_VALUE"""),"Tombstone Carver")</f>
        <v>Tombstone Carver</v>
      </c>
      <c r="B332" s="33" t="str">
        <f t="array" ref="B332:I332">XLOOKUP($A332,Cards!$A$2:$A1000,Cards!$B$2:$I1000,"")</f>
        <v>Void</v>
      </c>
      <c r="C332" s="33">
        <v>2.0</v>
      </c>
      <c r="D332" s="33" t="s">
        <v>298</v>
      </c>
      <c r="E332" s="33" t="s">
        <v>1821</v>
      </c>
      <c r="F332" s="33" t="s">
        <v>1822</v>
      </c>
      <c r="G332" s="33">
        <v>2.0</v>
      </c>
      <c r="H332" s="33" t="s">
        <v>1734</v>
      </c>
      <c r="I332" s="33" t="s">
        <v>62</v>
      </c>
      <c r="J332" s="33">
        <f>IFERROR(__xludf.DUMMYFUNCTION("LEN(REGEXREPLACE(XLOOKUP($A332,Cards!$A$2:$A1000,Cards!$H$2:$H1000,""""),"",\s"",""""))"),4.0)</f>
        <v>4</v>
      </c>
      <c r="K332" s="33" t="str">
        <f t="shared" si="1"/>
        <v>         Aggro   Ambush   </v>
      </c>
      <c r="L332" s="33" t="str">
        <f>IFERROR(__xludf.DUMMYFUNCTION("IF(IF(L$1="""","""",REGEXMATCH(LOWER($E332),XLOOKUP(L$1,Metadata!$A$2:$A1000,Metadata!$B$2:$B1000))),L$1,"""")"),"")</f>
        <v/>
      </c>
      <c r="M332" s="33" t="str">
        <f>IFERROR(__xludf.DUMMYFUNCTION("IF(IF(M$1="""","""",REGEXMATCH(LOWER($E332),XLOOKUP(M$1,Metadata!$A$2:$A1000,Metadata!$B$2:$B1000))),M$1,"""")"),"")</f>
        <v/>
      </c>
      <c r="N332" s="33" t="str">
        <f>IFERROR(__xludf.DUMMYFUNCTION("IF(IF(N$1="""","""",REGEXMATCH(LOWER($E332),XLOOKUP(N$1,Metadata!$A$2:$A1000,Metadata!$B$2:$B1000))),N$1,"""")"),"")</f>
        <v/>
      </c>
      <c r="O332" s="33" t="str">
        <f>IFERROR(__xludf.DUMMYFUNCTION("IF(IF(O$1="""","""",REGEXMATCH(LOWER($E332),XLOOKUP(O$1,Metadata!$A$2:$A1000,Metadata!$B$2:$B1000))),O$1,"""")"),"")</f>
        <v/>
      </c>
      <c r="P332" s="33" t="str">
        <f>IFERROR(__xludf.DUMMYFUNCTION("IF(IF(P$1="""","""",REGEXMATCH(LOWER($E332),XLOOKUP(P$1,Metadata!$A$2:$A1000,Metadata!$B$2:$B1000))),P$1,"""")"),"")</f>
        <v/>
      </c>
      <c r="Q332" s="33" t="str">
        <f>IFERROR(__xludf.DUMMYFUNCTION("IF(IF(Q$1="""","""",REGEXMATCH(LOWER($E332),XLOOKUP(Q$1,Metadata!$A$2:$A1000,Metadata!$B$2:$B1000))),Q$1,"""")"),"")</f>
        <v/>
      </c>
      <c r="R332" s="33" t="str">
        <f>IFERROR(__xludf.DUMMYFUNCTION("IF(IF(R$1="""","""",REGEXMATCH(LOWER($E332),XLOOKUP(R$1,Metadata!$A$2:$A1000,Metadata!$B$2:$B1000))),R$1,"""")"),"")</f>
        <v/>
      </c>
      <c r="S332" s="33" t="str">
        <f>IFERROR(__xludf.DUMMYFUNCTION("IF(IF(S$1="""","""",REGEXMATCH(LOWER($E332),XLOOKUP(S$1,Metadata!$A$2:$A1000,Metadata!$B$2:$B1000))),S$1,"""")"),"")</f>
        <v/>
      </c>
      <c r="T332" s="33" t="str">
        <f>IFERROR(__xludf.DUMMYFUNCTION("IF(IF(T$1="""","""",REGEXMATCH(LOWER($E332),XLOOKUP(T$1,Metadata!$A$2:$A1000,Metadata!$B$2:$B1000))),T$1,"""")"),"")</f>
        <v/>
      </c>
      <c r="U332" s="33" t="str">
        <f>IFERROR(__xludf.DUMMYFUNCTION("IF(IF(U$1="""","""",REGEXMATCH(LOWER($E332),XLOOKUP(U$1,Metadata!$A$2:$A1000,Metadata!$B$2:$B1000))),U$1,"""")"),"Aggro")</f>
        <v>Aggro</v>
      </c>
      <c r="V332" s="33" t="str">
        <f>IFERROR(__xludf.DUMMYFUNCTION("IF(IF(V$1="""","""",REGEXMATCH(LOWER($E332),XLOOKUP(V$1,Metadata!$A$2:$A1000,Metadata!$B$2:$B1000))),V$1,"""")"),"")</f>
        <v/>
      </c>
      <c r="W332" s="33" t="str">
        <f>IFERROR(__xludf.DUMMYFUNCTION("IF(IF(W$1="""","""",REGEXMATCH(LOWER($E332),XLOOKUP(W$1,Metadata!$A$2:$A1000,Metadata!$B$2:$B1000))),W$1,"""")"),"")</f>
        <v/>
      </c>
      <c r="X332" s="33" t="str">
        <f>IFERROR(__xludf.DUMMYFUNCTION("IF(IF(X$1="""","""",REGEXMATCH(LOWER($E332),XLOOKUP(X$1,Metadata!$A$2:$A1000,Metadata!$B$2:$B1000))),X$1,"""")"),"Ambush")</f>
        <v>Ambush</v>
      </c>
      <c r="Y332" s="33" t="str">
        <f>IFERROR(__xludf.DUMMYFUNCTION("IF(IF(Y$1="""","""",REGEXMATCH(LOWER($E332),XLOOKUP(Y$1,Metadata!$A$2:$A1000,Metadata!$B$2:$B1000))),Y$1,"""")"),"")</f>
        <v/>
      </c>
      <c r="Z332" s="33" t="str">
        <f>IFERROR(__xludf.DUMMYFUNCTION("IF(IF(Z$1="""","""",REGEXMATCH(LOWER($E332),XLOOKUP(Z$1,Metadata!$A$2:$A1000,Metadata!$B$2:$B1000))),Z$1,"""")"),"")</f>
        <v/>
      </c>
      <c r="AA332" s="33" t="str">
        <f>IFERROR(__xludf.DUMMYFUNCTION("IF(AA$1="""","""",REGEXMATCH(LOWER($E332),XLOOKUP(AA$1,Metadata!$A$2:$A1000,Metadata!$B$2:$B1000)))"),"")</f>
        <v/>
      </c>
    </row>
    <row r="333">
      <c r="A333" s="33" t="str">
        <f>IFERROR(__xludf.DUMMYFUNCTION("""COMPUTED_VALUE"""),"Umbral Nexus")</f>
        <v>Umbral Nexus</v>
      </c>
      <c r="B333" s="33" t="str">
        <f t="array" ref="B333:I333">XLOOKUP($A333,Cards!$A$2:$A1000,Cards!$B$2:$I1000,"")</f>
        <v>Void</v>
      </c>
      <c r="C333" s="33">
        <v>2.0</v>
      </c>
      <c r="D333" s="33" t="s">
        <v>1824</v>
      </c>
      <c r="E333" s="33" t="s">
        <v>1825</v>
      </c>
      <c r="F333" s="33" t="s">
        <v>1826</v>
      </c>
      <c r="G333" s="33">
        <v>3.0</v>
      </c>
      <c r="H333" s="33" t="s">
        <v>1684</v>
      </c>
      <c r="I333" s="33" t="s">
        <v>26</v>
      </c>
      <c r="J333" s="33">
        <f>IFERROR(__xludf.DUMMYFUNCTION("LEN(REGEXREPLACE(XLOOKUP($A333,Cards!$A$2:$A1000,Cards!$H$2:$H1000,""""),"",\s"",""""))"),3.0)</f>
        <v>3</v>
      </c>
      <c r="K333" s="33" t="str">
        <f t="shared" si="1"/>
        <v>    Void           </v>
      </c>
      <c r="L333" s="33" t="str">
        <f>IFERROR(__xludf.DUMMYFUNCTION("IF(IF(L$1="""","""",REGEXMATCH(LOWER($E333),XLOOKUP(L$1,Metadata!$A$2:$A1000,Metadata!$B$2:$B1000))),L$1,"""")"),"")</f>
        <v/>
      </c>
      <c r="M333" s="33" t="str">
        <f>IFERROR(__xludf.DUMMYFUNCTION("IF(IF(M$1="""","""",REGEXMATCH(LOWER($E333),XLOOKUP(M$1,Metadata!$A$2:$A1000,Metadata!$B$2:$B1000))),M$1,"""")"),"")</f>
        <v/>
      </c>
      <c r="N333" s="33" t="str">
        <f>IFERROR(__xludf.DUMMYFUNCTION("IF(IF(N$1="""","""",REGEXMATCH(LOWER($E333),XLOOKUP(N$1,Metadata!$A$2:$A1000,Metadata!$B$2:$B1000))),N$1,"""")"),"")</f>
        <v/>
      </c>
      <c r="O333" s="33" t="str">
        <f>IFERROR(__xludf.DUMMYFUNCTION("IF(IF(O$1="""","""",REGEXMATCH(LOWER($E333),XLOOKUP(O$1,Metadata!$A$2:$A1000,Metadata!$B$2:$B1000))),O$1,"""")"),"")</f>
        <v/>
      </c>
      <c r="P333" s="33" t="str">
        <f>IFERROR(__xludf.DUMMYFUNCTION("IF(IF(P$1="""","""",REGEXMATCH(LOWER($E333),XLOOKUP(P$1,Metadata!$A$2:$A1000,Metadata!$B$2:$B1000))),P$1,"""")"),"Void")</f>
        <v>Void</v>
      </c>
      <c r="Q333" s="33" t="str">
        <f>IFERROR(__xludf.DUMMYFUNCTION("IF(IF(Q$1="""","""",REGEXMATCH(LOWER($E333),XLOOKUP(Q$1,Metadata!$A$2:$A1000,Metadata!$B$2:$B1000))),Q$1,"""")"),"")</f>
        <v/>
      </c>
      <c r="R333" s="33" t="str">
        <f>IFERROR(__xludf.DUMMYFUNCTION("IF(IF(R$1="""","""",REGEXMATCH(LOWER($E333),XLOOKUP(R$1,Metadata!$A$2:$A1000,Metadata!$B$2:$B1000))),R$1,"""")"),"")</f>
        <v/>
      </c>
      <c r="S333" s="33" t="str">
        <f>IFERROR(__xludf.DUMMYFUNCTION("IF(IF(S$1="""","""",REGEXMATCH(LOWER($E333),XLOOKUP(S$1,Metadata!$A$2:$A1000,Metadata!$B$2:$B1000))),S$1,"""")"),"")</f>
        <v/>
      </c>
      <c r="T333" s="33" t="str">
        <f>IFERROR(__xludf.DUMMYFUNCTION("IF(IF(T$1="""","""",REGEXMATCH(LOWER($E333),XLOOKUP(T$1,Metadata!$A$2:$A1000,Metadata!$B$2:$B1000))),T$1,"""")"),"")</f>
        <v/>
      </c>
      <c r="U333" s="33" t="str">
        <f>IFERROR(__xludf.DUMMYFUNCTION("IF(IF(U$1="""","""",REGEXMATCH(LOWER($E333),XLOOKUP(U$1,Metadata!$A$2:$A1000,Metadata!$B$2:$B1000))),U$1,"""")"),"")</f>
        <v/>
      </c>
      <c r="V333" s="33" t="str">
        <f>IFERROR(__xludf.DUMMYFUNCTION("IF(IF(V$1="""","""",REGEXMATCH(LOWER($E333),XLOOKUP(V$1,Metadata!$A$2:$A1000,Metadata!$B$2:$B1000))),V$1,"""")"),"")</f>
        <v/>
      </c>
      <c r="W333" s="33" t="str">
        <f>IFERROR(__xludf.DUMMYFUNCTION("IF(IF(W$1="""","""",REGEXMATCH(LOWER($E333),XLOOKUP(W$1,Metadata!$A$2:$A1000,Metadata!$B$2:$B1000))),W$1,"""")"),"")</f>
        <v/>
      </c>
      <c r="X333" s="33" t="str">
        <f>IFERROR(__xludf.DUMMYFUNCTION("IF(IF(X$1="""","""",REGEXMATCH(LOWER($E333),XLOOKUP(X$1,Metadata!$A$2:$A1000,Metadata!$B$2:$B1000))),X$1,"""")"),"")</f>
        <v/>
      </c>
      <c r="Y333" s="33" t="str">
        <f>IFERROR(__xludf.DUMMYFUNCTION("IF(IF(Y$1="""","""",REGEXMATCH(LOWER($E333),XLOOKUP(Y$1,Metadata!$A$2:$A1000,Metadata!$B$2:$B1000))),Y$1,"""")"),"")</f>
        <v/>
      </c>
      <c r="Z333" s="33" t="str">
        <f>IFERROR(__xludf.DUMMYFUNCTION("IF(IF(Z$1="""","""",REGEXMATCH(LOWER($E333),XLOOKUP(Z$1,Metadata!$A$2:$A1000,Metadata!$B$2:$B1000))),Z$1,"""")"),"")</f>
        <v/>
      </c>
      <c r="AA333" s="33" t="str">
        <f>IFERROR(__xludf.DUMMYFUNCTION("IF(AA$1="""","""",REGEXMATCH(LOWER($E333),XLOOKUP(AA$1,Metadata!$A$2:$A1000,Metadata!$B$2:$B1000)))"),"")</f>
        <v/>
      </c>
    </row>
    <row r="334">
      <c r="A334" s="33" t="str">
        <f>IFERROR(__xludf.DUMMYFUNCTION("""COMPUTED_VALUE"""),"Voidkiss Siren")</f>
        <v>Voidkiss Siren</v>
      </c>
      <c r="B334" s="33" t="str">
        <f t="array" ref="B334:I334">XLOOKUP($A334,Cards!$A$2:$A1000,Cards!$B$2:$I1000,"")</f>
        <v>Void</v>
      </c>
      <c r="C334" s="33">
        <v>2.0</v>
      </c>
      <c r="D334" s="33" t="s">
        <v>1828</v>
      </c>
      <c r="E334" s="33" t="s">
        <v>1829</v>
      </c>
      <c r="F334" s="33" t="s">
        <v>1830</v>
      </c>
      <c r="G334" s="33">
        <v>4.0</v>
      </c>
      <c r="H334" s="33" t="s">
        <v>1674</v>
      </c>
      <c r="I334" s="33" t="s">
        <v>62</v>
      </c>
      <c r="J334" s="33">
        <f>IFERROR(__xludf.DUMMYFUNCTION("LEN(REGEXREPLACE(XLOOKUP($A334,Cards!$A$2:$A1000,Cards!$H$2:$H1000,""""),"",\s"",""""))"),5.0)</f>
        <v>5</v>
      </c>
      <c r="K334" s="33" t="str">
        <f t="shared" si="1"/>
        <v>               </v>
      </c>
      <c r="L334" s="33" t="str">
        <f>IFERROR(__xludf.DUMMYFUNCTION("IF(IF(L$1="""","""",REGEXMATCH(LOWER($E334),XLOOKUP(L$1,Metadata!$A$2:$A1000,Metadata!$B$2:$B1000))),L$1,"""")"),"")</f>
        <v/>
      </c>
      <c r="M334" s="33" t="str">
        <f>IFERROR(__xludf.DUMMYFUNCTION("IF(IF(M$1="""","""",REGEXMATCH(LOWER($E334),XLOOKUP(M$1,Metadata!$A$2:$A1000,Metadata!$B$2:$B1000))),M$1,"""")"),"")</f>
        <v/>
      </c>
      <c r="N334" s="33" t="str">
        <f>IFERROR(__xludf.DUMMYFUNCTION("IF(IF(N$1="""","""",REGEXMATCH(LOWER($E334),XLOOKUP(N$1,Metadata!$A$2:$A1000,Metadata!$B$2:$B1000))),N$1,"""")"),"")</f>
        <v/>
      </c>
      <c r="O334" s="33" t="str">
        <f>IFERROR(__xludf.DUMMYFUNCTION("IF(IF(O$1="""","""",REGEXMATCH(LOWER($E334),XLOOKUP(O$1,Metadata!$A$2:$A1000,Metadata!$B$2:$B1000))),O$1,"""")"),"")</f>
        <v/>
      </c>
      <c r="P334" s="33" t="str">
        <f>IFERROR(__xludf.DUMMYFUNCTION("IF(IF(P$1="""","""",REGEXMATCH(LOWER($E334),XLOOKUP(P$1,Metadata!$A$2:$A1000,Metadata!$B$2:$B1000))),P$1,"""")"),"")</f>
        <v/>
      </c>
      <c r="Q334" s="33" t="str">
        <f>IFERROR(__xludf.DUMMYFUNCTION("IF(IF(Q$1="""","""",REGEXMATCH(LOWER($E334),XLOOKUP(Q$1,Metadata!$A$2:$A1000,Metadata!$B$2:$B1000))),Q$1,"""")"),"")</f>
        <v/>
      </c>
      <c r="R334" s="33" t="str">
        <f>IFERROR(__xludf.DUMMYFUNCTION("IF(IF(R$1="""","""",REGEXMATCH(LOWER($E334),XLOOKUP(R$1,Metadata!$A$2:$A1000,Metadata!$B$2:$B1000))),R$1,"""")"),"")</f>
        <v/>
      </c>
      <c r="S334" s="33" t="str">
        <f>IFERROR(__xludf.DUMMYFUNCTION("IF(IF(S$1="""","""",REGEXMATCH(LOWER($E334),XLOOKUP(S$1,Metadata!$A$2:$A1000,Metadata!$B$2:$B1000))),S$1,"""")"),"")</f>
        <v/>
      </c>
      <c r="T334" s="33" t="str">
        <f>IFERROR(__xludf.DUMMYFUNCTION("IF(IF(T$1="""","""",REGEXMATCH(LOWER($E334),XLOOKUP(T$1,Metadata!$A$2:$A1000,Metadata!$B$2:$B1000))),T$1,"""")"),"")</f>
        <v/>
      </c>
      <c r="U334" s="33" t="str">
        <f>IFERROR(__xludf.DUMMYFUNCTION("IF(IF(U$1="""","""",REGEXMATCH(LOWER($E334),XLOOKUP(U$1,Metadata!$A$2:$A1000,Metadata!$B$2:$B1000))),U$1,"""")"),"")</f>
        <v/>
      </c>
      <c r="V334" s="33" t="str">
        <f>IFERROR(__xludf.DUMMYFUNCTION("IF(IF(V$1="""","""",REGEXMATCH(LOWER($E334),XLOOKUP(V$1,Metadata!$A$2:$A1000,Metadata!$B$2:$B1000))),V$1,"""")"),"")</f>
        <v/>
      </c>
      <c r="W334" s="33" t="str">
        <f>IFERROR(__xludf.DUMMYFUNCTION("IF(IF(W$1="""","""",REGEXMATCH(LOWER($E334),XLOOKUP(W$1,Metadata!$A$2:$A1000,Metadata!$B$2:$B1000))),W$1,"""")"),"")</f>
        <v/>
      </c>
      <c r="X334" s="33" t="str">
        <f>IFERROR(__xludf.DUMMYFUNCTION("IF(IF(X$1="""","""",REGEXMATCH(LOWER($E334),XLOOKUP(X$1,Metadata!$A$2:$A1000,Metadata!$B$2:$B1000))),X$1,"""")"),"")</f>
        <v/>
      </c>
      <c r="Y334" s="33" t="str">
        <f>IFERROR(__xludf.DUMMYFUNCTION("IF(IF(Y$1="""","""",REGEXMATCH(LOWER($E334),XLOOKUP(Y$1,Metadata!$A$2:$A1000,Metadata!$B$2:$B1000))),Y$1,"""")"),"")</f>
        <v/>
      </c>
      <c r="Z334" s="33" t="str">
        <f>IFERROR(__xludf.DUMMYFUNCTION("IF(IF(Z$1="""","""",REGEXMATCH(LOWER($E334),XLOOKUP(Z$1,Metadata!$A$2:$A1000,Metadata!$B$2:$B1000))),Z$1,"""")"),"")</f>
        <v/>
      </c>
      <c r="AA334" s="33" t="str">
        <f>IFERROR(__xludf.DUMMYFUNCTION("IF(AA$1="""","""",REGEXMATCH(LOWER($E334),XLOOKUP(AA$1,Metadata!$A$2:$A1000,Metadata!$B$2:$B1000)))"),"")</f>
        <v/>
      </c>
    </row>
    <row r="335">
      <c r="A335" s="33" t="str">
        <f>IFERROR(__xludf.DUMMYFUNCTION("""COMPUTED_VALUE"""),"Rootstrosity")</f>
        <v>Rootstrosity</v>
      </c>
      <c r="B335" s="33" t="str">
        <f t="array" ref="B335:I335">XLOOKUP($A335,Cards!$A$2:$A1000,Cards!$B$2:$I1000,"")</f>
        <v>Nature</v>
      </c>
      <c r="C335" s="33">
        <v>1.0</v>
      </c>
      <c r="D335" s="33" t="s">
        <v>1832</v>
      </c>
      <c r="E335" s="33" t="s">
        <v>1833</v>
      </c>
      <c r="F335" s="33"/>
      <c r="G335" s="33">
        <v>0.0</v>
      </c>
      <c r="H335" s="33" t="s">
        <v>1475</v>
      </c>
      <c r="I335" s="33" t="s">
        <v>32</v>
      </c>
      <c r="J335" s="33">
        <f>IFERROR(__xludf.DUMMYFUNCTION("LEN(REGEXREPLACE(XLOOKUP($A335,Cards!$A$2:$A1000,Cards!$H$2:$H1000,""""),"",\s"",""""))"),6.0)</f>
        <v>6</v>
      </c>
      <c r="K335" s="33" t="str">
        <f t="shared" si="1"/>
        <v>               </v>
      </c>
      <c r="L335" s="33" t="str">
        <f>IFERROR(__xludf.DUMMYFUNCTION("IF(IF(L$1="""","""",REGEXMATCH(LOWER($E335),XLOOKUP(L$1,Metadata!$A$2:$A1000,Metadata!$B$2:$B1000))),L$1,"""")"),"")</f>
        <v/>
      </c>
      <c r="M335" s="33" t="str">
        <f>IFERROR(__xludf.DUMMYFUNCTION("IF(IF(M$1="""","""",REGEXMATCH(LOWER($E335),XLOOKUP(M$1,Metadata!$A$2:$A1000,Metadata!$B$2:$B1000))),M$1,"""")"),"")</f>
        <v/>
      </c>
      <c r="N335" s="33" t="str">
        <f>IFERROR(__xludf.DUMMYFUNCTION("IF(IF(N$1="""","""",REGEXMATCH(LOWER($E335),XLOOKUP(N$1,Metadata!$A$2:$A1000,Metadata!$B$2:$B1000))),N$1,"""")"),"")</f>
        <v/>
      </c>
      <c r="O335" s="33" t="str">
        <f>IFERROR(__xludf.DUMMYFUNCTION("IF(IF(O$1="""","""",REGEXMATCH(LOWER($E335),XLOOKUP(O$1,Metadata!$A$2:$A1000,Metadata!$B$2:$B1000))),O$1,"""")"),"")</f>
        <v/>
      </c>
      <c r="P335" s="33" t="str">
        <f>IFERROR(__xludf.DUMMYFUNCTION("IF(IF(P$1="""","""",REGEXMATCH(LOWER($E335),XLOOKUP(P$1,Metadata!$A$2:$A1000,Metadata!$B$2:$B1000))),P$1,"""")"),"")</f>
        <v/>
      </c>
      <c r="Q335" s="33" t="str">
        <f>IFERROR(__xludf.DUMMYFUNCTION("IF(IF(Q$1="""","""",REGEXMATCH(LOWER($E335),XLOOKUP(Q$1,Metadata!$A$2:$A1000,Metadata!$B$2:$B1000))),Q$1,"""")"),"")</f>
        <v/>
      </c>
      <c r="R335" s="33" t="str">
        <f>IFERROR(__xludf.DUMMYFUNCTION("IF(IF(R$1="""","""",REGEXMATCH(LOWER($E335),XLOOKUP(R$1,Metadata!$A$2:$A1000,Metadata!$B$2:$B1000))),R$1,"""")"),"")</f>
        <v/>
      </c>
      <c r="S335" s="33" t="str">
        <f>IFERROR(__xludf.DUMMYFUNCTION("IF(IF(S$1="""","""",REGEXMATCH(LOWER($E335),XLOOKUP(S$1,Metadata!$A$2:$A1000,Metadata!$B$2:$B1000))),S$1,"""")"),"")</f>
        <v/>
      </c>
      <c r="T335" s="33" t="str">
        <f>IFERROR(__xludf.DUMMYFUNCTION("IF(IF(T$1="""","""",REGEXMATCH(LOWER($E335),XLOOKUP(T$1,Metadata!$A$2:$A1000,Metadata!$B$2:$B1000))),T$1,"""")"),"")</f>
        <v/>
      </c>
      <c r="U335" s="33" t="str">
        <f>IFERROR(__xludf.DUMMYFUNCTION("IF(IF(U$1="""","""",REGEXMATCH(LOWER($E335),XLOOKUP(U$1,Metadata!$A$2:$A1000,Metadata!$B$2:$B1000))),U$1,"""")"),"")</f>
        <v/>
      </c>
      <c r="V335" s="33" t="str">
        <f>IFERROR(__xludf.DUMMYFUNCTION("IF(IF(V$1="""","""",REGEXMATCH(LOWER($E335),XLOOKUP(V$1,Metadata!$A$2:$A1000,Metadata!$B$2:$B1000))),V$1,"""")"),"")</f>
        <v/>
      </c>
      <c r="W335" s="33" t="str">
        <f>IFERROR(__xludf.DUMMYFUNCTION("IF(IF(W$1="""","""",REGEXMATCH(LOWER($E335),XLOOKUP(W$1,Metadata!$A$2:$A1000,Metadata!$B$2:$B1000))),W$1,"""")"),"")</f>
        <v/>
      </c>
      <c r="X335" s="33" t="str">
        <f>IFERROR(__xludf.DUMMYFUNCTION("IF(IF(X$1="""","""",REGEXMATCH(LOWER($E335),XLOOKUP(X$1,Metadata!$A$2:$A1000,Metadata!$B$2:$B1000))),X$1,"""")"),"")</f>
        <v/>
      </c>
      <c r="Y335" s="33" t="str">
        <f>IFERROR(__xludf.DUMMYFUNCTION("IF(IF(Y$1="""","""",REGEXMATCH(LOWER($E335),XLOOKUP(Y$1,Metadata!$A$2:$A1000,Metadata!$B$2:$B1000))),Y$1,"""")"),"")</f>
        <v/>
      </c>
      <c r="Z335" s="33" t="str">
        <f>IFERROR(__xludf.DUMMYFUNCTION("IF(IF(Z$1="""","""",REGEXMATCH(LOWER($E335),XLOOKUP(Z$1,Metadata!$A$2:$A1000,Metadata!$B$2:$B1000))),Z$1,"""")"),"")</f>
        <v/>
      </c>
      <c r="AA335" s="33" t="str">
        <f>IFERROR(__xludf.DUMMYFUNCTION("IF(AA$1="""","""",REGEXMATCH(LOWER($E335),XLOOKUP(AA$1,Metadata!$A$2:$A1000,Metadata!$B$2:$B1000)))"),"")</f>
        <v/>
      </c>
    </row>
    <row r="336">
      <c r="A336" s="33" t="str">
        <f>IFERROR(__xludf.DUMMYFUNCTION("""COMPUTED_VALUE"""),"Voodoo Doctor")</f>
        <v>Voodoo Doctor</v>
      </c>
      <c r="B336" s="33" t="str">
        <f t="array" ref="B336:I336">XLOOKUP($A336,Cards!$A$2:$A1000,Cards!$B$2:$I1000,"")</f>
        <v>Void</v>
      </c>
      <c r="C336" s="33">
        <v>2.0</v>
      </c>
      <c r="D336" s="33" t="s">
        <v>1835</v>
      </c>
      <c r="E336" s="33" t="s">
        <v>1836</v>
      </c>
      <c r="F336" s="33" t="s">
        <v>1837</v>
      </c>
      <c r="G336" s="33">
        <v>2.0</v>
      </c>
      <c r="H336" s="33" t="s">
        <v>1688</v>
      </c>
      <c r="I336" s="33" t="s">
        <v>26</v>
      </c>
      <c r="J336" s="33">
        <f>IFERROR(__xludf.DUMMYFUNCTION("LEN(REGEXREPLACE(XLOOKUP($A336,Cards!$A$2:$A1000,Cards!$H$2:$H1000,""""),"",\s"",""""))"),2.0)</f>
        <v>2</v>
      </c>
      <c r="K336" s="33" t="str">
        <f t="shared" si="1"/>
        <v>               </v>
      </c>
      <c r="L336" s="33" t="str">
        <f>IFERROR(__xludf.DUMMYFUNCTION("IF(IF(L$1="""","""",REGEXMATCH(LOWER($E336),XLOOKUP(L$1,Metadata!$A$2:$A1000,Metadata!$B$2:$B1000))),L$1,"""")"),"")</f>
        <v/>
      </c>
      <c r="M336" s="33" t="str">
        <f>IFERROR(__xludf.DUMMYFUNCTION("IF(IF(M$1="""","""",REGEXMATCH(LOWER($E336),XLOOKUP(M$1,Metadata!$A$2:$A1000,Metadata!$B$2:$B1000))),M$1,"""")"),"")</f>
        <v/>
      </c>
      <c r="N336" s="33" t="str">
        <f>IFERROR(__xludf.DUMMYFUNCTION("IF(IF(N$1="""","""",REGEXMATCH(LOWER($E336),XLOOKUP(N$1,Metadata!$A$2:$A1000,Metadata!$B$2:$B1000))),N$1,"""")"),"")</f>
        <v/>
      </c>
      <c r="O336" s="33" t="str">
        <f>IFERROR(__xludf.DUMMYFUNCTION("IF(IF(O$1="""","""",REGEXMATCH(LOWER($E336),XLOOKUP(O$1,Metadata!$A$2:$A1000,Metadata!$B$2:$B1000))),O$1,"""")"),"")</f>
        <v/>
      </c>
      <c r="P336" s="33" t="str">
        <f>IFERROR(__xludf.DUMMYFUNCTION("IF(IF(P$1="""","""",REGEXMATCH(LOWER($E336),XLOOKUP(P$1,Metadata!$A$2:$A1000,Metadata!$B$2:$B1000))),P$1,"""")"),"")</f>
        <v/>
      </c>
      <c r="Q336" s="33" t="str">
        <f>IFERROR(__xludf.DUMMYFUNCTION("IF(IF(Q$1="""","""",REGEXMATCH(LOWER($E336),XLOOKUP(Q$1,Metadata!$A$2:$A1000,Metadata!$B$2:$B1000))),Q$1,"""")"),"")</f>
        <v/>
      </c>
      <c r="R336" s="33" t="str">
        <f>IFERROR(__xludf.DUMMYFUNCTION("IF(IF(R$1="""","""",REGEXMATCH(LOWER($E336),XLOOKUP(R$1,Metadata!$A$2:$A1000,Metadata!$B$2:$B1000))),R$1,"""")"),"")</f>
        <v/>
      </c>
      <c r="S336" s="33" t="str">
        <f>IFERROR(__xludf.DUMMYFUNCTION("IF(IF(S$1="""","""",REGEXMATCH(LOWER($E336),XLOOKUP(S$1,Metadata!$A$2:$A1000,Metadata!$B$2:$B1000))),S$1,"""")"),"")</f>
        <v/>
      </c>
      <c r="T336" s="33" t="str">
        <f>IFERROR(__xludf.DUMMYFUNCTION("IF(IF(T$1="""","""",REGEXMATCH(LOWER($E336),XLOOKUP(T$1,Metadata!$A$2:$A1000,Metadata!$B$2:$B1000))),T$1,"""")"),"")</f>
        <v/>
      </c>
      <c r="U336" s="33" t="str">
        <f>IFERROR(__xludf.DUMMYFUNCTION("IF(IF(U$1="""","""",REGEXMATCH(LOWER($E336),XLOOKUP(U$1,Metadata!$A$2:$A1000,Metadata!$B$2:$B1000))),U$1,"""")"),"")</f>
        <v/>
      </c>
      <c r="V336" s="33" t="str">
        <f>IFERROR(__xludf.DUMMYFUNCTION("IF(IF(V$1="""","""",REGEXMATCH(LOWER($E336),XLOOKUP(V$1,Metadata!$A$2:$A1000,Metadata!$B$2:$B1000))),V$1,"""")"),"")</f>
        <v/>
      </c>
      <c r="W336" s="33" t="str">
        <f>IFERROR(__xludf.DUMMYFUNCTION("IF(IF(W$1="""","""",REGEXMATCH(LOWER($E336),XLOOKUP(W$1,Metadata!$A$2:$A1000,Metadata!$B$2:$B1000))),W$1,"""")"),"")</f>
        <v/>
      </c>
      <c r="X336" s="33" t="str">
        <f>IFERROR(__xludf.DUMMYFUNCTION("IF(IF(X$1="""","""",REGEXMATCH(LOWER($E336),XLOOKUP(X$1,Metadata!$A$2:$A1000,Metadata!$B$2:$B1000))),X$1,"""")"),"")</f>
        <v/>
      </c>
      <c r="Y336" s="33" t="str">
        <f>IFERROR(__xludf.DUMMYFUNCTION("IF(IF(Y$1="""","""",REGEXMATCH(LOWER($E336),XLOOKUP(Y$1,Metadata!$A$2:$A1000,Metadata!$B$2:$B1000))),Y$1,"""")"),"")</f>
        <v/>
      </c>
      <c r="Z336" s="33" t="str">
        <f>IFERROR(__xludf.DUMMYFUNCTION("IF(IF(Z$1="""","""",REGEXMATCH(LOWER($E336),XLOOKUP(Z$1,Metadata!$A$2:$A1000,Metadata!$B$2:$B1000))),Z$1,"""")"),"")</f>
        <v/>
      </c>
      <c r="AA336" s="33" t="str">
        <f>IFERROR(__xludf.DUMMYFUNCTION("IF(AA$1="""","""",REGEXMATCH(LOWER($E336),XLOOKUP(AA$1,Metadata!$A$2:$A1000,Metadata!$B$2:$B1000)))"),"")</f>
        <v/>
      </c>
    </row>
    <row r="337">
      <c r="A337" s="33" t="str">
        <f>IFERROR(__xludf.DUMMYFUNCTION("""COMPUTED_VALUE"""),"Whispering Tome")</f>
        <v>Whispering Tome</v>
      </c>
      <c r="B337" s="33" t="str">
        <f t="array" ref="B337:I337">XLOOKUP($A337,Cards!$A$2:$A1000,Cards!$B$2:$I1000,"")</f>
        <v>Void</v>
      </c>
      <c r="C337" s="33">
        <v>2.0</v>
      </c>
      <c r="D337" s="33" t="s">
        <v>160</v>
      </c>
      <c r="E337" s="33" t="s">
        <v>1839</v>
      </c>
      <c r="F337" s="33" t="s">
        <v>1840</v>
      </c>
      <c r="G337" s="33">
        <v>0.0</v>
      </c>
      <c r="H337" s="33" t="s">
        <v>1734</v>
      </c>
      <c r="I337" s="33" t="s">
        <v>62</v>
      </c>
      <c r="J337" s="33">
        <f>IFERROR(__xludf.DUMMYFUNCTION("LEN(REGEXREPLACE(XLOOKUP($A337,Cards!$A$2:$A1000,Cards!$H$2:$H1000,""""),"",\s"",""""))"),4.0)</f>
        <v>4</v>
      </c>
      <c r="K337" s="33" t="str">
        <f t="shared" si="1"/>
        <v>               </v>
      </c>
      <c r="L337" s="33" t="str">
        <f>IFERROR(__xludf.DUMMYFUNCTION("IF(IF(L$1="""","""",REGEXMATCH(LOWER($E337),XLOOKUP(L$1,Metadata!$A$2:$A1000,Metadata!$B$2:$B1000))),L$1,"""")"),"")</f>
        <v/>
      </c>
      <c r="M337" s="33" t="str">
        <f>IFERROR(__xludf.DUMMYFUNCTION("IF(IF(M$1="""","""",REGEXMATCH(LOWER($E337),XLOOKUP(M$1,Metadata!$A$2:$A1000,Metadata!$B$2:$B1000))),M$1,"""")"),"")</f>
        <v/>
      </c>
      <c r="N337" s="33" t="str">
        <f>IFERROR(__xludf.DUMMYFUNCTION("IF(IF(N$1="""","""",REGEXMATCH(LOWER($E337),XLOOKUP(N$1,Metadata!$A$2:$A1000,Metadata!$B$2:$B1000))),N$1,"""")"),"")</f>
        <v/>
      </c>
      <c r="O337" s="33" t="str">
        <f>IFERROR(__xludf.DUMMYFUNCTION("IF(IF(O$1="""","""",REGEXMATCH(LOWER($E337),XLOOKUP(O$1,Metadata!$A$2:$A1000,Metadata!$B$2:$B1000))),O$1,"""")"),"")</f>
        <v/>
      </c>
      <c r="P337" s="33" t="str">
        <f>IFERROR(__xludf.DUMMYFUNCTION("IF(IF(P$1="""","""",REGEXMATCH(LOWER($E337),XLOOKUP(P$1,Metadata!$A$2:$A1000,Metadata!$B$2:$B1000))),P$1,"""")"),"")</f>
        <v/>
      </c>
      <c r="Q337" s="33" t="str">
        <f>IFERROR(__xludf.DUMMYFUNCTION("IF(IF(Q$1="""","""",REGEXMATCH(LOWER($E337),XLOOKUP(Q$1,Metadata!$A$2:$A1000,Metadata!$B$2:$B1000))),Q$1,"""")"),"")</f>
        <v/>
      </c>
      <c r="R337" s="33" t="str">
        <f>IFERROR(__xludf.DUMMYFUNCTION("IF(IF(R$1="""","""",REGEXMATCH(LOWER($E337),XLOOKUP(R$1,Metadata!$A$2:$A1000,Metadata!$B$2:$B1000))),R$1,"""")"),"")</f>
        <v/>
      </c>
      <c r="S337" s="33" t="str">
        <f>IFERROR(__xludf.DUMMYFUNCTION("IF(IF(S$1="""","""",REGEXMATCH(LOWER($E337),XLOOKUP(S$1,Metadata!$A$2:$A1000,Metadata!$B$2:$B1000))),S$1,"""")"),"")</f>
        <v/>
      </c>
      <c r="T337" s="33" t="str">
        <f>IFERROR(__xludf.DUMMYFUNCTION("IF(IF(T$1="""","""",REGEXMATCH(LOWER($E337),XLOOKUP(T$1,Metadata!$A$2:$A1000,Metadata!$B$2:$B1000))),T$1,"""")"),"")</f>
        <v/>
      </c>
      <c r="U337" s="33" t="str">
        <f>IFERROR(__xludf.DUMMYFUNCTION("IF(IF(U$1="""","""",REGEXMATCH(LOWER($E337),XLOOKUP(U$1,Metadata!$A$2:$A1000,Metadata!$B$2:$B1000))),U$1,"""")"),"")</f>
        <v/>
      </c>
      <c r="V337" s="33" t="str">
        <f>IFERROR(__xludf.DUMMYFUNCTION("IF(IF(V$1="""","""",REGEXMATCH(LOWER($E337),XLOOKUP(V$1,Metadata!$A$2:$A1000,Metadata!$B$2:$B1000))),V$1,"""")"),"")</f>
        <v/>
      </c>
      <c r="W337" s="33" t="str">
        <f>IFERROR(__xludf.DUMMYFUNCTION("IF(IF(W$1="""","""",REGEXMATCH(LOWER($E337),XLOOKUP(W$1,Metadata!$A$2:$A1000,Metadata!$B$2:$B1000))),W$1,"""")"),"")</f>
        <v/>
      </c>
      <c r="X337" s="33" t="str">
        <f>IFERROR(__xludf.DUMMYFUNCTION("IF(IF(X$1="""","""",REGEXMATCH(LOWER($E337),XLOOKUP(X$1,Metadata!$A$2:$A1000,Metadata!$B$2:$B1000))),X$1,"""")"),"")</f>
        <v/>
      </c>
      <c r="Y337" s="33" t="str">
        <f>IFERROR(__xludf.DUMMYFUNCTION("IF(IF(Y$1="""","""",REGEXMATCH(LOWER($E337),XLOOKUP(Y$1,Metadata!$A$2:$A1000,Metadata!$B$2:$B1000))),Y$1,"""")"),"")</f>
        <v/>
      </c>
      <c r="Z337" s="33" t="str">
        <f>IFERROR(__xludf.DUMMYFUNCTION("IF(IF(Z$1="""","""",REGEXMATCH(LOWER($E337),XLOOKUP(Z$1,Metadata!$A$2:$A1000,Metadata!$B$2:$B1000))),Z$1,"""")"),"")</f>
        <v/>
      </c>
      <c r="AA337" s="33" t="str">
        <f>IFERROR(__xludf.DUMMYFUNCTION("IF(AA$1="""","""",REGEXMATCH(LOWER($E337),XLOOKUP(AA$1,Metadata!$A$2:$A1000,Metadata!$B$2:$B1000)))"),"")</f>
        <v/>
      </c>
    </row>
    <row r="338">
      <c r="A338" s="33" t="str">
        <f>IFERROR(__xludf.DUMMYFUNCTION("""COMPUTED_VALUE"""),"Choking Vines")</f>
        <v>Choking Vines</v>
      </c>
      <c r="B338" s="33" t="str">
        <f t="array" ref="B338:I338">XLOOKUP($A338,Cards!$A$2:$A1000,Cards!$B$2:$I1000,"")</f>
        <v/>
      </c>
      <c r="C338" s="33">
        <v>2.0</v>
      </c>
      <c r="D338" s="33" t="s">
        <v>1842</v>
      </c>
      <c r="E338" s="33" t="s">
        <v>1843</v>
      </c>
      <c r="F338" s="33" t="s">
        <v>1844</v>
      </c>
      <c r="G338" s="33">
        <v>3.0</v>
      </c>
      <c r="H338" s="33" t="s">
        <v>1845</v>
      </c>
      <c r="I338" s="33" t="s">
        <v>26</v>
      </c>
      <c r="J338" s="33">
        <f>IFERROR(__xludf.DUMMYFUNCTION("LEN(REGEXREPLACE(XLOOKUP($A338,Cards!$A$2:$A1000,Cards!$H$2:$H1000,""""),"",\s"",""""))"),1.0)</f>
        <v>1</v>
      </c>
      <c r="K338" s="33" t="str">
        <f t="shared" si="1"/>
        <v>       Control   Empty-Crystal  Ambush   </v>
      </c>
      <c r="L338" s="33" t="str">
        <f>IFERROR(__xludf.DUMMYFUNCTION("IF(IF(L$1="""","""",REGEXMATCH(LOWER($E338),XLOOKUP(L$1,Metadata!$A$2:$A1000,Metadata!$B$2:$B1000))),L$1,"""")"),"")</f>
        <v/>
      </c>
      <c r="M338" s="33" t="str">
        <f>IFERROR(__xludf.DUMMYFUNCTION("IF(IF(M$1="""","""",REGEXMATCH(LOWER($E338),XLOOKUP(M$1,Metadata!$A$2:$A1000,Metadata!$B$2:$B1000))),M$1,"""")"),"")</f>
        <v/>
      </c>
      <c r="N338" s="33" t="str">
        <f>IFERROR(__xludf.DUMMYFUNCTION("IF(IF(N$1="""","""",REGEXMATCH(LOWER($E338),XLOOKUP(N$1,Metadata!$A$2:$A1000,Metadata!$B$2:$B1000))),N$1,"""")"),"")</f>
        <v/>
      </c>
      <c r="O338" s="33" t="str">
        <f>IFERROR(__xludf.DUMMYFUNCTION("IF(IF(O$1="""","""",REGEXMATCH(LOWER($E338),XLOOKUP(O$1,Metadata!$A$2:$A1000,Metadata!$B$2:$B1000))),O$1,"""")"),"")</f>
        <v/>
      </c>
      <c r="P338" s="33" t="str">
        <f>IFERROR(__xludf.DUMMYFUNCTION("IF(IF(P$1="""","""",REGEXMATCH(LOWER($E338),XLOOKUP(P$1,Metadata!$A$2:$A1000,Metadata!$B$2:$B1000))),P$1,"""")"),"")</f>
        <v/>
      </c>
      <c r="Q338" s="33" t="str">
        <f>IFERROR(__xludf.DUMMYFUNCTION("IF(IF(Q$1="""","""",REGEXMATCH(LOWER($E338),XLOOKUP(Q$1,Metadata!$A$2:$A1000,Metadata!$B$2:$B1000))),Q$1,"""")"),"")</f>
        <v/>
      </c>
      <c r="R338" s="33" t="str">
        <f>IFERROR(__xludf.DUMMYFUNCTION("IF(IF(R$1="""","""",REGEXMATCH(LOWER($E338),XLOOKUP(R$1,Metadata!$A$2:$A1000,Metadata!$B$2:$B1000))),R$1,"""")"),"")</f>
        <v/>
      </c>
      <c r="S338" s="33" t="str">
        <f>IFERROR(__xludf.DUMMYFUNCTION("IF(IF(S$1="""","""",REGEXMATCH(LOWER($E338),XLOOKUP(S$1,Metadata!$A$2:$A1000,Metadata!$B$2:$B1000))),S$1,"""")"),"Control")</f>
        <v>Control</v>
      </c>
      <c r="T338" s="33" t="str">
        <f>IFERROR(__xludf.DUMMYFUNCTION("IF(IF(T$1="""","""",REGEXMATCH(LOWER($E338),XLOOKUP(T$1,Metadata!$A$2:$A1000,Metadata!$B$2:$B1000))),T$1,"""")"),"")</f>
        <v/>
      </c>
      <c r="U338" s="33" t="str">
        <f>IFERROR(__xludf.DUMMYFUNCTION("IF(IF(U$1="""","""",REGEXMATCH(LOWER($E338),XLOOKUP(U$1,Metadata!$A$2:$A1000,Metadata!$B$2:$B1000))),U$1,"""")"),"")</f>
        <v/>
      </c>
      <c r="V338" s="33" t="str">
        <f>IFERROR(__xludf.DUMMYFUNCTION("IF(IF(V$1="""","""",REGEXMATCH(LOWER($E338),XLOOKUP(V$1,Metadata!$A$2:$A1000,Metadata!$B$2:$B1000))),V$1,"""")"),"Empty-Crystal")</f>
        <v>Empty-Crystal</v>
      </c>
      <c r="W338" s="33" t="str">
        <f>IFERROR(__xludf.DUMMYFUNCTION("IF(IF(W$1="""","""",REGEXMATCH(LOWER($E338),XLOOKUP(W$1,Metadata!$A$2:$A1000,Metadata!$B$2:$B1000))),W$1,"""")"),"")</f>
        <v/>
      </c>
      <c r="X338" s="33" t="str">
        <f>IFERROR(__xludf.DUMMYFUNCTION("IF(IF(X$1="""","""",REGEXMATCH(LOWER($E338),XLOOKUP(X$1,Metadata!$A$2:$A1000,Metadata!$B$2:$B1000))),X$1,"""")"),"Ambush")</f>
        <v>Ambush</v>
      </c>
      <c r="Y338" s="33" t="str">
        <f>IFERROR(__xludf.DUMMYFUNCTION("IF(IF(Y$1="""","""",REGEXMATCH(LOWER($E338),XLOOKUP(Y$1,Metadata!$A$2:$A1000,Metadata!$B$2:$B1000))),Y$1,"""")"),"")</f>
        <v/>
      </c>
      <c r="Z338" s="33" t="str">
        <f>IFERROR(__xludf.DUMMYFUNCTION("IF(IF(Z$1="""","""",REGEXMATCH(LOWER($E338),XLOOKUP(Z$1,Metadata!$A$2:$A1000,Metadata!$B$2:$B1000))),Z$1,"""")"),"")</f>
        <v/>
      </c>
      <c r="AA338" s="33" t="str">
        <f>IFERROR(__xludf.DUMMYFUNCTION("IF(AA$1="""","""",REGEXMATCH(LOWER($E338),XLOOKUP(AA$1,Metadata!$A$2:$A1000,Metadata!$B$2:$B1000)))"),"")</f>
        <v/>
      </c>
    </row>
    <row r="339">
      <c r="A339" s="33" t="str">
        <f>IFERROR(__xludf.DUMMYFUNCTION("""COMPUTED_VALUE"""),"Heathborn Protector")</f>
        <v>Heathborn Protector</v>
      </c>
      <c r="B339" s="33" t="str">
        <f t="array" ref="B339:I339">XLOOKUP($A339,Cards!$A$2:$A1000,Cards!$B$2:$I1000,"")</f>
        <v>Nature</v>
      </c>
      <c r="C339" s="33">
        <v>1.0</v>
      </c>
      <c r="D339" s="33" t="s">
        <v>40</v>
      </c>
      <c r="E339" s="33"/>
      <c r="F339" s="33"/>
      <c r="G339" s="33">
        <v>6.0</v>
      </c>
      <c r="H339" s="33" t="s">
        <v>1847</v>
      </c>
      <c r="I339" s="33" t="s">
        <v>26</v>
      </c>
      <c r="J339" s="33">
        <f>IFERROR(__xludf.DUMMYFUNCTION("LEN(REGEXREPLACE(XLOOKUP($A339,Cards!$A$2:$A1000,Cards!$H$2:$H1000,""""),"",\s"",""""))"),6.0)</f>
        <v>6</v>
      </c>
      <c r="K339" s="33" t="str">
        <f t="shared" si="1"/>
        <v>               </v>
      </c>
      <c r="L339" s="33" t="str">
        <f>IFERROR(__xludf.DUMMYFUNCTION("IF(IF(L$1="""","""",REGEXMATCH(LOWER($E339),XLOOKUP(L$1,Metadata!$A$2:$A1000,Metadata!$B$2:$B1000))),L$1,"""")"),"")</f>
        <v/>
      </c>
      <c r="M339" s="33" t="str">
        <f>IFERROR(__xludf.DUMMYFUNCTION("IF(IF(M$1="""","""",REGEXMATCH(LOWER($E339),XLOOKUP(M$1,Metadata!$A$2:$A1000,Metadata!$B$2:$B1000))),M$1,"""")"),"")</f>
        <v/>
      </c>
      <c r="N339" s="33" t="str">
        <f>IFERROR(__xludf.DUMMYFUNCTION("IF(IF(N$1="""","""",REGEXMATCH(LOWER($E339),XLOOKUP(N$1,Metadata!$A$2:$A1000,Metadata!$B$2:$B1000))),N$1,"""")"),"")</f>
        <v/>
      </c>
      <c r="O339" s="33" t="str">
        <f>IFERROR(__xludf.DUMMYFUNCTION("IF(IF(O$1="""","""",REGEXMATCH(LOWER($E339),XLOOKUP(O$1,Metadata!$A$2:$A1000,Metadata!$B$2:$B1000))),O$1,"""")"),"")</f>
        <v/>
      </c>
      <c r="P339" s="33" t="str">
        <f>IFERROR(__xludf.DUMMYFUNCTION("IF(IF(P$1="""","""",REGEXMATCH(LOWER($E339),XLOOKUP(P$1,Metadata!$A$2:$A1000,Metadata!$B$2:$B1000))),P$1,"""")"),"")</f>
        <v/>
      </c>
      <c r="Q339" s="33" t="str">
        <f>IFERROR(__xludf.DUMMYFUNCTION("IF(IF(Q$1="""","""",REGEXMATCH(LOWER($E339),XLOOKUP(Q$1,Metadata!$A$2:$A1000,Metadata!$B$2:$B1000))),Q$1,"""")"),"")</f>
        <v/>
      </c>
      <c r="R339" s="33" t="str">
        <f>IFERROR(__xludf.DUMMYFUNCTION("IF(IF(R$1="""","""",REGEXMATCH(LOWER($E339),XLOOKUP(R$1,Metadata!$A$2:$A1000,Metadata!$B$2:$B1000))),R$1,"""")"),"")</f>
        <v/>
      </c>
      <c r="S339" s="33" t="str">
        <f>IFERROR(__xludf.DUMMYFUNCTION("IF(IF(S$1="""","""",REGEXMATCH(LOWER($E339),XLOOKUP(S$1,Metadata!$A$2:$A1000,Metadata!$B$2:$B1000))),S$1,"""")"),"")</f>
        <v/>
      </c>
      <c r="T339" s="33" t="str">
        <f>IFERROR(__xludf.DUMMYFUNCTION("IF(IF(T$1="""","""",REGEXMATCH(LOWER($E339),XLOOKUP(T$1,Metadata!$A$2:$A1000,Metadata!$B$2:$B1000))),T$1,"""")"),"")</f>
        <v/>
      </c>
      <c r="U339" s="33" t="str">
        <f>IFERROR(__xludf.DUMMYFUNCTION("IF(IF(U$1="""","""",REGEXMATCH(LOWER($E339),XLOOKUP(U$1,Metadata!$A$2:$A1000,Metadata!$B$2:$B1000))),U$1,"""")"),"")</f>
        <v/>
      </c>
      <c r="V339" s="33" t="str">
        <f>IFERROR(__xludf.DUMMYFUNCTION("IF(IF(V$1="""","""",REGEXMATCH(LOWER($E339),XLOOKUP(V$1,Metadata!$A$2:$A1000,Metadata!$B$2:$B1000))),V$1,"""")"),"")</f>
        <v/>
      </c>
      <c r="W339" s="33" t="str">
        <f>IFERROR(__xludf.DUMMYFUNCTION("IF(IF(W$1="""","""",REGEXMATCH(LOWER($E339),XLOOKUP(W$1,Metadata!$A$2:$A1000,Metadata!$B$2:$B1000))),W$1,"""")"),"")</f>
        <v/>
      </c>
      <c r="X339" s="33" t="str">
        <f>IFERROR(__xludf.DUMMYFUNCTION("IF(IF(X$1="""","""",REGEXMATCH(LOWER($E339),XLOOKUP(X$1,Metadata!$A$2:$A1000,Metadata!$B$2:$B1000))),X$1,"""")"),"")</f>
        <v/>
      </c>
      <c r="Y339" s="33" t="str">
        <f>IFERROR(__xludf.DUMMYFUNCTION("IF(IF(Y$1="""","""",REGEXMATCH(LOWER($E339),XLOOKUP(Y$1,Metadata!$A$2:$A1000,Metadata!$B$2:$B1000))),Y$1,"""")"),"")</f>
        <v/>
      </c>
      <c r="Z339" s="33" t="str">
        <f>IFERROR(__xludf.DUMMYFUNCTION("IF(IF(Z$1="""","""",REGEXMATCH(LOWER($E339),XLOOKUP(Z$1,Metadata!$A$2:$A1000,Metadata!$B$2:$B1000))),Z$1,"""")"),"")</f>
        <v/>
      </c>
      <c r="AA339" s="33" t="str">
        <f>IFERROR(__xludf.DUMMYFUNCTION("IF(AA$1="""","""",REGEXMATCH(LOWER($E339),XLOOKUP(AA$1,Metadata!$A$2:$A1000,Metadata!$B$2:$B1000)))"),"")</f>
        <v/>
      </c>
    </row>
    <row r="340">
      <c r="A340" s="33" t="str">
        <f>IFERROR(__xludf.DUMMYFUNCTION("""COMPUTED_VALUE"""),"Crusader of the Wastelands")</f>
        <v>Crusader of the Wastelands</v>
      </c>
      <c r="B340" s="33" t="str">
        <f t="array" ref="B340:I340">XLOOKUP($A340,Cards!$A$2:$A1000,Cards!$B$2:$I1000,"")</f>
        <v/>
      </c>
      <c r="C340" s="33">
        <v>2.0</v>
      </c>
      <c r="D340" s="33" t="s">
        <v>1521</v>
      </c>
      <c r="E340" s="33" t="s">
        <v>249</v>
      </c>
      <c r="F340" s="33" t="s">
        <v>1849</v>
      </c>
      <c r="G340" s="33">
        <v>2.0</v>
      </c>
      <c r="H340" s="33" t="s">
        <v>1850</v>
      </c>
      <c r="I340" s="33" t="s">
        <v>26</v>
      </c>
      <c r="J340" s="33">
        <f>IFERROR(__xludf.DUMMYFUNCTION("LEN(REGEXREPLACE(XLOOKUP($A340,Cards!$A$2:$A1000,Cards!$H$2:$H1000,""""),"",\s"",""""))"),3.0)</f>
        <v>3</v>
      </c>
      <c r="K340" s="33" t="str">
        <f t="shared" si="1"/>
        <v>               </v>
      </c>
      <c r="L340" s="33" t="str">
        <f>IFERROR(__xludf.DUMMYFUNCTION("IF(IF(L$1="""","""",REGEXMATCH(LOWER($E340),XLOOKUP(L$1,Metadata!$A$2:$A1000,Metadata!$B$2:$B1000))),L$1,"""")"),"")</f>
        <v/>
      </c>
      <c r="M340" s="33" t="str">
        <f>IFERROR(__xludf.DUMMYFUNCTION("IF(IF(M$1="""","""",REGEXMATCH(LOWER($E340),XLOOKUP(M$1,Metadata!$A$2:$A1000,Metadata!$B$2:$B1000))),M$1,"""")"),"")</f>
        <v/>
      </c>
      <c r="N340" s="33" t="str">
        <f>IFERROR(__xludf.DUMMYFUNCTION("IF(IF(N$1="""","""",REGEXMATCH(LOWER($E340),XLOOKUP(N$1,Metadata!$A$2:$A1000,Metadata!$B$2:$B1000))),N$1,"""")"),"")</f>
        <v/>
      </c>
      <c r="O340" s="33" t="str">
        <f>IFERROR(__xludf.DUMMYFUNCTION("IF(IF(O$1="""","""",REGEXMATCH(LOWER($E340),XLOOKUP(O$1,Metadata!$A$2:$A1000,Metadata!$B$2:$B1000))),O$1,"""")"),"")</f>
        <v/>
      </c>
      <c r="P340" s="33" t="str">
        <f>IFERROR(__xludf.DUMMYFUNCTION("IF(IF(P$1="""","""",REGEXMATCH(LOWER($E340),XLOOKUP(P$1,Metadata!$A$2:$A1000,Metadata!$B$2:$B1000))),P$1,"""")"),"")</f>
        <v/>
      </c>
      <c r="Q340" s="33" t="str">
        <f>IFERROR(__xludf.DUMMYFUNCTION("IF(IF(Q$1="""","""",REGEXMATCH(LOWER($E340),XLOOKUP(Q$1,Metadata!$A$2:$A1000,Metadata!$B$2:$B1000))),Q$1,"""")"),"")</f>
        <v/>
      </c>
      <c r="R340" s="33" t="str">
        <f>IFERROR(__xludf.DUMMYFUNCTION("IF(IF(R$1="""","""",REGEXMATCH(LOWER($E340),XLOOKUP(R$1,Metadata!$A$2:$A1000,Metadata!$B$2:$B1000))),R$1,"""")"),"")</f>
        <v/>
      </c>
      <c r="S340" s="33" t="str">
        <f>IFERROR(__xludf.DUMMYFUNCTION("IF(IF(S$1="""","""",REGEXMATCH(LOWER($E340),XLOOKUP(S$1,Metadata!$A$2:$A1000,Metadata!$B$2:$B1000))),S$1,"""")"),"")</f>
        <v/>
      </c>
      <c r="T340" s="33" t="str">
        <f>IFERROR(__xludf.DUMMYFUNCTION("IF(IF(T$1="""","""",REGEXMATCH(LOWER($E340),XLOOKUP(T$1,Metadata!$A$2:$A1000,Metadata!$B$2:$B1000))),T$1,"""")"),"")</f>
        <v/>
      </c>
      <c r="U340" s="33" t="str">
        <f>IFERROR(__xludf.DUMMYFUNCTION("IF(IF(U$1="""","""",REGEXMATCH(LOWER($E340),XLOOKUP(U$1,Metadata!$A$2:$A1000,Metadata!$B$2:$B1000))),U$1,"""")"),"")</f>
        <v/>
      </c>
      <c r="V340" s="33" t="str">
        <f>IFERROR(__xludf.DUMMYFUNCTION("IF(IF(V$1="""","""",REGEXMATCH(LOWER($E340),XLOOKUP(V$1,Metadata!$A$2:$A1000,Metadata!$B$2:$B1000))),V$1,"""")"),"")</f>
        <v/>
      </c>
      <c r="W340" s="33" t="str">
        <f>IFERROR(__xludf.DUMMYFUNCTION("IF(IF(W$1="""","""",REGEXMATCH(LOWER($E340),XLOOKUP(W$1,Metadata!$A$2:$A1000,Metadata!$B$2:$B1000))),W$1,"""")"),"")</f>
        <v/>
      </c>
      <c r="X340" s="33" t="str">
        <f>IFERROR(__xludf.DUMMYFUNCTION("IF(IF(X$1="""","""",REGEXMATCH(LOWER($E340),XLOOKUP(X$1,Metadata!$A$2:$A1000,Metadata!$B$2:$B1000))),X$1,"""")"),"")</f>
        <v/>
      </c>
      <c r="Y340" s="33" t="str">
        <f>IFERROR(__xludf.DUMMYFUNCTION("IF(IF(Y$1="""","""",REGEXMATCH(LOWER($E340),XLOOKUP(Y$1,Metadata!$A$2:$A1000,Metadata!$B$2:$B1000))),Y$1,"""")"),"")</f>
        <v/>
      </c>
      <c r="Z340" s="33" t="str">
        <f>IFERROR(__xludf.DUMMYFUNCTION("IF(IF(Z$1="""","""",REGEXMATCH(LOWER($E340),XLOOKUP(Z$1,Metadata!$A$2:$A1000,Metadata!$B$2:$B1000))),Z$1,"""")"),"")</f>
        <v/>
      </c>
      <c r="AA340" s="33" t="str">
        <f>IFERROR(__xludf.DUMMYFUNCTION("IF(AA$1="""","""",REGEXMATCH(LOWER($E340),XLOOKUP(AA$1,Metadata!$A$2:$A1000,Metadata!$B$2:$B1000)))"),"")</f>
        <v/>
      </c>
    </row>
    <row r="341">
      <c r="A341" s="33" t="str">
        <f>IFERROR(__xludf.DUMMYFUNCTION("""COMPUTED_VALUE"""),"Crystalbane Glutton")</f>
        <v>Crystalbane Glutton</v>
      </c>
      <c r="B341" s="33" t="str">
        <f t="array" ref="B341:I341">XLOOKUP($A341,Cards!$A$2:$A1000,Cards!$B$2:$I1000,"")</f>
        <v/>
      </c>
      <c r="C341" s="33">
        <v>2.0</v>
      </c>
      <c r="D341" s="33" t="s">
        <v>1802</v>
      </c>
      <c r="E341" s="33" t="s">
        <v>1852</v>
      </c>
      <c r="F341" s="33" t="s">
        <v>1853</v>
      </c>
      <c r="G341" s="33">
        <v>9.0</v>
      </c>
      <c r="H341" s="33" t="s">
        <v>1854</v>
      </c>
      <c r="I341" s="33" t="s">
        <v>62</v>
      </c>
      <c r="J341" s="33">
        <f>IFERROR(__xludf.DUMMYFUNCTION("LEN(REGEXREPLACE(XLOOKUP($A341,Cards!$A$2:$A1000,Cards!$H$2:$H1000,""""),"",\s"",""""))"),6.0)</f>
        <v>6</v>
      </c>
      <c r="K341" s="33" t="str">
        <f t="shared" si="1"/>
        <v>       Control   Empty-Crystal  Ambush   </v>
      </c>
      <c r="L341" s="33" t="str">
        <f>IFERROR(__xludf.DUMMYFUNCTION("IF(IF(L$1="""","""",REGEXMATCH(LOWER($E341),XLOOKUP(L$1,Metadata!$A$2:$A1000,Metadata!$B$2:$B1000))),L$1,"""")"),"")</f>
        <v/>
      </c>
      <c r="M341" s="33" t="str">
        <f>IFERROR(__xludf.DUMMYFUNCTION("IF(IF(M$1="""","""",REGEXMATCH(LOWER($E341),XLOOKUP(M$1,Metadata!$A$2:$A1000,Metadata!$B$2:$B1000))),M$1,"""")"),"")</f>
        <v/>
      </c>
      <c r="N341" s="33" t="str">
        <f>IFERROR(__xludf.DUMMYFUNCTION("IF(IF(N$1="""","""",REGEXMATCH(LOWER($E341),XLOOKUP(N$1,Metadata!$A$2:$A1000,Metadata!$B$2:$B1000))),N$1,"""")"),"")</f>
        <v/>
      </c>
      <c r="O341" s="33" t="str">
        <f>IFERROR(__xludf.DUMMYFUNCTION("IF(IF(O$1="""","""",REGEXMATCH(LOWER($E341),XLOOKUP(O$1,Metadata!$A$2:$A1000,Metadata!$B$2:$B1000))),O$1,"""")"),"")</f>
        <v/>
      </c>
      <c r="P341" s="33" t="str">
        <f>IFERROR(__xludf.DUMMYFUNCTION("IF(IF(P$1="""","""",REGEXMATCH(LOWER($E341),XLOOKUP(P$1,Metadata!$A$2:$A1000,Metadata!$B$2:$B1000))),P$1,"""")"),"")</f>
        <v/>
      </c>
      <c r="Q341" s="33" t="str">
        <f>IFERROR(__xludf.DUMMYFUNCTION("IF(IF(Q$1="""","""",REGEXMATCH(LOWER($E341),XLOOKUP(Q$1,Metadata!$A$2:$A1000,Metadata!$B$2:$B1000))),Q$1,"""")"),"")</f>
        <v/>
      </c>
      <c r="R341" s="33" t="str">
        <f>IFERROR(__xludf.DUMMYFUNCTION("IF(IF(R$1="""","""",REGEXMATCH(LOWER($E341),XLOOKUP(R$1,Metadata!$A$2:$A1000,Metadata!$B$2:$B1000))),R$1,"""")"),"")</f>
        <v/>
      </c>
      <c r="S341" s="33" t="str">
        <f>IFERROR(__xludf.DUMMYFUNCTION("IF(IF(S$1="""","""",REGEXMATCH(LOWER($E341),XLOOKUP(S$1,Metadata!$A$2:$A1000,Metadata!$B$2:$B1000))),S$1,"""")"),"Control")</f>
        <v>Control</v>
      </c>
      <c r="T341" s="33" t="str">
        <f>IFERROR(__xludf.DUMMYFUNCTION("IF(IF(T$1="""","""",REGEXMATCH(LOWER($E341),XLOOKUP(T$1,Metadata!$A$2:$A1000,Metadata!$B$2:$B1000))),T$1,"""")"),"")</f>
        <v/>
      </c>
      <c r="U341" s="33" t="str">
        <f>IFERROR(__xludf.DUMMYFUNCTION("IF(IF(U$1="""","""",REGEXMATCH(LOWER($E341),XLOOKUP(U$1,Metadata!$A$2:$A1000,Metadata!$B$2:$B1000))),U$1,"""")"),"")</f>
        <v/>
      </c>
      <c r="V341" s="33" t="str">
        <f>IFERROR(__xludf.DUMMYFUNCTION("IF(IF(V$1="""","""",REGEXMATCH(LOWER($E341),XLOOKUP(V$1,Metadata!$A$2:$A1000,Metadata!$B$2:$B1000))),V$1,"""")"),"Empty-Crystal")</f>
        <v>Empty-Crystal</v>
      </c>
      <c r="W341" s="33" t="str">
        <f>IFERROR(__xludf.DUMMYFUNCTION("IF(IF(W$1="""","""",REGEXMATCH(LOWER($E341),XLOOKUP(W$1,Metadata!$A$2:$A1000,Metadata!$B$2:$B1000))),W$1,"""")"),"")</f>
        <v/>
      </c>
      <c r="X341" s="33" t="str">
        <f>IFERROR(__xludf.DUMMYFUNCTION("IF(IF(X$1="""","""",REGEXMATCH(LOWER($E341),XLOOKUP(X$1,Metadata!$A$2:$A1000,Metadata!$B$2:$B1000))),X$1,"""")"),"Ambush")</f>
        <v>Ambush</v>
      </c>
      <c r="Y341" s="33" t="str">
        <f>IFERROR(__xludf.DUMMYFUNCTION("IF(IF(Y$1="""","""",REGEXMATCH(LOWER($E341),XLOOKUP(Y$1,Metadata!$A$2:$A1000,Metadata!$B$2:$B1000))),Y$1,"""")"),"")</f>
        <v/>
      </c>
      <c r="Z341" s="33" t="str">
        <f>IFERROR(__xludf.DUMMYFUNCTION("IF(IF(Z$1="""","""",REGEXMATCH(LOWER($E341),XLOOKUP(Z$1,Metadata!$A$2:$A1000,Metadata!$B$2:$B1000))),Z$1,"""")"),"")</f>
        <v/>
      </c>
      <c r="AA341" s="33" t="str">
        <f>IFERROR(__xludf.DUMMYFUNCTION("IF(AA$1="""","""",REGEXMATCH(LOWER($E341),XLOOKUP(AA$1,Metadata!$A$2:$A1000,Metadata!$B$2:$B1000)))"),"")</f>
        <v/>
      </c>
    </row>
    <row r="342">
      <c r="A342" s="33" t="str">
        <f>IFERROR(__xludf.DUMMYFUNCTION("""COMPUTED_VALUE"""),"Crystalline Parasite")</f>
        <v>Crystalline Parasite</v>
      </c>
      <c r="B342" s="33" t="str">
        <f t="array" ref="B342:I342">XLOOKUP($A342,Cards!$A$2:$A1000,Cards!$B$2:$I1000,"")</f>
        <v/>
      </c>
      <c r="C342" s="33">
        <v>2.0</v>
      </c>
      <c r="D342" s="33" t="s">
        <v>1856</v>
      </c>
      <c r="E342" s="33" t="s">
        <v>1857</v>
      </c>
      <c r="F342" s="33" t="s">
        <v>1858</v>
      </c>
      <c r="G342" s="33">
        <v>6.0</v>
      </c>
      <c r="H342" s="33" t="s">
        <v>1859</v>
      </c>
      <c r="I342" s="33" t="s">
        <v>26</v>
      </c>
      <c r="J342" s="33">
        <f>IFERROR(__xludf.DUMMYFUNCTION("LEN(REGEXREPLACE(XLOOKUP($A342,Cards!$A$2:$A1000,Cards!$H$2:$H1000,""""),"",\s"",""""))"),4.0)</f>
        <v>4</v>
      </c>
      <c r="K342" s="33" t="str">
        <f t="shared" si="1"/>
        <v>      Ramp Control   Empty-Crystal  Ambush   </v>
      </c>
      <c r="L342" s="33" t="str">
        <f>IFERROR(__xludf.DUMMYFUNCTION("IF(IF(L$1="""","""",REGEXMATCH(LOWER($E342),XLOOKUP(L$1,Metadata!$A$2:$A1000,Metadata!$B$2:$B1000))),L$1,"""")"),"")</f>
        <v/>
      </c>
      <c r="M342" s="33" t="str">
        <f>IFERROR(__xludf.DUMMYFUNCTION("IF(IF(M$1="""","""",REGEXMATCH(LOWER($E342),XLOOKUP(M$1,Metadata!$A$2:$A1000,Metadata!$B$2:$B1000))),M$1,"""")"),"")</f>
        <v/>
      </c>
      <c r="N342" s="33" t="str">
        <f>IFERROR(__xludf.DUMMYFUNCTION("IF(IF(N$1="""","""",REGEXMATCH(LOWER($E342),XLOOKUP(N$1,Metadata!$A$2:$A1000,Metadata!$B$2:$B1000))),N$1,"""")"),"")</f>
        <v/>
      </c>
      <c r="O342" s="33" t="str">
        <f>IFERROR(__xludf.DUMMYFUNCTION("IF(IF(O$1="""","""",REGEXMATCH(LOWER($E342),XLOOKUP(O$1,Metadata!$A$2:$A1000,Metadata!$B$2:$B1000))),O$1,"""")"),"")</f>
        <v/>
      </c>
      <c r="P342" s="33" t="str">
        <f>IFERROR(__xludf.DUMMYFUNCTION("IF(IF(P$1="""","""",REGEXMATCH(LOWER($E342),XLOOKUP(P$1,Metadata!$A$2:$A1000,Metadata!$B$2:$B1000))),P$1,"""")"),"")</f>
        <v/>
      </c>
      <c r="Q342" s="33" t="str">
        <f>IFERROR(__xludf.DUMMYFUNCTION("IF(IF(Q$1="""","""",REGEXMATCH(LOWER($E342),XLOOKUP(Q$1,Metadata!$A$2:$A1000,Metadata!$B$2:$B1000))),Q$1,"""")"),"")</f>
        <v/>
      </c>
      <c r="R342" s="33" t="str">
        <f>IFERROR(__xludf.DUMMYFUNCTION("IF(IF(R$1="""","""",REGEXMATCH(LOWER($E342),XLOOKUP(R$1,Metadata!$A$2:$A1000,Metadata!$B$2:$B1000))),R$1,"""")"),"Ramp")</f>
        <v>Ramp</v>
      </c>
      <c r="S342" s="33" t="str">
        <f>IFERROR(__xludf.DUMMYFUNCTION("IF(IF(S$1="""","""",REGEXMATCH(LOWER($E342),XLOOKUP(S$1,Metadata!$A$2:$A1000,Metadata!$B$2:$B1000))),S$1,"""")"),"Control")</f>
        <v>Control</v>
      </c>
      <c r="T342" s="33" t="str">
        <f>IFERROR(__xludf.DUMMYFUNCTION("IF(IF(T$1="""","""",REGEXMATCH(LOWER($E342),XLOOKUP(T$1,Metadata!$A$2:$A1000,Metadata!$B$2:$B1000))),T$1,"""")"),"")</f>
        <v/>
      </c>
      <c r="U342" s="33" t="str">
        <f>IFERROR(__xludf.DUMMYFUNCTION("IF(IF(U$1="""","""",REGEXMATCH(LOWER($E342),XLOOKUP(U$1,Metadata!$A$2:$A1000,Metadata!$B$2:$B1000))),U$1,"""")"),"")</f>
        <v/>
      </c>
      <c r="V342" s="33" t="str">
        <f>IFERROR(__xludf.DUMMYFUNCTION("IF(IF(V$1="""","""",REGEXMATCH(LOWER($E342),XLOOKUP(V$1,Metadata!$A$2:$A1000,Metadata!$B$2:$B1000))),V$1,"""")"),"Empty-Crystal")</f>
        <v>Empty-Crystal</v>
      </c>
      <c r="W342" s="33" t="str">
        <f>IFERROR(__xludf.DUMMYFUNCTION("IF(IF(W$1="""","""",REGEXMATCH(LOWER($E342),XLOOKUP(W$1,Metadata!$A$2:$A1000,Metadata!$B$2:$B1000))),W$1,"""")"),"")</f>
        <v/>
      </c>
      <c r="X342" s="33" t="str">
        <f>IFERROR(__xludf.DUMMYFUNCTION("IF(IF(X$1="""","""",REGEXMATCH(LOWER($E342),XLOOKUP(X$1,Metadata!$A$2:$A1000,Metadata!$B$2:$B1000))),X$1,"""")"),"Ambush")</f>
        <v>Ambush</v>
      </c>
      <c r="Y342" s="33" t="str">
        <f>IFERROR(__xludf.DUMMYFUNCTION("IF(IF(Y$1="""","""",REGEXMATCH(LOWER($E342),XLOOKUP(Y$1,Metadata!$A$2:$A1000,Metadata!$B$2:$B1000))),Y$1,"""")"),"")</f>
        <v/>
      </c>
      <c r="Z342" s="33" t="str">
        <f>IFERROR(__xludf.DUMMYFUNCTION("IF(IF(Z$1="""","""",REGEXMATCH(LOWER($E342),XLOOKUP(Z$1,Metadata!$A$2:$A1000,Metadata!$B$2:$B1000))),Z$1,"""")"),"")</f>
        <v/>
      </c>
      <c r="AA342" s="33" t="str">
        <f>IFERROR(__xludf.DUMMYFUNCTION("IF(AA$1="""","""",REGEXMATCH(LOWER($E342),XLOOKUP(AA$1,Metadata!$A$2:$A1000,Metadata!$B$2:$B1000)))"),"")</f>
        <v/>
      </c>
    </row>
    <row r="343">
      <c r="A343" s="33" t="str">
        <f>IFERROR(__xludf.DUMMYFUNCTION("""COMPUTED_VALUE"""),"Fortune's Favorite")</f>
        <v>Fortune's Favorite</v>
      </c>
      <c r="B343" s="33" t="str">
        <f t="array" ref="B343:I343">XLOOKUP($A343,Cards!$A$2:$A1000,Cards!$B$2:$I1000,"")</f>
        <v/>
      </c>
      <c r="C343" s="33">
        <v>2.0</v>
      </c>
      <c r="D343" s="33"/>
      <c r="E343" s="33" t="s">
        <v>1861</v>
      </c>
      <c r="F343" s="33" t="s">
        <v>1862</v>
      </c>
      <c r="G343" s="33">
        <v>2.0</v>
      </c>
      <c r="H343" s="33" t="s">
        <v>1850</v>
      </c>
      <c r="I343" s="33" t="s">
        <v>62</v>
      </c>
      <c r="J343" s="33">
        <f>IFERROR(__xludf.DUMMYFUNCTION("LEN(REGEXREPLACE(XLOOKUP($A343,Cards!$A$2:$A1000,Cards!$H$2:$H1000,""""),"",\s"",""""))"),3.0)</f>
        <v>3</v>
      </c>
      <c r="K343" s="33" t="str">
        <f t="shared" si="1"/>
        <v>               </v>
      </c>
      <c r="L343" s="33" t="str">
        <f>IFERROR(__xludf.DUMMYFUNCTION("IF(IF(L$1="""","""",REGEXMATCH(LOWER($E343),XLOOKUP(L$1,Metadata!$A$2:$A1000,Metadata!$B$2:$B1000))),L$1,"""")"),"")</f>
        <v/>
      </c>
      <c r="M343" s="33" t="str">
        <f>IFERROR(__xludf.DUMMYFUNCTION("IF(IF(M$1="""","""",REGEXMATCH(LOWER($E343),XLOOKUP(M$1,Metadata!$A$2:$A1000,Metadata!$B$2:$B1000))),M$1,"""")"),"")</f>
        <v/>
      </c>
      <c r="N343" s="33" t="str">
        <f>IFERROR(__xludf.DUMMYFUNCTION("IF(IF(N$1="""","""",REGEXMATCH(LOWER($E343),XLOOKUP(N$1,Metadata!$A$2:$A1000,Metadata!$B$2:$B1000))),N$1,"""")"),"")</f>
        <v/>
      </c>
      <c r="O343" s="33" t="str">
        <f>IFERROR(__xludf.DUMMYFUNCTION("IF(IF(O$1="""","""",REGEXMATCH(LOWER($E343),XLOOKUP(O$1,Metadata!$A$2:$A1000,Metadata!$B$2:$B1000))),O$1,"""")"),"")</f>
        <v/>
      </c>
      <c r="P343" s="33" t="str">
        <f>IFERROR(__xludf.DUMMYFUNCTION("IF(IF(P$1="""","""",REGEXMATCH(LOWER($E343),XLOOKUP(P$1,Metadata!$A$2:$A1000,Metadata!$B$2:$B1000))),P$1,"""")"),"")</f>
        <v/>
      </c>
      <c r="Q343" s="33" t="str">
        <f>IFERROR(__xludf.DUMMYFUNCTION("IF(IF(Q$1="""","""",REGEXMATCH(LOWER($E343),XLOOKUP(Q$1,Metadata!$A$2:$A1000,Metadata!$B$2:$B1000))),Q$1,"""")"),"")</f>
        <v/>
      </c>
      <c r="R343" s="33" t="str">
        <f>IFERROR(__xludf.DUMMYFUNCTION("IF(IF(R$1="""","""",REGEXMATCH(LOWER($E343),XLOOKUP(R$1,Metadata!$A$2:$A1000,Metadata!$B$2:$B1000))),R$1,"""")"),"")</f>
        <v/>
      </c>
      <c r="S343" s="33" t="str">
        <f>IFERROR(__xludf.DUMMYFUNCTION("IF(IF(S$1="""","""",REGEXMATCH(LOWER($E343),XLOOKUP(S$1,Metadata!$A$2:$A1000,Metadata!$B$2:$B1000))),S$1,"""")"),"")</f>
        <v/>
      </c>
      <c r="T343" s="33" t="str">
        <f>IFERROR(__xludf.DUMMYFUNCTION("IF(IF(T$1="""","""",REGEXMATCH(LOWER($E343),XLOOKUP(T$1,Metadata!$A$2:$A1000,Metadata!$B$2:$B1000))),T$1,"""")"),"")</f>
        <v/>
      </c>
      <c r="U343" s="33" t="str">
        <f>IFERROR(__xludf.DUMMYFUNCTION("IF(IF(U$1="""","""",REGEXMATCH(LOWER($E343),XLOOKUP(U$1,Metadata!$A$2:$A1000,Metadata!$B$2:$B1000))),U$1,"""")"),"")</f>
        <v/>
      </c>
      <c r="V343" s="33" t="str">
        <f>IFERROR(__xludf.DUMMYFUNCTION("IF(IF(V$1="""","""",REGEXMATCH(LOWER($E343),XLOOKUP(V$1,Metadata!$A$2:$A1000,Metadata!$B$2:$B1000))),V$1,"""")"),"")</f>
        <v/>
      </c>
      <c r="W343" s="33" t="str">
        <f>IFERROR(__xludf.DUMMYFUNCTION("IF(IF(W$1="""","""",REGEXMATCH(LOWER($E343),XLOOKUP(W$1,Metadata!$A$2:$A1000,Metadata!$B$2:$B1000))),W$1,"""")"),"")</f>
        <v/>
      </c>
      <c r="X343" s="33" t="str">
        <f>IFERROR(__xludf.DUMMYFUNCTION("IF(IF(X$1="""","""",REGEXMATCH(LOWER($E343),XLOOKUP(X$1,Metadata!$A$2:$A1000,Metadata!$B$2:$B1000))),X$1,"""")"),"")</f>
        <v/>
      </c>
      <c r="Y343" s="33" t="str">
        <f>IFERROR(__xludf.DUMMYFUNCTION("IF(IF(Y$1="""","""",REGEXMATCH(LOWER($E343),XLOOKUP(Y$1,Metadata!$A$2:$A1000,Metadata!$B$2:$B1000))),Y$1,"""")"),"")</f>
        <v/>
      </c>
      <c r="Z343" s="33" t="str">
        <f>IFERROR(__xludf.DUMMYFUNCTION("IF(IF(Z$1="""","""",REGEXMATCH(LOWER($E343),XLOOKUP(Z$1,Metadata!$A$2:$A1000,Metadata!$B$2:$B1000))),Z$1,"""")"),"")</f>
        <v/>
      </c>
      <c r="AA343" s="33" t="str">
        <f>IFERROR(__xludf.DUMMYFUNCTION("IF(AA$1="""","""",REGEXMATCH(LOWER($E343),XLOOKUP(AA$1,Metadata!$A$2:$A1000,Metadata!$B$2:$B1000)))"),"")</f>
        <v/>
      </c>
    </row>
    <row r="344">
      <c r="A344" s="33" t="str">
        <f>IFERROR(__xludf.DUMMYFUNCTION("""COMPUTED_VALUE"""),"Gigantic Terrormaw")</f>
        <v>Gigantic Terrormaw</v>
      </c>
      <c r="B344" s="33" t="str">
        <f t="array" ref="B344:I344">XLOOKUP($A344,Cards!$A$2:$A1000,Cards!$B$2:$I1000,"")</f>
        <v>Nature</v>
      </c>
      <c r="C344" s="33">
        <v>1.0</v>
      </c>
      <c r="D344" s="33" t="s">
        <v>334</v>
      </c>
      <c r="E344" s="33"/>
      <c r="F344" s="33" t="s">
        <v>1864</v>
      </c>
      <c r="G344" s="33">
        <v>8.0</v>
      </c>
      <c r="H344" s="33" t="s">
        <v>1577</v>
      </c>
      <c r="I344" s="33" t="s">
        <v>26</v>
      </c>
      <c r="J344" s="33">
        <f>IFERROR(__xludf.DUMMYFUNCTION("LEN(REGEXREPLACE(XLOOKUP($A344,Cards!$A$2:$A1000,Cards!$H$2:$H1000,""""),"",\s"",""""))"),6.0)</f>
        <v>6</v>
      </c>
      <c r="K344" s="33" t="str">
        <f t="shared" si="1"/>
        <v>               </v>
      </c>
      <c r="L344" s="33" t="str">
        <f>IFERROR(__xludf.DUMMYFUNCTION("IF(IF(L$1="""","""",REGEXMATCH(LOWER($E344),XLOOKUP(L$1,Metadata!$A$2:$A1000,Metadata!$B$2:$B1000))),L$1,"""")"),"")</f>
        <v/>
      </c>
      <c r="M344" s="33" t="str">
        <f>IFERROR(__xludf.DUMMYFUNCTION("IF(IF(M$1="""","""",REGEXMATCH(LOWER($E344),XLOOKUP(M$1,Metadata!$A$2:$A1000,Metadata!$B$2:$B1000))),M$1,"""")"),"")</f>
        <v/>
      </c>
      <c r="N344" s="33" t="str">
        <f>IFERROR(__xludf.DUMMYFUNCTION("IF(IF(N$1="""","""",REGEXMATCH(LOWER($E344),XLOOKUP(N$1,Metadata!$A$2:$A1000,Metadata!$B$2:$B1000))),N$1,"""")"),"")</f>
        <v/>
      </c>
      <c r="O344" s="33" t="str">
        <f>IFERROR(__xludf.DUMMYFUNCTION("IF(IF(O$1="""","""",REGEXMATCH(LOWER($E344),XLOOKUP(O$1,Metadata!$A$2:$A1000,Metadata!$B$2:$B1000))),O$1,"""")"),"")</f>
        <v/>
      </c>
      <c r="P344" s="33" t="str">
        <f>IFERROR(__xludf.DUMMYFUNCTION("IF(IF(P$1="""","""",REGEXMATCH(LOWER($E344),XLOOKUP(P$1,Metadata!$A$2:$A1000,Metadata!$B$2:$B1000))),P$1,"""")"),"")</f>
        <v/>
      </c>
      <c r="Q344" s="33" t="str">
        <f>IFERROR(__xludf.DUMMYFUNCTION("IF(IF(Q$1="""","""",REGEXMATCH(LOWER($E344),XLOOKUP(Q$1,Metadata!$A$2:$A1000,Metadata!$B$2:$B1000))),Q$1,"""")"),"")</f>
        <v/>
      </c>
      <c r="R344" s="33" t="str">
        <f>IFERROR(__xludf.DUMMYFUNCTION("IF(IF(R$1="""","""",REGEXMATCH(LOWER($E344),XLOOKUP(R$1,Metadata!$A$2:$A1000,Metadata!$B$2:$B1000))),R$1,"""")"),"")</f>
        <v/>
      </c>
      <c r="S344" s="33" t="str">
        <f>IFERROR(__xludf.DUMMYFUNCTION("IF(IF(S$1="""","""",REGEXMATCH(LOWER($E344),XLOOKUP(S$1,Metadata!$A$2:$A1000,Metadata!$B$2:$B1000))),S$1,"""")"),"")</f>
        <v/>
      </c>
      <c r="T344" s="33" t="str">
        <f>IFERROR(__xludf.DUMMYFUNCTION("IF(IF(T$1="""","""",REGEXMATCH(LOWER($E344),XLOOKUP(T$1,Metadata!$A$2:$A1000,Metadata!$B$2:$B1000))),T$1,"""")"),"")</f>
        <v/>
      </c>
      <c r="U344" s="33" t="str">
        <f>IFERROR(__xludf.DUMMYFUNCTION("IF(IF(U$1="""","""",REGEXMATCH(LOWER($E344),XLOOKUP(U$1,Metadata!$A$2:$A1000,Metadata!$B$2:$B1000))),U$1,"""")"),"")</f>
        <v/>
      </c>
      <c r="V344" s="33" t="str">
        <f>IFERROR(__xludf.DUMMYFUNCTION("IF(IF(V$1="""","""",REGEXMATCH(LOWER($E344),XLOOKUP(V$1,Metadata!$A$2:$A1000,Metadata!$B$2:$B1000))),V$1,"""")"),"")</f>
        <v/>
      </c>
      <c r="W344" s="33" t="str">
        <f>IFERROR(__xludf.DUMMYFUNCTION("IF(IF(W$1="""","""",REGEXMATCH(LOWER($E344),XLOOKUP(W$1,Metadata!$A$2:$A1000,Metadata!$B$2:$B1000))),W$1,"""")"),"")</f>
        <v/>
      </c>
      <c r="X344" s="33" t="str">
        <f>IFERROR(__xludf.DUMMYFUNCTION("IF(IF(X$1="""","""",REGEXMATCH(LOWER($E344),XLOOKUP(X$1,Metadata!$A$2:$A1000,Metadata!$B$2:$B1000))),X$1,"""")"),"")</f>
        <v/>
      </c>
      <c r="Y344" s="33" t="str">
        <f>IFERROR(__xludf.DUMMYFUNCTION("IF(IF(Y$1="""","""",REGEXMATCH(LOWER($E344),XLOOKUP(Y$1,Metadata!$A$2:$A1000,Metadata!$B$2:$B1000))),Y$1,"""")"),"")</f>
        <v/>
      </c>
      <c r="Z344" s="33" t="str">
        <f>IFERROR(__xludf.DUMMYFUNCTION("IF(IF(Z$1="""","""",REGEXMATCH(LOWER($E344),XLOOKUP(Z$1,Metadata!$A$2:$A1000,Metadata!$B$2:$B1000))),Z$1,"""")"),"")</f>
        <v/>
      </c>
      <c r="AA344" s="33" t="str">
        <f>IFERROR(__xludf.DUMMYFUNCTION("IF(AA$1="""","""",REGEXMATCH(LOWER($E344),XLOOKUP(AA$1,Metadata!$A$2:$A1000,Metadata!$B$2:$B1000)))"),"")</f>
        <v/>
      </c>
    </row>
    <row r="345">
      <c r="A345" s="33" t="str">
        <f>IFERROR(__xludf.DUMMYFUNCTION("""COMPUTED_VALUE"""),"Null Ghost")</f>
        <v>Null Ghost</v>
      </c>
      <c r="B345" s="33" t="str">
        <f t="array" ref="B345:I345">XLOOKUP($A345,Cards!$A$2:$A1000,Cards!$B$2:$I1000,"")</f>
        <v/>
      </c>
      <c r="C345" s="33">
        <v>2.0</v>
      </c>
      <c r="D345" s="33" t="s">
        <v>1866</v>
      </c>
      <c r="E345" s="33" t="s">
        <v>1867</v>
      </c>
      <c r="F345" s="33" t="s">
        <v>786</v>
      </c>
      <c r="G345" s="33">
        <v>0.0</v>
      </c>
      <c r="H345" s="33" t="s">
        <v>1850</v>
      </c>
      <c r="I345" s="33" t="s">
        <v>62</v>
      </c>
      <c r="J345" s="33">
        <f>IFERROR(__xludf.DUMMYFUNCTION("LEN(REGEXREPLACE(XLOOKUP($A345,Cards!$A$2:$A1000,Cards!$H$2:$H1000,""""),"",\s"",""""))"),3.0)</f>
        <v>3</v>
      </c>
      <c r="K345" s="33" t="str">
        <f t="shared" si="1"/>
        <v>          Empty-Crystal     </v>
      </c>
      <c r="L345" s="33" t="str">
        <f>IFERROR(__xludf.DUMMYFUNCTION("IF(IF(L$1="""","""",REGEXMATCH(LOWER($E345),XLOOKUP(L$1,Metadata!$A$2:$A1000,Metadata!$B$2:$B1000))),L$1,"""")"),"")</f>
        <v/>
      </c>
      <c r="M345" s="33" t="str">
        <f>IFERROR(__xludf.DUMMYFUNCTION("IF(IF(M$1="""","""",REGEXMATCH(LOWER($E345),XLOOKUP(M$1,Metadata!$A$2:$A1000,Metadata!$B$2:$B1000))),M$1,"""")"),"")</f>
        <v/>
      </c>
      <c r="N345" s="33" t="str">
        <f>IFERROR(__xludf.DUMMYFUNCTION("IF(IF(N$1="""","""",REGEXMATCH(LOWER($E345),XLOOKUP(N$1,Metadata!$A$2:$A1000,Metadata!$B$2:$B1000))),N$1,"""")"),"")</f>
        <v/>
      </c>
      <c r="O345" s="33" t="str">
        <f>IFERROR(__xludf.DUMMYFUNCTION("IF(IF(O$1="""","""",REGEXMATCH(LOWER($E345),XLOOKUP(O$1,Metadata!$A$2:$A1000,Metadata!$B$2:$B1000))),O$1,"""")"),"")</f>
        <v/>
      </c>
      <c r="P345" s="33" t="str">
        <f>IFERROR(__xludf.DUMMYFUNCTION("IF(IF(P$1="""","""",REGEXMATCH(LOWER($E345),XLOOKUP(P$1,Metadata!$A$2:$A1000,Metadata!$B$2:$B1000))),P$1,"""")"),"")</f>
        <v/>
      </c>
      <c r="Q345" s="33" t="str">
        <f>IFERROR(__xludf.DUMMYFUNCTION("IF(IF(Q$1="""","""",REGEXMATCH(LOWER($E345),XLOOKUP(Q$1,Metadata!$A$2:$A1000,Metadata!$B$2:$B1000))),Q$1,"""")"),"")</f>
        <v/>
      </c>
      <c r="R345" s="33" t="str">
        <f>IFERROR(__xludf.DUMMYFUNCTION("IF(IF(R$1="""","""",REGEXMATCH(LOWER($E345),XLOOKUP(R$1,Metadata!$A$2:$A1000,Metadata!$B$2:$B1000))),R$1,"""")"),"")</f>
        <v/>
      </c>
      <c r="S345" s="33" t="str">
        <f>IFERROR(__xludf.DUMMYFUNCTION("IF(IF(S$1="""","""",REGEXMATCH(LOWER($E345),XLOOKUP(S$1,Metadata!$A$2:$A1000,Metadata!$B$2:$B1000))),S$1,"""")"),"")</f>
        <v/>
      </c>
      <c r="T345" s="33" t="str">
        <f>IFERROR(__xludf.DUMMYFUNCTION("IF(IF(T$1="""","""",REGEXMATCH(LOWER($E345),XLOOKUP(T$1,Metadata!$A$2:$A1000,Metadata!$B$2:$B1000))),T$1,"""")"),"")</f>
        <v/>
      </c>
      <c r="U345" s="33" t="str">
        <f>IFERROR(__xludf.DUMMYFUNCTION("IF(IF(U$1="""","""",REGEXMATCH(LOWER($E345),XLOOKUP(U$1,Metadata!$A$2:$A1000,Metadata!$B$2:$B1000))),U$1,"""")"),"")</f>
        <v/>
      </c>
      <c r="V345" s="33" t="str">
        <f>IFERROR(__xludf.DUMMYFUNCTION("IF(IF(V$1="""","""",REGEXMATCH(LOWER($E345),XLOOKUP(V$1,Metadata!$A$2:$A1000,Metadata!$B$2:$B1000))),V$1,"""")"),"Empty-Crystal")</f>
        <v>Empty-Crystal</v>
      </c>
      <c r="W345" s="33" t="str">
        <f>IFERROR(__xludf.DUMMYFUNCTION("IF(IF(W$1="""","""",REGEXMATCH(LOWER($E345),XLOOKUP(W$1,Metadata!$A$2:$A1000,Metadata!$B$2:$B1000))),W$1,"""")"),"")</f>
        <v/>
      </c>
      <c r="X345" s="33" t="str">
        <f>IFERROR(__xludf.DUMMYFUNCTION("IF(IF(X$1="""","""",REGEXMATCH(LOWER($E345),XLOOKUP(X$1,Metadata!$A$2:$A1000,Metadata!$B$2:$B1000))),X$1,"""")"),"")</f>
        <v/>
      </c>
      <c r="Y345" s="33" t="str">
        <f>IFERROR(__xludf.DUMMYFUNCTION("IF(IF(Y$1="""","""",REGEXMATCH(LOWER($E345),XLOOKUP(Y$1,Metadata!$A$2:$A1000,Metadata!$B$2:$B1000))),Y$1,"""")"),"")</f>
        <v/>
      </c>
      <c r="Z345" s="33" t="str">
        <f>IFERROR(__xludf.DUMMYFUNCTION("IF(IF(Z$1="""","""",REGEXMATCH(LOWER($E345),XLOOKUP(Z$1,Metadata!$A$2:$A1000,Metadata!$B$2:$B1000))),Z$1,"""")"),"")</f>
        <v/>
      </c>
      <c r="AA345" s="33" t="str">
        <f>IFERROR(__xludf.DUMMYFUNCTION("IF(AA$1="""","""",REGEXMATCH(LOWER($E345),XLOOKUP(AA$1,Metadata!$A$2:$A1000,Metadata!$B$2:$B1000)))"),"")</f>
        <v/>
      </c>
    </row>
    <row r="346">
      <c r="A346" s="33" t="str">
        <f>IFERROR(__xludf.DUMMYFUNCTION("""COMPUTED_VALUE"""),"Bear Cub")</f>
        <v>Bear Cub</v>
      </c>
      <c r="B346" s="33" t="str">
        <f t="array" ref="B346:I346">XLOOKUP($A346,Cards!$A$2:$A1000,Cards!$B$2:$I1000,"")</f>
        <v>Nature</v>
      </c>
      <c r="C346" s="33">
        <v>1.0</v>
      </c>
      <c r="D346" s="33" t="s">
        <v>946</v>
      </c>
      <c r="E346" s="33"/>
      <c r="F346" s="33"/>
      <c r="G346" s="33">
        <v>2.0</v>
      </c>
      <c r="H346" s="33" t="s">
        <v>1446</v>
      </c>
      <c r="I346" s="33" t="s">
        <v>26</v>
      </c>
      <c r="J346" s="33">
        <f>IFERROR(__xludf.DUMMYFUNCTION("LEN(REGEXREPLACE(XLOOKUP($A346,Cards!$A$2:$A1000,Cards!$H$2:$H1000,""""),"",\s"",""""))"),2.0)</f>
        <v>2</v>
      </c>
      <c r="K346" s="33" t="str">
        <f t="shared" si="1"/>
        <v>               </v>
      </c>
      <c r="L346" s="33" t="str">
        <f>IFERROR(__xludf.DUMMYFUNCTION("IF(IF(L$1="""","""",REGEXMATCH(LOWER($E346),XLOOKUP(L$1,Metadata!$A$2:$A1000,Metadata!$B$2:$B1000))),L$1,"""")"),"")</f>
        <v/>
      </c>
      <c r="M346" s="33" t="str">
        <f>IFERROR(__xludf.DUMMYFUNCTION("IF(IF(M$1="""","""",REGEXMATCH(LOWER($E346),XLOOKUP(M$1,Metadata!$A$2:$A1000,Metadata!$B$2:$B1000))),M$1,"""")"),"")</f>
        <v/>
      </c>
      <c r="N346" s="33" t="str">
        <f>IFERROR(__xludf.DUMMYFUNCTION("IF(IF(N$1="""","""",REGEXMATCH(LOWER($E346),XLOOKUP(N$1,Metadata!$A$2:$A1000,Metadata!$B$2:$B1000))),N$1,"""")"),"")</f>
        <v/>
      </c>
      <c r="O346" s="33" t="str">
        <f>IFERROR(__xludf.DUMMYFUNCTION("IF(IF(O$1="""","""",REGEXMATCH(LOWER($E346),XLOOKUP(O$1,Metadata!$A$2:$A1000,Metadata!$B$2:$B1000))),O$1,"""")"),"")</f>
        <v/>
      </c>
      <c r="P346" s="33" t="str">
        <f>IFERROR(__xludf.DUMMYFUNCTION("IF(IF(P$1="""","""",REGEXMATCH(LOWER($E346),XLOOKUP(P$1,Metadata!$A$2:$A1000,Metadata!$B$2:$B1000))),P$1,"""")"),"")</f>
        <v/>
      </c>
      <c r="Q346" s="33" t="str">
        <f>IFERROR(__xludf.DUMMYFUNCTION("IF(IF(Q$1="""","""",REGEXMATCH(LOWER($E346),XLOOKUP(Q$1,Metadata!$A$2:$A1000,Metadata!$B$2:$B1000))),Q$1,"""")"),"")</f>
        <v/>
      </c>
      <c r="R346" s="33" t="str">
        <f>IFERROR(__xludf.DUMMYFUNCTION("IF(IF(R$1="""","""",REGEXMATCH(LOWER($E346),XLOOKUP(R$1,Metadata!$A$2:$A1000,Metadata!$B$2:$B1000))),R$1,"""")"),"")</f>
        <v/>
      </c>
      <c r="S346" s="33" t="str">
        <f>IFERROR(__xludf.DUMMYFUNCTION("IF(IF(S$1="""","""",REGEXMATCH(LOWER($E346),XLOOKUP(S$1,Metadata!$A$2:$A1000,Metadata!$B$2:$B1000))),S$1,"""")"),"")</f>
        <v/>
      </c>
      <c r="T346" s="33" t="str">
        <f>IFERROR(__xludf.DUMMYFUNCTION("IF(IF(T$1="""","""",REGEXMATCH(LOWER($E346),XLOOKUP(T$1,Metadata!$A$2:$A1000,Metadata!$B$2:$B1000))),T$1,"""")"),"")</f>
        <v/>
      </c>
      <c r="U346" s="33" t="str">
        <f>IFERROR(__xludf.DUMMYFUNCTION("IF(IF(U$1="""","""",REGEXMATCH(LOWER($E346),XLOOKUP(U$1,Metadata!$A$2:$A1000,Metadata!$B$2:$B1000))),U$1,"""")"),"")</f>
        <v/>
      </c>
      <c r="V346" s="33" t="str">
        <f>IFERROR(__xludf.DUMMYFUNCTION("IF(IF(V$1="""","""",REGEXMATCH(LOWER($E346),XLOOKUP(V$1,Metadata!$A$2:$A1000,Metadata!$B$2:$B1000))),V$1,"""")"),"")</f>
        <v/>
      </c>
      <c r="W346" s="33" t="str">
        <f>IFERROR(__xludf.DUMMYFUNCTION("IF(IF(W$1="""","""",REGEXMATCH(LOWER($E346),XLOOKUP(W$1,Metadata!$A$2:$A1000,Metadata!$B$2:$B1000))),W$1,"""")"),"")</f>
        <v/>
      </c>
      <c r="X346" s="33" t="str">
        <f>IFERROR(__xludf.DUMMYFUNCTION("IF(IF(X$1="""","""",REGEXMATCH(LOWER($E346),XLOOKUP(X$1,Metadata!$A$2:$A1000,Metadata!$B$2:$B1000))),X$1,"""")"),"")</f>
        <v/>
      </c>
      <c r="Y346" s="33" t="str">
        <f>IFERROR(__xludf.DUMMYFUNCTION("IF(IF(Y$1="""","""",REGEXMATCH(LOWER($E346),XLOOKUP(Y$1,Metadata!$A$2:$A1000,Metadata!$B$2:$B1000))),Y$1,"""")"),"")</f>
        <v/>
      </c>
      <c r="Z346" s="33" t="str">
        <f>IFERROR(__xludf.DUMMYFUNCTION("IF(IF(Z$1="""","""",REGEXMATCH(LOWER($E346),XLOOKUP(Z$1,Metadata!$A$2:$A1000,Metadata!$B$2:$B1000))),Z$1,"""")"),"")</f>
        <v/>
      </c>
      <c r="AA346" s="33" t="str">
        <f>IFERROR(__xludf.DUMMYFUNCTION("IF(AA$1="""","""",REGEXMATCH(LOWER($E346),XLOOKUP(AA$1,Metadata!$A$2:$A1000,Metadata!$B$2:$B1000)))"),"")</f>
        <v/>
      </c>
    </row>
    <row r="347">
      <c r="A347" s="33" t="str">
        <f>IFERROR(__xludf.DUMMYFUNCTION("""COMPUTED_VALUE"""),"Necroconut Crab")</f>
        <v>Necroconut Crab</v>
      </c>
      <c r="B347" s="33" t="str">
        <f t="array" ref="B347:I347">XLOOKUP($A347,Cards!$A$2:$A1000,Cards!$B$2:$I1000,"")</f>
        <v>Nature Void</v>
      </c>
      <c r="C347" s="33">
        <v>1.0</v>
      </c>
      <c r="D347" s="33" t="s">
        <v>1641</v>
      </c>
      <c r="E347" s="33" t="s">
        <v>1870</v>
      </c>
      <c r="F347" s="33" t="s">
        <v>1871</v>
      </c>
      <c r="G347" s="33">
        <v>0.0</v>
      </c>
      <c r="H347" s="33" t="s">
        <v>1872</v>
      </c>
      <c r="I347" s="33" t="s">
        <v>62</v>
      </c>
      <c r="J347" s="33">
        <f>IFERROR(__xludf.DUMMYFUNCTION("LEN(REGEXREPLACE(XLOOKUP($A347,Cards!$A$2:$A1000,Cards!$H$2:$H1000,""""),"",\s"",""""))"),4.0)</f>
        <v>4</v>
      </c>
      <c r="K347" s="33" t="str">
        <f t="shared" si="1"/>
        <v>            Ambush   </v>
      </c>
      <c r="L347" s="33" t="str">
        <f>IFERROR(__xludf.DUMMYFUNCTION("IF(IF(L$1="""","""",REGEXMATCH(LOWER($E347),XLOOKUP(L$1,Metadata!$A$2:$A1000,Metadata!$B$2:$B1000))),L$1,"""")"),"")</f>
        <v/>
      </c>
      <c r="M347" s="33" t="str">
        <f>IFERROR(__xludf.DUMMYFUNCTION("IF(IF(M$1="""","""",REGEXMATCH(LOWER($E347),XLOOKUP(M$1,Metadata!$A$2:$A1000,Metadata!$B$2:$B1000))),M$1,"""")"),"")</f>
        <v/>
      </c>
      <c r="N347" s="33" t="str">
        <f>IFERROR(__xludf.DUMMYFUNCTION("IF(IF(N$1="""","""",REGEXMATCH(LOWER($E347),XLOOKUP(N$1,Metadata!$A$2:$A1000,Metadata!$B$2:$B1000))),N$1,"""")"),"")</f>
        <v/>
      </c>
      <c r="O347" s="33" t="str">
        <f>IFERROR(__xludf.DUMMYFUNCTION("IF(IF(O$1="""","""",REGEXMATCH(LOWER($E347),XLOOKUP(O$1,Metadata!$A$2:$A1000,Metadata!$B$2:$B1000))),O$1,"""")"),"")</f>
        <v/>
      </c>
      <c r="P347" s="33" t="str">
        <f>IFERROR(__xludf.DUMMYFUNCTION("IF(IF(P$1="""","""",REGEXMATCH(LOWER($E347),XLOOKUP(P$1,Metadata!$A$2:$A1000,Metadata!$B$2:$B1000))),P$1,"""")"),"")</f>
        <v/>
      </c>
      <c r="Q347" s="33" t="str">
        <f>IFERROR(__xludf.DUMMYFUNCTION("IF(IF(Q$1="""","""",REGEXMATCH(LOWER($E347),XLOOKUP(Q$1,Metadata!$A$2:$A1000,Metadata!$B$2:$B1000))),Q$1,"""")"),"")</f>
        <v/>
      </c>
      <c r="R347" s="33" t="str">
        <f>IFERROR(__xludf.DUMMYFUNCTION("IF(IF(R$1="""","""",REGEXMATCH(LOWER($E347),XLOOKUP(R$1,Metadata!$A$2:$A1000,Metadata!$B$2:$B1000))),R$1,"""")"),"")</f>
        <v/>
      </c>
      <c r="S347" s="33" t="str">
        <f>IFERROR(__xludf.DUMMYFUNCTION("IF(IF(S$1="""","""",REGEXMATCH(LOWER($E347),XLOOKUP(S$1,Metadata!$A$2:$A1000,Metadata!$B$2:$B1000))),S$1,"""")"),"")</f>
        <v/>
      </c>
      <c r="T347" s="33" t="str">
        <f>IFERROR(__xludf.DUMMYFUNCTION("IF(IF(T$1="""","""",REGEXMATCH(LOWER($E347),XLOOKUP(T$1,Metadata!$A$2:$A1000,Metadata!$B$2:$B1000))),T$1,"""")"),"")</f>
        <v/>
      </c>
      <c r="U347" s="33" t="str">
        <f>IFERROR(__xludf.DUMMYFUNCTION("IF(IF(U$1="""","""",REGEXMATCH(LOWER($E347),XLOOKUP(U$1,Metadata!$A$2:$A1000,Metadata!$B$2:$B1000))),U$1,"""")"),"")</f>
        <v/>
      </c>
      <c r="V347" s="33" t="str">
        <f>IFERROR(__xludf.DUMMYFUNCTION("IF(IF(V$1="""","""",REGEXMATCH(LOWER($E347),XLOOKUP(V$1,Metadata!$A$2:$A1000,Metadata!$B$2:$B1000))),V$1,"""")"),"")</f>
        <v/>
      </c>
      <c r="W347" s="33" t="str">
        <f>IFERROR(__xludf.DUMMYFUNCTION("IF(IF(W$1="""","""",REGEXMATCH(LOWER($E347),XLOOKUP(W$1,Metadata!$A$2:$A1000,Metadata!$B$2:$B1000))),W$1,"""")"),"")</f>
        <v/>
      </c>
      <c r="X347" s="33" t="str">
        <f>IFERROR(__xludf.DUMMYFUNCTION("IF(IF(X$1="""","""",REGEXMATCH(LOWER($E347),XLOOKUP(X$1,Metadata!$A$2:$A1000,Metadata!$B$2:$B1000))),X$1,"""")"),"Ambush")</f>
        <v>Ambush</v>
      </c>
      <c r="Y347" s="33" t="str">
        <f>IFERROR(__xludf.DUMMYFUNCTION("IF(IF(Y$1="""","""",REGEXMATCH(LOWER($E347),XLOOKUP(Y$1,Metadata!$A$2:$A1000,Metadata!$B$2:$B1000))),Y$1,"""")"),"")</f>
        <v/>
      </c>
      <c r="Z347" s="33" t="str">
        <f>IFERROR(__xludf.DUMMYFUNCTION("IF(IF(Z$1="""","""",REGEXMATCH(LOWER($E347),XLOOKUP(Z$1,Metadata!$A$2:$A1000,Metadata!$B$2:$B1000))),Z$1,"""")"),"")</f>
        <v/>
      </c>
      <c r="AA347" s="33" t="str">
        <f>IFERROR(__xludf.DUMMYFUNCTION("IF(AA$1="""","""",REGEXMATCH(LOWER($E347),XLOOKUP(AA$1,Metadata!$A$2:$A1000,Metadata!$B$2:$B1000)))"),"")</f>
        <v/>
      </c>
    </row>
    <row r="348">
      <c r="A348" s="33" t="str">
        <f>IFERROR(__xludf.DUMMYFUNCTION("""COMPUTED_VALUE"""),"Rotting Alicorn")</f>
        <v>Rotting Alicorn</v>
      </c>
      <c r="B348" s="33" t="str">
        <f t="array" ref="B348:I348">XLOOKUP($A348,Cards!$A$2:$A1000,Cards!$B$2:$I1000,"")</f>
        <v>Nature Void</v>
      </c>
      <c r="C348" s="33">
        <v>1.0</v>
      </c>
      <c r="D348" s="33" t="s">
        <v>927</v>
      </c>
      <c r="E348" s="33" t="s">
        <v>1874</v>
      </c>
      <c r="F348" s="33" t="s">
        <v>1875</v>
      </c>
      <c r="G348" s="33">
        <v>1.0</v>
      </c>
      <c r="H348" s="33" t="s">
        <v>1876</v>
      </c>
      <c r="I348" s="33" t="s">
        <v>32</v>
      </c>
      <c r="J348" s="33">
        <f>IFERROR(__xludf.DUMMYFUNCTION("LEN(REGEXREPLACE(XLOOKUP($A348,Cards!$A$2:$A1000,Cards!$H$2:$H1000,""""),"",\s"",""""))"),4.0)</f>
        <v>4</v>
      </c>
      <c r="K348" s="33" t="str">
        <f t="shared" si="1"/>
        <v>        Copy       </v>
      </c>
      <c r="L348" s="33" t="str">
        <f>IFERROR(__xludf.DUMMYFUNCTION("IF(IF(L$1="""","""",REGEXMATCH(LOWER($E348),XLOOKUP(L$1,Metadata!$A$2:$A1000,Metadata!$B$2:$B1000))),L$1,"""")"),"")</f>
        <v/>
      </c>
      <c r="M348" s="33" t="str">
        <f>IFERROR(__xludf.DUMMYFUNCTION("IF(IF(M$1="""","""",REGEXMATCH(LOWER($E348),XLOOKUP(M$1,Metadata!$A$2:$A1000,Metadata!$B$2:$B1000))),M$1,"""")"),"")</f>
        <v/>
      </c>
      <c r="N348" s="33" t="str">
        <f>IFERROR(__xludf.DUMMYFUNCTION("IF(IF(N$1="""","""",REGEXMATCH(LOWER($E348),XLOOKUP(N$1,Metadata!$A$2:$A1000,Metadata!$B$2:$B1000))),N$1,"""")"),"")</f>
        <v/>
      </c>
      <c r="O348" s="33" t="str">
        <f>IFERROR(__xludf.DUMMYFUNCTION("IF(IF(O$1="""","""",REGEXMATCH(LOWER($E348),XLOOKUP(O$1,Metadata!$A$2:$A1000,Metadata!$B$2:$B1000))),O$1,"""")"),"")</f>
        <v/>
      </c>
      <c r="P348" s="33" t="str">
        <f>IFERROR(__xludf.DUMMYFUNCTION("IF(IF(P$1="""","""",REGEXMATCH(LOWER($E348),XLOOKUP(P$1,Metadata!$A$2:$A1000,Metadata!$B$2:$B1000))),P$1,"""")"),"")</f>
        <v/>
      </c>
      <c r="Q348" s="33" t="str">
        <f>IFERROR(__xludf.DUMMYFUNCTION("IF(IF(Q$1="""","""",REGEXMATCH(LOWER($E348),XLOOKUP(Q$1,Metadata!$A$2:$A1000,Metadata!$B$2:$B1000))),Q$1,"""")"),"")</f>
        <v/>
      </c>
      <c r="R348" s="33" t="str">
        <f>IFERROR(__xludf.DUMMYFUNCTION("IF(IF(R$1="""","""",REGEXMATCH(LOWER($E348),XLOOKUP(R$1,Metadata!$A$2:$A1000,Metadata!$B$2:$B1000))),R$1,"""")"),"")</f>
        <v/>
      </c>
      <c r="S348" s="33" t="str">
        <f>IFERROR(__xludf.DUMMYFUNCTION("IF(IF(S$1="""","""",REGEXMATCH(LOWER($E348),XLOOKUP(S$1,Metadata!$A$2:$A1000,Metadata!$B$2:$B1000))),S$1,"""")"),"")</f>
        <v/>
      </c>
      <c r="T348" s="33" t="str">
        <f>IFERROR(__xludf.DUMMYFUNCTION("IF(IF(T$1="""","""",REGEXMATCH(LOWER($E348),XLOOKUP(T$1,Metadata!$A$2:$A1000,Metadata!$B$2:$B1000))),T$1,"""")"),"Copy")</f>
        <v>Copy</v>
      </c>
      <c r="U348" s="33" t="str">
        <f>IFERROR(__xludf.DUMMYFUNCTION("IF(IF(U$1="""","""",REGEXMATCH(LOWER($E348),XLOOKUP(U$1,Metadata!$A$2:$A1000,Metadata!$B$2:$B1000))),U$1,"""")"),"")</f>
        <v/>
      </c>
      <c r="V348" s="33" t="str">
        <f>IFERROR(__xludf.DUMMYFUNCTION("IF(IF(V$1="""","""",REGEXMATCH(LOWER($E348),XLOOKUP(V$1,Metadata!$A$2:$A1000,Metadata!$B$2:$B1000))),V$1,"""")"),"")</f>
        <v/>
      </c>
      <c r="W348" s="33" t="str">
        <f>IFERROR(__xludf.DUMMYFUNCTION("IF(IF(W$1="""","""",REGEXMATCH(LOWER($E348),XLOOKUP(W$1,Metadata!$A$2:$A1000,Metadata!$B$2:$B1000))),W$1,"""")"),"")</f>
        <v/>
      </c>
      <c r="X348" s="33" t="str">
        <f>IFERROR(__xludf.DUMMYFUNCTION("IF(IF(X$1="""","""",REGEXMATCH(LOWER($E348),XLOOKUP(X$1,Metadata!$A$2:$A1000,Metadata!$B$2:$B1000))),X$1,"""")"),"")</f>
        <v/>
      </c>
      <c r="Y348" s="33" t="str">
        <f>IFERROR(__xludf.DUMMYFUNCTION("IF(IF(Y$1="""","""",REGEXMATCH(LOWER($E348),XLOOKUP(Y$1,Metadata!$A$2:$A1000,Metadata!$B$2:$B1000))),Y$1,"""")"),"")</f>
        <v/>
      </c>
      <c r="Z348" s="33" t="str">
        <f>IFERROR(__xludf.DUMMYFUNCTION("IF(IF(Z$1="""","""",REGEXMATCH(LOWER($E348),XLOOKUP(Z$1,Metadata!$A$2:$A1000,Metadata!$B$2:$B1000))),Z$1,"""")"),"")</f>
        <v/>
      </c>
      <c r="AA348" s="33" t="str">
        <f>IFERROR(__xludf.DUMMYFUNCTION("IF(AA$1="""","""",REGEXMATCH(LOWER($E348),XLOOKUP(AA$1,Metadata!$A$2:$A1000,Metadata!$B$2:$B1000)))"),"")</f>
        <v/>
      </c>
    </row>
    <row r="349">
      <c r="A349" s="33" t="str">
        <f>IFERROR(__xludf.DUMMYFUNCTION("""COMPUTED_VALUE"""),"Tainted Jade Initiate")</f>
        <v>Tainted Jade Initiate</v>
      </c>
      <c r="B349" s="33" t="str">
        <f t="array" ref="B349:I349">XLOOKUP($A349,Cards!$A$2:$A1000,Cards!$B$2:$I1000,"")</f>
        <v>Nature Void</v>
      </c>
      <c r="C349" s="33">
        <v>1.0</v>
      </c>
      <c r="D349" s="33" t="s">
        <v>1878</v>
      </c>
      <c r="E349" s="33"/>
      <c r="F349" s="33" t="s">
        <v>1879</v>
      </c>
      <c r="G349" s="33">
        <v>2.0</v>
      </c>
      <c r="H349" s="33" t="s">
        <v>1880</v>
      </c>
      <c r="I349" s="33" t="s">
        <v>26</v>
      </c>
      <c r="J349" s="33">
        <f>IFERROR(__xludf.DUMMYFUNCTION("LEN(REGEXREPLACE(XLOOKUP($A349,Cards!$A$2:$A1000,Cards!$H$2:$H1000,""""),"",\s"",""""))"),2.0)</f>
        <v>2</v>
      </c>
      <c r="K349" s="33" t="str">
        <f t="shared" si="1"/>
        <v>               </v>
      </c>
      <c r="L349" s="33" t="str">
        <f>IFERROR(__xludf.DUMMYFUNCTION("IF(IF(L$1="""","""",REGEXMATCH(LOWER($E349),XLOOKUP(L$1,Metadata!$A$2:$A1000,Metadata!$B$2:$B1000))),L$1,"""")"),"")</f>
        <v/>
      </c>
      <c r="M349" s="33" t="str">
        <f>IFERROR(__xludf.DUMMYFUNCTION("IF(IF(M$1="""","""",REGEXMATCH(LOWER($E349),XLOOKUP(M$1,Metadata!$A$2:$A1000,Metadata!$B$2:$B1000))),M$1,"""")"),"")</f>
        <v/>
      </c>
      <c r="N349" s="33" t="str">
        <f>IFERROR(__xludf.DUMMYFUNCTION("IF(IF(N$1="""","""",REGEXMATCH(LOWER($E349),XLOOKUP(N$1,Metadata!$A$2:$A1000,Metadata!$B$2:$B1000))),N$1,"""")"),"")</f>
        <v/>
      </c>
      <c r="O349" s="33" t="str">
        <f>IFERROR(__xludf.DUMMYFUNCTION("IF(IF(O$1="""","""",REGEXMATCH(LOWER($E349),XLOOKUP(O$1,Metadata!$A$2:$A1000,Metadata!$B$2:$B1000))),O$1,"""")"),"")</f>
        <v/>
      </c>
      <c r="P349" s="33" t="str">
        <f>IFERROR(__xludf.DUMMYFUNCTION("IF(IF(P$1="""","""",REGEXMATCH(LOWER($E349),XLOOKUP(P$1,Metadata!$A$2:$A1000,Metadata!$B$2:$B1000))),P$1,"""")"),"")</f>
        <v/>
      </c>
      <c r="Q349" s="33" t="str">
        <f>IFERROR(__xludf.DUMMYFUNCTION("IF(IF(Q$1="""","""",REGEXMATCH(LOWER($E349),XLOOKUP(Q$1,Metadata!$A$2:$A1000,Metadata!$B$2:$B1000))),Q$1,"""")"),"")</f>
        <v/>
      </c>
      <c r="R349" s="33" t="str">
        <f>IFERROR(__xludf.DUMMYFUNCTION("IF(IF(R$1="""","""",REGEXMATCH(LOWER($E349),XLOOKUP(R$1,Metadata!$A$2:$A1000,Metadata!$B$2:$B1000))),R$1,"""")"),"")</f>
        <v/>
      </c>
      <c r="S349" s="33" t="str">
        <f>IFERROR(__xludf.DUMMYFUNCTION("IF(IF(S$1="""","""",REGEXMATCH(LOWER($E349),XLOOKUP(S$1,Metadata!$A$2:$A1000,Metadata!$B$2:$B1000))),S$1,"""")"),"")</f>
        <v/>
      </c>
      <c r="T349" s="33" t="str">
        <f>IFERROR(__xludf.DUMMYFUNCTION("IF(IF(T$1="""","""",REGEXMATCH(LOWER($E349),XLOOKUP(T$1,Metadata!$A$2:$A1000,Metadata!$B$2:$B1000))),T$1,"""")"),"")</f>
        <v/>
      </c>
      <c r="U349" s="33" t="str">
        <f>IFERROR(__xludf.DUMMYFUNCTION("IF(IF(U$1="""","""",REGEXMATCH(LOWER($E349),XLOOKUP(U$1,Metadata!$A$2:$A1000,Metadata!$B$2:$B1000))),U$1,"""")"),"")</f>
        <v/>
      </c>
      <c r="V349" s="33" t="str">
        <f>IFERROR(__xludf.DUMMYFUNCTION("IF(IF(V$1="""","""",REGEXMATCH(LOWER($E349),XLOOKUP(V$1,Metadata!$A$2:$A1000,Metadata!$B$2:$B1000))),V$1,"""")"),"")</f>
        <v/>
      </c>
      <c r="W349" s="33" t="str">
        <f>IFERROR(__xludf.DUMMYFUNCTION("IF(IF(W$1="""","""",REGEXMATCH(LOWER($E349),XLOOKUP(W$1,Metadata!$A$2:$A1000,Metadata!$B$2:$B1000))),W$1,"""")"),"")</f>
        <v/>
      </c>
      <c r="X349" s="33" t="str">
        <f>IFERROR(__xludf.DUMMYFUNCTION("IF(IF(X$1="""","""",REGEXMATCH(LOWER($E349),XLOOKUP(X$1,Metadata!$A$2:$A1000,Metadata!$B$2:$B1000))),X$1,"""")"),"")</f>
        <v/>
      </c>
      <c r="Y349" s="33" t="str">
        <f>IFERROR(__xludf.DUMMYFUNCTION("IF(IF(Y$1="""","""",REGEXMATCH(LOWER($E349),XLOOKUP(Y$1,Metadata!$A$2:$A1000,Metadata!$B$2:$B1000))),Y$1,"""")"),"")</f>
        <v/>
      </c>
      <c r="Z349" s="33" t="str">
        <f>IFERROR(__xludf.DUMMYFUNCTION("IF(IF(Z$1="""","""",REGEXMATCH(LOWER($E349),XLOOKUP(Z$1,Metadata!$A$2:$A1000,Metadata!$B$2:$B1000))),Z$1,"""")"),"")</f>
        <v/>
      </c>
      <c r="AA349" s="33" t="str">
        <f>IFERROR(__xludf.DUMMYFUNCTION("IF(AA$1="""","""",REGEXMATCH(LOWER($E349),XLOOKUP(AA$1,Metadata!$A$2:$A1000,Metadata!$B$2:$B1000)))"),"")</f>
        <v/>
      </c>
    </row>
    <row r="350">
      <c r="A350" s="33" t="str">
        <f>IFERROR(__xludf.DUMMYFUNCTION("""COMPUTED_VALUE"""),"Cryptroach")</f>
        <v>Cryptroach</v>
      </c>
      <c r="B350" s="33" t="str">
        <f t="array" ref="B350:I350">XLOOKUP($A350,Cards!$A$2:$A1000,Cards!$B$2:$I1000,"")</f>
        <v>Void</v>
      </c>
      <c r="C350" s="33">
        <v>1.0</v>
      </c>
      <c r="D350" s="33" t="s">
        <v>1882</v>
      </c>
      <c r="E350" s="33" t="s">
        <v>1883</v>
      </c>
      <c r="F350" s="33" t="s">
        <v>1884</v>
      </c>
      <c r="G350" s="33">
        <v>2.0</v>
      </c>
      <c r="H350" s="33" t="s">
        <v>1885</v>
      </c>
      <c r="I350" s="33" t="s">
        <v>62</v>
      </c>
      <c r="J350" s="33">
        <f>IFERROR(__xludf.DUMMYFUNCTION("LEN(REGEXREPLACE(XLOOKUP($A350,Cards!$A$2:$A1000,Cards!$H$2:$H1000,""""),"",\s"",""""))"),3.0)</f>
        <v>3</v>
      </c>
      <c r="K350" s="33" t="str">
        <f t="shared" si="1"/>
        <v>     Unearth    Aggro  Move Ambush   </v>
      </c>
      <c r="L350" s="33" t="str">
        <f>IFERROR(__xludf.DUMMYFUNCTION("IF(IF(L$1="""","""",REGEXMATCH(LOWER($E350),XLOOKUP(L$1,Metadata!$A$2:$A1000,Metadata!$B$2:$B1000))),L$1,"""")"),"")</f>
        <v/>
      </c>
      <c r="M350" s="33" t="str">
        <f>IFERROR(__xludf.DUMMYFUNCTION("IF(IF(M$1="""","""",REGEXMATCH(LOWER($E350),XLOOKUP(M$1,Metadata!$A$2:$A1000,Metadata!$B$2:$B1000))),M$1,"""")"),"")</f>
        <v/>
      </c>
      <c r="N350" s="33" t="str">
        <f>IFERROR(__xludf.DUMMYFUNCTION("IF(IF(N$1="""","""",REGEXMATCH(LOWER($E350),XLOOKUP(N$1,Metadata!$A$2:$A1000,Metadata!$B$2:$B1000))),N$1,"""")"),"")</f>
        <v/>
      </c>
      <c r="O350" s="33" t="str">
        <f>IFERROR(__xludf.DUMMYFUNCTION("IF(IF(O$1="""","""",REGEXMATCH(LOWER($E350),XLOOKUP(O$1,Metadata!$A$2:$A1000,Metadata!$B$2:$B1000))),O$1,"""")"),"")</f>
        <v/>
      </c>
      <c r="P350" s="33" t="str">
        <f>IFERROR(__xludf.DUMMYFUNCTION("IF(IF(P$1="""","""",REGEXMATCH(LOWER($E350),XLOOKUP(P$1,Metadata!$A$2:$A1000,Metadata!$B$2:$B1000))),P$1,"""")"),"")</f>
        <v/>
      </c>
      <c r="Q350" s="33" t="str">
        <f>IFERROR(__xludf.DUMMYFUNCTION("IF(IF(Q$1="""","""",REGEXMATCH(LOWER($E350),XLOOKUP(Q$1,Metadata!$A$2:$A1000,Metadata!$B$2:$B1000))),Q$1,"""")"),"Unearth")</f>
        <v>Unearth</v>
      </c>
      <c r="R350" s="33" t="str">
        <f>IFERROR(__xludf.DUMMYFUNCTION("IF(IF(R$1="""","""",REGEXMATCH(LOWER($E350),XLOOKUP(R$1,Metadata!$A$2:$A1000,Metadata!$B$2:$B1000))),R$1,"""")"),"")</f>
        <v/>
      </c>
      <c r="S350" s="33" t="str">
        <f>IFERROR(__xludf.DUMMYFUNCTION("IF(IF(S$1="""","""",REGEXMATCH(LOWER($E350),XLOOKUP(S$1,Metadata!$A$2:$A1000,Metadata!$B$2:$B1000))),S$1,"""")"),"")</f>
        <v/>
      </c>
      <c r="T350" s="33" t="str">
        <f>IFERROR(__xludf.DUMMYFUNCTION("IF(IF(T$1="""","""",REGEXMATCH(LOWER($E350),XLOOKUP(T$1,Metadata!$A$2:$A1000,Metadata!$B$2:$B1000))),T$1,"""")"),"")</f>
        <v/>
      </c>
      <c r="U350" s="33" t="str">
        <f>IFERROR(__xludf.DUMMYFUNCTION("IF(IF(U$1="""","""",REGEXMATCH(LOWER($E350),XLOOKUP(U$1,Metadata!$A$2:$A1000,Metadata!$B$2:$B1000))),U$1,"""")"),"Aggro")</f>
        <v>Aggro</v>
      </c>
      <c r="V350" s="33" t="str">
        <f>IFERROR(__xludf.DUMMYFUNCTION("IF(IF(V$1="""","""",REGEXMATCH(LOWER($E350),XLOOKUP(V$1,Metadata!$A$2:$A1000,Metadata!$B$2:$B1000))),V$1,"""")"),"")</f>
        <v/>
      </c>
      <c r="W350" s="33" t="str">
        <f>IFERROR(__xludf.DUMMYFUNCTION("IF(IF(W$1="""","""",REGEXMATCH(LOWER($E350),XLOOKUP(W$1,Metadata!$A$2:$A1000,Metadata!$B$2:$B1000))),W$1,"""")"),"Move")</f>
        <v>Move</v>
      </c>
      <c r="X350" s="33" t="str">
        <f>IFERROR(__xludf.DUMMYFUNCTION("IF(IF(X$1="""","""",REGEXMATCH(LOWER($E350),XLOOKUP(X$1,Metadata!$A$2:$A1000,Metadata!$B$2:$B1000))),X$1,"""")"),"Ambush")</f>
        <v>Ambush</v>
      </c>
      <c r="Y350" s="33" t="str">
        <f>IFERROR(__xludf.DUMMYFUNCTION("IF(IF(Y$1="""","""",REGEXMATCH(LOWER($E350),XLOOKUP(Y$1,Metadata!$A$2:$A1000,Metadata!$B$2:$B1000))),Y$1,"""")"),"")</f>
        <v/>
      </c>
      <c r="Z350" s="33" t="str">
        <f>IFERROR(__xludf.DUMMYFUNCTION("IF(IF(Z$1="""","""",REGEXMATCH(LOWER($E350),XLOOKUP(Z$1,Metadata!$A$2:$A1000,Metadata!$B$2:$B1000))),Z$1,"""")"),"")</f>
        <v/>
      </c>
      <c r="AA350" s="33" t="str">
        <f>IFERROR(__xludf.DUMMYFUNCTION("IF(AA$1="""","""",REGEXMATCH(LOWER($E350),XLOOKUP(AA$1,Metadata!$A$2:$A1000,Metadata!$B$2:$B1000)))"),"")</f>
        <v/>
      </c>
    </row>
    <row r="351">
      <c r="A351" s="33" t="str">
        <f>IFERROR(__xludf.DUMMYFUNCTION("""COMPUTED_VALUE"""),"Abyssal Silencer")</f>
        <v>Abyssal Silencer</v>
      </c>
      <c r="B351" s="33" t="str">
        <f t="array" ref="B351:I351">XLOOKUP($A351,Cards!$A$2:$A1000,Cards!$B$2:$I1000,"")</f>
        <v>Void</v>
      </c>
      <c r="C351" s="33">
        <v>1.0</v>
      </c>
      <c r="D351" s="33" t="s">
        <v>1828</v>
      </c>
      <c r="E351" s="33" t="s">
        <v>1889</v>
      </c>
      <c r="F351" s="33" t="s">
        <v>1890</v>
      </c>
      <c r="G351" s="33">
        <v>4.0</v>
      </c>
      <c r="H351" s="33" t="s">
        <v>1734</v>
      </c>
      <c r="I351" s="33" t="s">
        <v>62</v>
      </c>
      <c r="J351" s="33">
        <f>IFERROR(__xludf.DUMMYFUNCTION("LEN(REGEXREPLACE(XLOOKUP($A351,Cards!$A$2:$A1000,Cards!$H$2:$H1000,""""),"",\s"",""""))"),4.0)</f>
        <v>4</v>
      </c>
      <c r="K351" s="33" t="str">
        <f t="shared" si="1"/>
        <v>       Control     Ambush   </v>
      </c>
      <c r="L351" s="33" t="str">
        <f>IFERROR(__xludf.DUMMYFUNCTION("IF(IF(L$1="""","""",REGEXMATCH(LOWER($E351),XLOOKUP(L$1,Metadata!$A$2:$A1000,Metadata!$B$2:$B1000))),L$1,"""")"),"")</f>
        <v/>
      </c>
      <c r="M351" s="33" t="str">
        <f>IFERROR(__xludf.DUMMYFUNCTION("IF(IF(M$1="""","""",REGEXMATCH(LOWER($E351),XLOOKUP(M$1,Metadata!$A$2:$A1000,Metadata!$B$2:$B1000))),M$1,"""")"),"")</f>
        <v/>
      </c>
      <c r="N351" s="33" t="str">
        <f>IFERROR(__xludf.DUMMYFUNCTION("IF(IF(N$1="""","""",REGEXMATCH(LOWER($E351),XLOOKUP(N$1,Metadata!$A$2:$A1000,Metadata!$B$2:$B1000))),N$1,"""")"),"")</f>
        <v/>
      </c>
      <c r="O351" s="33" t="str">
        <f>IFERROR(__xludf.DUMMYFUNCTION("IF(IF(O$1="""","""",REGEXMATCH(LOWER($E351),XLOOKUP(O$1,Metadata!$A$2:$A1000,Metadata!$B$2:$B1000))),O$1,"""")"),"")</f>
        <v/>
      </c>
      <c r="P351" s="33" t="str">
        <f>IFERROR(__xludf.DUMMYFUNCTION("IF(IF(P$1="""","""",REGEXMATCH(LOWER($E351),XLOOKUP(P$1,Metadata!$A$2:$A1000,Metadata!$B$2:$B1000))),P$1,"""")"),"")</f>
        <v/>
      </c>
      <c r="Q351" s="33" t="str">
        <f>IFERROR(__xludf.DUMMYFUNCTION("IF(IF(Q$1="""","""",REGEXMATCH(LOWER($E351),XLOOKUP(Q$1,Metadata!$A$2:$A1000,Metadata!$B$2:$B1000))),Q$1,"""")"),"")</f>
        <v/>
      </c>
      <c r="R351" s="33" t="str">
        <f>IFERROR(__xludf.DUMMYFUNCTION("IF(IF(R$1="""","""",REGEXMATCH(LOWER($E351),XLOOKUP(R$1,Metadata!$A$2:$A1000,Metadata!$B$2:$B1000))),R$1,"""")"),"")</f>
        <v/>
      </c>
      <c r="S351" s="33" t="str">
        <f>IFERROR(__xludf.DUMMYFUNCTION("IF(IF(S$1="""","""",REGEXMATCH(LOWER($E351),XLOOKUP(S$1,Metadata!$A$2:$A1000,Metadata!$B$2:$B1000))),S$1,"""")"),"Control")</f>
        <v>Control</v>
      </c>
      <c r="T351" s="33" t="str">
        <f>IFERROR(__xludf.DUMMYFUNCTION("IF(IF(T$1="""","""",REGEXMATCH(LOWER($E351),XLOOKUP(T$1,Metadata!$A$2:$A1000,Metadata!$B$2:$B1000))),T$1,"""")"),"")</f>
        <v/>
      </c>
      <c r="U351" s="33" t="str">
        <f>IFERROR(__xludf.DUMMYFUNCTION("IF(IF(U$1="""","""",REGEXMATCH(LOWER($E351),XLOOKUP(U$1,Metadata!$A$2:$A1000,Metadata!$B$2:$B1000))),U$1,"""")"),"")</f>
        <v/>
      </c>
      <c r="V351" s="33" t="str">
        <f>IFERROR(__xludf.DUMMYFUNCTION("IF(IF(V$1="""","""",REGEXMATCH(LOWER($E351),XLOOKUP(V$1,Metadata!$A$2:$A1000,Metadata!$B$2:$B1000))),V$1,"""")"),"")</f>
        <v/>
      </c>
      <c r="W351" s="33" t="str">
        <f>IFERROR(__xludf.DUMMYFUNCTION("IF(IF(W$1="""","""",REGEXMATCH(LOWER($E351),XLOOKUP(W$1,Metadata!$A$2:$A1000,Metadata!$B$2:$B1000))),W$1,"""")"),"")</f>
        <v/>
      </c>
      <c r="X351" s="33" t="str">
        <f>IFERROR(__xludf.DUMMYFUNCTION("IF(IF(X$1="""","""",REGEXMATCH(LOWER($E351),XLOOKUP(X$1,Metadata!$A$2:$A1000,Metadata!$B$2:$B1000))),X$1,"""")"),"Ambush")</f>
        <v>Ambush</v>
      </c>
      <c r="Y351" s="33" t="str">
        <f>IFERROR(__xludf.DUMMYFUNCTION("IF(IF(Y$1="""","""",REGEXMATCH(LOWER($E351),XLOOKUP(Y$1,Metadata!$A$2:$A1000,Metadata!$B$2:$B1000))),Y$1,"""")"),"")</f>
        <v/>
      </c>
      <c r="Z351" s="33" t="str">
        <f>IFERROR(__xludf.DUMMYFUNCTION("IF(IF(Z$1="""","""",REGEXMATCH(LOWER($E351),XLOOKUP(Z$1,Metadata!$A$2:$A1000,Metadata!$B$2:$B1000))),Z$1,"""")"),"")</f>
        <v/>
      </c>
      <c r="AA351" s="33" t="str">
        <f>IFERROR(__xludf.DUMMYFUNCTION("IF(AA$1="""","""",REGEXMATCH(LOWER($E351),XLOOKUP(AA$1,Metadata!$A$2:$A1000,Metadata!$B$2:$B1000)))"),"")</f>
        <v/>
      </c>
    </row>
    <row r="352">
      <c r="A352" s="33" t="str">
        <f>IFERROR(__xludf.DUMMYFUNCTION("""COMPUTED_VALUE"""),"Blightcoven Puppeteer")</f>
        <v>Blightcoven Puppeteer</v>
      </c>
      <c r="B352" s="33" t="str">
        <f t="array" ref="B352:I352">XLOOKUP($A352,Cards!$A$2:$A1000,Cards!$B$2:$I1000,"")</f>
        <v>Void</v>
      </c>
      <c r="C352" s="33">
        <v>1.0</v>
      </c>
      <c r="D352" s="33" t="s">
        <v>1835</v>
      </c>
      <c r="E352" s="33" t="s">
        <v>1892</v>
      </c>
      <c r="F352" s="33" t="s">
        <v>1893</v>
      </c>
      <c r="G352" s="33">
        <v>2.0</v>
      </c>
      <c r="H352" s="33" t="s">
        <v>1684</v>
      </c>
      <c r="I352" s="33" t="s">
        <v>62</v>
      </c>
      <c r="J352" s="33">
        <f>IFERROR(__xludf.DUMMYFUNCTION("LEN(REGEXREPLACE(XLOOKUP($A352,Cards!$A$2:$A1000,Cards!$H$2:$H1000,""""),"",\s"",""""))"),3.0)</f>
        <v>3</v>
      </c>
      <c r="K352" s="33" t="str">
        <f t="shared" si="1"/>
        <v>     Unearth          </v>
      </c>
      <c r="L352" s="33" t="str">
        <f>IFERROR(__xludf.DUMMYFUNCTION("IF(IF(L$1="""","""",REGEXMATCH(LOWER($E352),XLOOKUP(L$1,Metadata!$A$2:$A1000,Metadata!$B$2:$B1000))),L$1,"""")"),"")</f>
        <v/>
      </c>
      <c r="M352" s="33" t="str">
        <f>IFERROR(__xludf.DUMMYFUNCTION("IF(IF(M$1="""","""",REGEXMATCH(LOWER($E352),XLOOKUP(M$1,Metadata!$A$2:$A1000,Metadata!$B$2:$B1000))),M$1,"""")"),"")</f>
        <v/>
      </c>
      <c r="N352" s="33" t="str">
        <f>IFERROR(__xludf.DUMMYFUNCTION("IF(IF(N$1="""","""",REGEXMATCH(LOWER($E352),XLOOKUP(N$1,Metadata!$A$2:$A1000,Metadata!$B$2:$B1000))),N$1,"""")"),"")</f>
        <v/>
      </c>
      <c r="O352" s="33" t="str">
        <f>IFERROR(__xludf.DUMMYFUNCTION("IF(IF(O$1="""","""",REGEXMATCH(LOWER($E352),XLOOKUP(O$1,Metadata!$A$2:$A1000,Metadata!$B$2:$B1000))),O$1,"""")"),"")</f>
        <v/>
      </c>
      <c r="P352" s="33" t="str">
        <f>IFERROR(__xludf.DUMMYFUNCTION("IF(IF(P$1="""","""",REGEXMATCH(LOWER($E352),XLOOKUP(P$1,Metadata!$A$2:$A1000,Metadata!$B$2:$B1000))),P$1,"""")"),"")</f>
        <v/>
      </c>
      <c r="Q352" s="33" t="str">
        <f>IFERROR(__xludf.DUMMYFUNCTION("IF(IF(Q$1="""","""",REGEXMATCH(LOWER($E352),XLOOKUP(Q$1,Metadata!$A$2:$A1000,Metadata!$B$2:$B1000))),Q$1,"""")"),"Unearth")</f>
        <v>Unearth</v>
      </c>
      <c r="R352" s="33" t="str">
        <f>IFERROR(__xludf.DUMMYFUNCTION("IF(IF(R$1="""","""",REGEXMATCH(LOWER($E352),XLOOKUP(R$1,Metadata!$A$2:$A1000,Metadata!$B$2:$B1000))),R$1,"""")"),"")</f>
        <v/>
      </c>
      <c r="S352" s="33" t="str">
        <f>IFERROR(__xludf.DUMMYFUNCTION("IF(IF(S$1="""","""",REGEXMATCH(LOWER($E352),XLOOKUP(S$1,Metadata!$A$2:$A1000,Metadata!$B$2:$B1000))),S$1,"""")"),"")</f>
        <v/>
      </c>
      <c r="T352" s="33" t="str">
        <f>IFERROR(__xludf.DUMMYFUNCTION("IF(IF(T$1="""","""",REGEXMATCH(LOWER($E352),XLOOKUP(T$1,Metadata!$A$2:$A1000,Metadata!$B$2:$B1000))),T$1,"""")"),"")</f>
        <v/>
      </c>
      <c r="U352" s="33" t="str">
        <f>IFERROR(__xludf.DUMMYFUNCTION("IF(IF(U$1="""","""",REGEXMATCH(LOWER($E352),XLOOKUP(U$1,Metadata!$A$2:$A1000,Metadata!$B$2:$B1000))),U$1,"""")"),"")</f>
        <v/>
      </c>
      <c r="V352" s="33" t="str">
        <f>IFERROR(__xludf.DUMMYFUNCTION("IF(IF(V$1="""","""",REGEXMATCH(LOWER($E352),XLOOKUP(V$1,Metadata!$A$2:$A1000,Metadata!$B$2:$B1000))),V$1,"""")"),"")</f>
        <v/>
      </c>
      <c r="W352" s="33" t="str">
        <f>IFERROR(__xludf.DUMMYFUNCTION("IF(IF(W$1="""","""",REGEXMATCH(LOWER($E352),XLOOKUP(W$1,Metadata!$A$2:$A1000,Metadata!$B$2:$B1000))),W$1,"""")"),"")</f>
        <v/>
      </c>
      <c r="X352" s="33" t="str">
        <f>IFERROR(__xludf.DUMMYFUNCTION("IF(IF(X$1="""","""",REGEXMATCH(LOWER($E352),XLOOKUP(X$1,Metadata!$A$2:$A1000,Metadata!$B$2:$B1000))),X$1,"""")"),"")</f>
        <v/>
      </c>
      <c r="Y352" s="33" t="str">
        <f>IFERROR(__xludf.DUMMYFUNCTION("IF(IF(Y$1="""","""",REGEXMATCH(LOWER($E352),XLOOKUP(Y$1,Metadata!$A$2:$A1000,Metadata!$B$2:$B1000))),Y$1,"""")"),"")</f>
        <v/>
      </c>
      <c r="Z352" s="33" t="str">
        <f>IFERROR(__xludf.DUMMYFUNCTION("IF(IF(Z$1="""","""",REGEXMATCH(LOWER($E352),XLOOKUP(Z$1,Metadata!$A$2:$A1000,Metadata!$B$2:$B1000))),Z$1,"""")"),"")</f>
        <v/>
      </c>
      <c r="AA352" s="33" t="str">
        <f>IFERROR(__xludf.DUMMYFUNCTION("IF(AA$1="""","""",REGEXMATCH(LOWER($E352),XLOOKUP(AA$1,Metadata!$A$2:$A1000,Metadata!$B$2:$B1000)))"),"")</f>
        <v/>
      </c>
    </row>
    <row r="353">
      <c r="A353" s="33" t="str">
        <f>IFERROR(__xludf.DUMMYFUNCTION("""COMPUTED_VALUE"""),"Bloodthrone Ambassador")</f>
        <v>Bloodthrone Ambassador</v>
      </c>
      <c r="B353" s="33" t="str">
        <f t="array" ref="B353:I353">XLOOKUP($A353,Cards!$A$2:$A1000,Cards!$B$2:$I1000,"")</f>
        <v>Void</v>
      </c>
      <c r="C353" s="33">
        <v>1.0</v>
      </c>
      <c r="D353" s="33" t="s">
        <v>1118</v>
      </c>
      <c r="E353" s="33" t="s">
        <v>1895</v>
      </c>
      <c r="F353" s="33" t="s">
        <v>1203</v>
      </c>
      <c r="G353" s="33">
        <v>2.0</v>
      </c>
      <c r="H353" s="33" t="s">
        <v>1688</v>
      </c>
      <c r="I353" s="33" t="s">
        <v>26</v>
      </c>
      <c r="J353" s="33">
        <f>IFERROR(__xludf.DUMMYFUNCTION("LEN(REGEXREPLACE(XLOOKUP($A353,Cards!$A$2:$A1000,Cards!$H$2:$H1000,""""),"",\s"",""""))"),2.0)</f>
        <v>2</v>
      </c>
      <c r="K353" s="33" t="str">
        <f t="shared" si="1"/>
        <v>               </v>
      </c>
      <c r="L353" s="33" t="str">
        <f>IFERROR(__xludf.DUMMYFUNCTION("IF(IF(L$1="""","""",REGEXMATCH(LOWER($E353),XLOOKUP(L$1,Metadata!$A$2:$A1000,Metadata!$B$2:$B1000))),L$1,"""")"),"")</f>
        <v/>
      </c>
      <c r="M353" s="33" t="str">
        <f>IFERROR(__xludf.DUMMYFUNCTION("IF(IF(M$1="""","""",REGEXMATCH(LOWER($E353),XLOOKUP(M$1,Metadata!$A$2:$A1000,Metadata!$B$2:$B1000))),M$1,"""")"),"")</f>
        <v/>
      </c>
      <c r="N353" s="33" t="str">
        <f>IFERROR(__xludf.DUMMYFUNCTION("IF(IF(N$1="""","""",REGEXMATCH(LOWER($E353),XLOOKUP(N$1,Metadata!$A$2:$A1000,Metadata!$B$2:$B1000))),N$1,"""")"),"")</f>
        <v/>
      </c>
      <c r="O353" s="33" t="str">
        <f>IFERROR(__xludf.DUMMYFUNCTION("IF(IF(O$1="""","""",REGEXMATCH(LOWER($E353),XLOOKUP(O$1,Metadata!$A$2:$A1000,Metadata!$B$2:$B1000))),O$1,"""")"),"")</f>
        <v/>
      </c>
      <c r="P353" s="33" t="str">
        <f>IFERROR(__xludf.DUMMYFUNCTION("IF(IF(P$1="""","""",REGEXMATCH(LOWER($E353),XLOOKUP(P$1,Metadata!$A$2:$A1000,Metadata!$B$2:$B1000))),P$1,"""")"),"")</f>
        <v/>
      </c>
      <c r="Q353" s="33" t="str">
        <f>IFERROR(__xludf.DUMMYFUNCTION("IF(IF(Q$1="""","""",REGEXMATCH(LOWER($E353),XLOOKUP(Q$1,Metadata!$A$2:$A1000,Metadata!$B$2:$B1000))),Q$1,"""")"),"")</f>
        <v/>
      </c>
      <c r="R353" s="33" t="str">
        <f>IFERROR(__xludf.DUMMYFUNCTION("IF(IF(R$1="""","""",REGEXMATCH(LOWER($E353),XLOOKUP(R$1,Metadata!$A$2:$A1000,Metadata!$B$2:$B1000))),R$1,"""")"),"")</f>
        <v/>
      </c>
      <c r="S353" s="33" t="str">
        <f>IFERROR(__xludf.DUMMYFUNCTION("IF(IF(S$1="""","""",REGEXMATCH(LOWER($E353),XLOOKUP(S$1,Metadata!$A$2:$A1000,Metadata!$B$2:$B1000))),S$1,"""")"),"")</f>
        <v/>
      </c>
      <c r="T353" s="33" t="str">
        <f>IFERROR(__xludf.DUMMYFUNCTION("IF(IF(T$1="""","""",REGEXMATCH(LOWER($E353),XLOOKUP(T$1,Metadata!$A$2:$A1000,Metadata!$B$2:$B1000))),T$1,"""")"),"")</f>
        <v/>
      </c>
      <c r="U353" s="33" t="str">
        <f>IFERROR(__xludf.DUMMYFUNCTION("IF(IF(U$1="""","""",REGEXMATCH(LOWER($E353),XLOOKUP(U$1,Metadata!$A$2:$A1000,Metadata!$B$2:$B1000))),U$1,"""")"),"")</f>
        <v/>
      </c>
      <c r="V353" s="33" t="str">
        <f>IFERROR(__xludf.DUMMYFUNCTION("IF(IF(V$1="""","""",REGEXMATCH(LOWER($E353),XLOOKUP(V$1,Metadata!$A$2:$A1000,Metadata!$B$2:$B1000))),V$1,"""")"),"")</f>
        <v/>
      </c>
      <c r="W353" s="33" t="str">
        <f>IFERROR(__xludf.DUMMYFUNCTION("IF(IF(W$1="""","""",REGEXMATCH(LOWER($E353),XLOOKUP(W$1,Metadata!$A$2:$A1000,Metadata!$B$2:$B1000))),W$1,"""")"),"")</f>
        <v/>
      </c>
      <c r="X353" s="33" t="str">
        <f>IFERROR(__xludf.DUMMYFUNCTION("IF(IF(X$1="""","""",REGEXMATCH(LOWER($E353),XLOOKUP(X$1,Metadata!$A$2:$A1000,Metadata!$B$2:$B1000))),X$1,"""")"),"")</f>
        <v/>
      </c>
      <c r="Y353" s="33" t="str">
        <f>IFERROR(__xludf.DUMMYFUNCTION("IF(IF(Y$1="""","""",REGEXMATCH(LOWER($E353),XLOOKUP(Y$1,Metadata!$A$2:$A1000,Metadata!$B$2:$B1000))),Y$1,"""")"),"")</f>
        <v/>
      </c>
      <c r="Z353" s="33" t="str">
        <f>IFERROR(__xludf.DUMMYFUNCTION("IF(IF(Z$1="""","""",REGEXMATCH(LOWER($E353),XLOOKUP(Z$1,Metadata!$A$2:$A1000,Metadata!$B$2:$B1000))),Z$1,"""")"),"")</f>
        <v/>
      </c>
      <c r="AA353" s="33" t="str">
        <f>IFERROR(__xludf.DUMMYFUNCTION("IF(AA$1="""","""",REGEXMATCH(LOWER($E353),XLOOKUP(AA$1,Metadata!$A$2:$A1000,Metadata!$B$2:$B1000)))"),"")</f>
        <v/>
      </c>
    </row>
    <row r="354">
      <c r="A354" s="33" t="str">
        <f>IFERROR(__xludf.DUMMYFUNCTION("""COMPUTED_VALUE"""),"Bloodthrone Sovereign")</f>
        <v>Bloodthrone Sovereign</v>
      </c>
      <c r="B354" s="33" t="str">
        <f t="array" ref="B354:I354">XLOOKUP($A354,Cards!$A$2:$A1000,Cards!$B$2:$I1000,"")</f>
        <v>Void</v>
      </c>
      <c r="C354" s="33">
        <v>1.0</v>
      </c>
      <c r="D354" s="33" t="s">
        <v>1897</v>
      </c>
      <c r="E354" s="33" t="s">
        <v>1898</v>
      </c>
      <c r="F354" s="33" t="s">
        <v>1899</v>
      </c>
      <c r="G354" s="33">
        <v>2.0</v>
      </c>
      <c r="H354" s="33" t="s">
        <v>1785</v>
      </c>
      <c r="I354" s="33" t="s">
        <v>62</v>
      </c>
      <c r="J354" s="33">
        <f>IFERROR(__xludf.DUMMYFUNCTION("LEN(REGEXREPLACE(XLOOKUP($A354,Cards!$A$2:$A1000,Cards!$H$2:$H1000,""""),"",\s"",""""))"),4.0)</f>
        <v>4</v>
      </c>
      <c r="K354" s="33" t="str">
        <f t="shared" si="1"/>
        <v>               </v>
      </c>
      <c r="L354" s="33" t="str">
        <f>IFERROR(__xludf.DUMMYFUNCTION("IF(IF(L$1="""","""",REGEXMATCH(LOWER($E354),XLOOKUP(L$1,Metadata!$A$2:$A1000,Metadata!$B$2:$B1000))),L$1,"""")"),"")</f>
        <v/>
      </c>
      <c r="M354" s="33" t="str">
        <f>IFERROR(__xludf.DUMMYFUNCTION("IF(IF(M$1="""","""",REGEXMATCH(LOWER($E354),XLOOKUP(M$1,Metadata!$A$2:$A1000,Metadata!$B$2:$B1000))),M$1,"""")"),"")</f>
        <v/>
      </c>
      <c r="N354" s="33" t="str">
        <f>IFERROR(__xludf.DUMMYFUNCTION("IF(IF(N$1="""","""",REGEXMATCH(LOWER($E354),XLOOKUP(N$1,Metadata!$A$2:$A1000,Metadata!$B$2:$B1000))),N$1,"""")"),"")</f>
        <v/>
      </c>
      <c r="O354" s="33" t="str">
        <f>IFERROR(__xludf.DUMMYFUNCTION("IF(IF(O$1="""","""",REGEXMATCH(LOWER($E354),XLOOKUP(O$1,Metadata!$A$2:$A1000,Metadata!$B$2:$B1000))),O$1,"""")"),"")</f>
        <v/>
      </c>
      <c r="P354" s="33" t="str">
        <f>IFERROR(__xludf.DUMMYFUNCTION("IF(IF(P$1="""","""",REGEXMATCH(LOWER($E354),XLOOKUP(P$1,Metadata!$A$2:$A1000,Metadata!$B$2:$B1000))),P$1,"""")"),"")</f>
        <v/>
      </c>
      <c r="Q354" s="33" t="str">
        <f>IFERROR(__xludf.DUMMYFUNCTION("IF(IF(Q$1="""","""",REGEXMATCH(LOWER($E354),XLOOKUP(Q$1,Metadata!$A$2:$A1000,Metadata!$B$2:$B1000))),Q$1,"""")"),"")</f>
        <v/>
      </c>
      <c r="R354" s="33" t="str">
        <f>IFERROR(__xludf.DUMMYFUNCTION("IF(IF(R$1="""","""",REGEXMATCH(LOWER($E354),XLOOKUP(R$1,Metadata!$A$2:$A1000,Metadata!$B$2:$B1000))),R$1,"""")"),"")</f>
        <v/>
      </c>
      <c r="S354" s="33" t="str">
        <f>IFERROR(__xludf.DUMMYFUNCTION("IF(IF(S$1="""","""",REGEXMATCH(LOWER($E354),XLOOKUP(S$1,Metadata!$A$2:$A1000,Metadata!$B$2:$B1000))),S$1,"""")"),"")</f>
        <v/>
      </c>
      <c r="T354" s="33" t="str">
        <f>IFERROR(__xludf.DUMMYFUNCTION("IF(IF(T$1="""","""",REGEXMATCH(LOWER($E354),XLOOKUP(T$1,Metadata!$A$2:$A1000,Metadata!$B$2:$B1000))),T$1,"""")"),"")</f>
        <v/>
      </c>
      <c r="U354" s="33" t="str">
        <f>IFERROR(__xludf.DUMMYFUNCTION("IF(IF(U$1="""","""",REGEXMATCH(LOWER($E354),XLOOKUP(U$1,Metadata!$A$2:$A1000,Metadata!$B$2:$B1000))),U$1,"""")"),"")</f>
        <v/>
      </c>
      <c r="V354" s="33" t="str">
        <f>IFERROR(__xludf.DUMMYFUNCTION("IF(IF(V$1="""","""",REGEXMATCH(LOWER($E354),XLOOKUP(V$1,Metadata!$A$2:$A1000,Metadata!$B$2:$B1000))),V$1,"""")"),"")</f>
        <v/>
      </c>
      <c r="W354" s="33" t="str">
        <f>IFERROR(__xludf.DUMMYFUNCTION("IF(IF(W$1="""","""",REGEXMATCH(LOWER($E354),XLOOKUP(W$1,Metadata!$A$2:$A1000,Metadata!$B$2:$B1000))),W$1,"""")"),"")</f>
        <v/>
      </c>
      <c r="X354" s="33" t="str">
        <f>IFERROR(__xludf.DUMMYFUNCTION("IF(IF(X$1="""","""",REGEXMATCH(LOWER($E354),XLOOKUP(X$1,Metadata!$A$2:$A1000,Metadata!$B$2:$B1000))),X$1,"""")"),"")</f>
        <v/>
      </c>
      <c r="Y354" s="33" t="str">
        <f>IFERROR(__xludf.DUMMYFUNCTION("IF(IF(Y$1="""","""",REGEXMATCH(LOWER($E354),XLOOKUP(Y$1,Metadata!$A$2:$A1000,Metadata!$B$2:$B1000))),Y$1,"""")"),"")</f>
        <v/>
      </c>
      <c r="Z354" s="33" t="str">
        <f>IFERROR(__xludf.DUMMYFUNCTION("IF(IF(Z$1="""","""",REGEXMATCH(LOWER($E354),XLOOKUP(Z$1,Metadata!$A$2:$A1000,Metadata!$B$2:$B1000))),Z$1,"""")"),"")</f>
        <v/>
      </c>
      <c r="AA354" s="33" t="str">
        <f>IFERROR(__xludf.DUMMYFUNCTION("IF(AA$1="""","""",REGEXMATCH(LOWER($E354),XLOOKUP(AA$1,Metadata!$A$2:$A1000,Metadata!$B$2:$B1000)))"),"")</f>
        <v/>
      </c>
    </row>
    <row r="355">
      <c r="A355" s="33" t="str">
        <f>IFERROR(__xludf.DUMMYFUNCTION("""COMPUTED_VALUE"""),"Emissary of Darkness")</f>
        <v>Emissary of Darkness</v>
      </c>
      <c r="B355" s="33" t="str">
        <f t="array" ref="B355:I355">XLOOKUP($A355,Cards!$A$2:$A1000,Cards!$B$2:$I1000,"")</f>
        <v>Void</v>
      </c>
      <c r="C355" s="33">
        <v>1.0</v>
      </c>
      <c r="D355" s="33" t="s">
        <v>294</v>
      </c>
      <c r="E355" s="33" t="s">
        <v>1901</v>
      </c>
      <c r="F355" s="33" t="s">
        <v>1902</v>
      </c>
      <c r="G355" s="33">
        <v>3.0</v>
      </c>
      <c r="H355" s="33" t="s">
        <v>1785</v>
      </c>
      <c r="I355" s="33" t="s">
        <v>62</v>
      </c>
      <c r="J355" s="33">
        <f>IFERROR(__xludf.DUMMYFUNCTION("LEN(REGEXREPLACE(XLOOKUP($A355,Cards!$A$2:$A1000,Cards!$H$2:$H1000,""""),"",\s"",""""))"),4.0)</f>
        <v>4</v>
      </c>
      <c r="K355" s="33" t="str">
        <f t="shared" si="1"/>
        <v>               </v>
      </c>
      <c r="L355" s="33" t="str">
        <f>IFERROR(__xludf.DUMMYFUNCTION("IF(IF(L$1="""","""",REGEXMATCH(LOWER($E355),XLOOKUP(L$1,Metadata!$A$2:$A1000,Metadata!$B$2:$B1000))),L$1,"""")"),"")</f>
        <v/>
      </c>
      <c r="M355" s="33" t="str">
        <f>IFERROR(__xludf.DUMMYFUNCTION("IF(IF(M$1="""","""",REGEXMATCH(LOWER($E355),XLOOKUP(M$1,Metadata!$A$2:$A1000,Metadata!$B$2:$B1000))),M$1,"""")"),"")</f>
        <v/>
      </c>
      <c r="N355" s="33" t="str">
        <f>IFERROR(__xludf.DUMMYFUNCTION("IF(IF(N$1="""","""",REGEXMATCH(LOWER($E355),XLOOKUP(N$1,Metadata!$A$2:$A1000,Metadata!$B$2:$B1000))),N$1,"""")"),"")</f>
        <v/>
      </c>
      <c r="O355" s="33" t="str">
        <f>IFERROR(__xludf.DUMMYFUNCTION("IF(IF(O$1="""","""",REGEXMATCH(LOWER($E355),XLOOKUP(O$1,Metadata!$A$2:$A1000,Metadata!$B$2:$B1000))),O$1,"""")"),"")</f>
        <v/>
      </c>
      <c r="P355" s="33" t="str">
        <f>IFERROR(__xludf.DUMMYFUNCTION("IF(IF(P$1="""","""",REGEXMATCH(LOWER($E355),XLOOKUP(P$1,Metadata!$A$2:$A1000,Metadata!$B$2:$B1000))),P$1,"""")"),"")</f>
        <v/>
      </c>
      <c r="Q355" s="33" t="str">
        <f>IFERROR(__xludf.DUMMYFUNCTION("IF(IF(Q$1="""","""",REGEXMATCH(LOWER($E355),XLOOKUP(Q$1,Metadata!$A$2:$A1000,Metadata!$B$2:$B1000))),Q$1,"""")"),"")</f>
        <v/>
      </c>
      <c r="R355" s="33" t="str">
        <f>IFERROR(__xludf.DUMMYFUNCTION("IF(IF(R$1="""","""",REGEXMATCH(LOWER($E355),XLOOKUP(R$1,Metadata!$A$2:$A1000,Metadata!$B$2:$B1000))),R$1,"""")"),"")</f>
        <v/>
      </c>
      <c r="S355" s="33" t="str">
        <f>IFERROR(__xludf.DUMMYFUNCTION("IF(IF(S$1="""","""",REGEXMATCH(LOWER($E355),XLOOKUP(S$1,Metadata!$A$2:$A1000,Metadata!$B$2:$B1000))),S$1,"""")"),"")</f>
        <v/>
      </c>
      <c r="T355" s="33" t="str">
        <f>IFERROR(__xludf.DUMMYFUNCTION("IF(IF(T$1="""","""",REGEXMATCH(LOWER($E355),XLOOKUP(T$1,Metadata!$A$2:$A1000,Metadata!$B$2:$B1000))),T$1,"""")"),"")</f>
        <v/>
      </c>
      <c r="U355" s="33" t="str">
        <f>IFERROR(__xludf.DUMMYFUNCTION("IF(IF(U$1="""","""",REGEXMATCH(LOWER($E355),XLOOKUP(U$1,Metadata!$A$2:$A1000,Metadata!$B$2:$B1000))),U$1,"""")"),"")</f>
        <v/>
      </c>
      <c r="V355" s="33" t="str">
        <f>IFERROR(__xludf.DUMMYFUNCTION("IF(IF(V$1="""","""",REGEXMATCH(LOWER($E355),XLOOKUP(V$1,Metadata!$A$2:$A1000,Metadata!$B$2:$B1000))),V$1,"""")"),"")</f>
        <v/>
      </c>
      <c r="W355" s="33" t="str">
        <f>IFERROR(__xludf.DUMMYFUNCTION("IF(IF(W$1="""","""",REGEXMATCH(LOWER($E355),XLOOKUP(W$1,Metadata!$A$2:$A1000,Metadata!$B$2:$B1000))),W$1,"""")"),"")</f>
        <v/>
      </c>
      <c r="X355" s="33" t="str">
        <f>IFERROR(__xludf.DUMMYFUNCTION("IF(IF(X$1="""","""",REGEXMATCH(LOWER($E355),XLOOKUP(X$1,Metadata!$A$2:$A1000,Metadata!$B$2:$B1000))),X$1,"""")"),"")</f>
        <v/>
      </c>
      <c r="Y355" s="33" t="str">
        <f>IFERROR(__xludf.DUMMYFUNCTION("IF(IF(Y$1="""","""",REGEXMATCH(LOWER($E355),XLOOKUP(Y$1,Metadata!$A$2:$A1000,Metadata!$B$2:$B1000))),Y$1,"""")"),"")</f>
        <v/>
      </c>
      <c r="Z355" s="33" t="str">
        <f>IFERROR(__xludf.DUMMYFUNCTION("IF(IF(Z$1="""","""",REGEXMATCH(LOWER($E355),XLOOKUP(Z$1,Metadata!$A$2:$A1000,Metadata!$B$2:$B1000))),Z$1,"""")"),"")</f>
        <v/>
      </c>
      <c r="AA355" s="33" t="str">
        <f>IFERROR(__xludf.DUMMYFUNCTION("IF(AA$1="""","""",REGEXMATCH(LOWER($E355),XLOOKUP(AA$1,Metadata!$A$2:$A1000,Metadata!$B$2:$B1000)))"),"")</f>
        <v/>
      </c>
    </row>
    <row r="356">
      <c r="A356" s="33" t="str">
        <f>IFERROR(__xludf.DUMMYFUNCTION("""COMPUTED_VALUE"""),"Forsaken Chronicler")</f>
        <v>Forsaken Chronicler</v>
      </c>
      <c r="B356" s="33" t="str">
        <f t="array" ref="B356:I356">XLOOKUP($A356,Cards!$A$2:$A1000,Cards!$B$2:$I1000,"")</f>
        <v>Void</v>
      </c>
      <c r="C356" s="33">
        <v>1.0</v>
      </c>
      <c r="D356" s="33" t="s">
        <v>1118</v>
      </c>
      <c r="E356" s="33" t="s">
        <v>1904</v>
      </c>
      <c r="F356" s="33" t="s">
        <v>1905</v>
      </c>
      <c r="G356" s="33">
        <v>3.0</v>
      </c>
      <c r="H356" s="33" t="s">
        <v>1684</v>
      </c>
      <c r="I356" s="33" t="s">
        <v>26</v>
      </c>
      <c r="J356" s="33">
        <f>IFERROR(__xludf.DUMMYFUNCTION("LEN(REGEXREPLACE(XLOOKUP($A356,Cards!$A$2:$A1000,Cards!$H$2:$H1000,""""),"",\s"",""""))"),3.0)</f>
        <v>3</v>
      </c>
      <c r="K356" s="33" t="str">
        <f t="shared" si="1"/>
        <v>            Ambush   </v>
      </c>
      <c r="L356" s="33" t="str">
        <f>IFERROR(__xludf.DUMMYFUNCTION("IF(IF(L$1="""","""",REGEXMATCH(LOWER($E356),XLOOKUP(L$1,Metadata!$A$2:$A1000,Metadata!$B$2:$B1000))),L$1,"""")"),"")</f>
        <v/>
      </c>
      <c r="M356" s="33" t="str">
        <f>IFERROR(__xludf.DUMMYFUNCTION("IF(IF(M$1="""","""",REGEXMATCH(LOWER($E356),XLOOKUP(M$1,Metadata!$A$2:$A1000,Metadata!$B$2:$B1000))),M$1,"""")"),"")</f>
        <v/>
      </c>
      <c r="N356" s="33" t="str">
        <f>IFERROR(__xludf.DUMMYFUNCTION("IF(IF(N$1="""","""",REGEXMATCH(LOWER($E356),XLOOKUP(N$1,Metadata!$A$2:$A1000,Metadata!$B$2:$B1000))),N$1,"""")"),"")</f>
        <v/>
      </c>
      <c r="O356" s="33" t="str">
        <f>IFERROR(__xludf.DUMMYFUNCTION("IF(IF(O$1="""","""",REGEXMATCH(LOWER($E356),XLOOKUP(O$1,Metadata!$A$2:$A1000,Metadata!$B$2:$B1000))),O$1,"""")"),"")</f>
        <v/>
      </c>
      <c r="P356" s="33" t="str">
        <f>IFERROR(__xludf.DUMMYFUNCTION("IF(IF(P$1="""","""",REGEXMATCH(LOWER($E356),XLOOKUP(P$1,Metadata!$A$2:$A1000,Metadata!$B$2:$B1000))),P$1,"""")"),"")</f>
        <v/>
      </c>
      <c r="Q356" s="33" t="str">
        <f>IFERROR(__xludf.DUMMYFUNCTION("IF(IF(Q$1="""","""",REGEXMATCH(LOWER($E356),XLOOKUP(Q$1,Metadata!$A$2:$A1000,Metadata!$B$2:$B1000))),Q$1,"""")"),"")</f>
        <v/>
      </c>
      <c r="R356" s="33" t="str">
        <f>IFERROR(__xludf.DUMMYFUNCTION("IF(IF(R$1="""","""",REGEXMATCH(LOWER($E356),XLOOKUP(R$1,Metadata!$A$2:$A1000,Metadata!$B$2:$B1000))),R$1,"""")"),"")</f>
        <v/>
      </c>
      <c r="S356" s="33" t="str">
        <f>IFERROR(__xludf.DUMMYFUNCTION("IF(IF(S$1="""","""",REGEXMATCH(LOWER($E356),XLOOKUP(S$1,Metadata!$A$2:$A1000,Metadata!$B$2:$B1000))),S$1,"""")"),"")</f>
        <v/>
      </c>
      <c r="T356" s="33" t="str">
        <f>IFERROR(__xludf.DUMMYFUNCTION("IF(IF(T$1="""","""",REGEXMATCH(LOWER($E356),XLOOKUP(T$1,Metadata!$A$2:$A1000,Metadata!$B$2:$B1000))),T$1,"""")"),"")</f>
        <v/>
      </c>
      <c r="U356" s="33" t="str">
        <f>IFERROR(__xludf.DUMMYFUNCTION("IF(IF(U$1="""","""",REGEXMATCH(LOWER($E356),XLOOKUP(U$1,Metadata!$A$2:$A1000,Metadata!$B$2:$B1000))),U$1,"""")"),"")</f>
        <v/>
      </c>
      <c r="V356" s="33" t="str">
        <f>IFERROR(__xludf.DUMMYFUNCTION("IF(IF(V$1="""","""",REGEXMATCH(LOWER($E356),XLOOKUP(V$1,Metadata!$A$2:$A1000,Metadata!$B$2:$B1000))),V$1,"""")"),"")</f>
        <v/>
      </c>
      <c r="W356" s="33" t="str">
        <f>IFERROR(__xludf.DUMMYFUNCTION("IF(IF(W$1="""","""",REGEXMATCH(LOWER($E356),XLOOKUP(W$1,Metadata!$A$2:$A1000,Metadata!$B$2:$B1000))),W$1,"""")"),"")</f>
        <v/>
      </c>
      <c r="X356" s="33" t="str">
        <f>IFERROR(__xludf.DUMMYFUNCTION("IF(IF(X$1="""","""",REGEXMATCH(LOWER($E356),XLOOKUP(X$1,Metadata!$A$2:$A1000,Metadata!$B$2:$B1000))),X$1,"""")"),"Ambush")</f>
        <v>Ambush</v>
      </c>
      <c r="Y356" s="33" t="str">
        <f>IFERROR(__xludf.DUMMYFUNCTION("IF(IF(Y$1="""","""",REGEXMATCH(LOWER($E356),XLOOKUP(Y$1,Metadata!$A$2:$A1000,Metadata!$B$2:$B1000))),Y$1,"""")"),"")</f>
        <v/>
      </c>
      <c r="Z356" s="33" t="str">
        <f>IFERROR(__xludf.DUMMYFUNCTION("IF(IF(Z$1="""","""",REGEXMATCH(LOWER($E356),XLOOKUP(Z$1,Metadata!$A$2:$A1000,Metadata!$B$2:$B1000))),Z$1,"""")"),"")</f>
        <v/>
      </c>
      <c r="AA356" s="33" t="str">
        <f>IFERROR(__xludf.DUMMYFUNCTION("IF(AA$1="""","""",REGEXMATCH(LOWER($E356),XLOOKUP(AA$1,Metadata!$A$2:$A1000,Metadata!$B$2:$B1000)))"),"")</f>
        <v/>
      </c>
    </row>
    <row r="357">
      <c r="A357" s="33" t="str">
        <f>IFERROR(__xludf.DUMMYFUNCTION("""COMPUTED_VALUE"""),"Forsaken Serenader")</f>
        <v>Forsaken Serenader</v>
      </c>
      <c r="B357" s="33" t="str">
        <f t="array" ref="B357:I357">XLOOKUP($A357,Cards!$A$2:$A1000,Cards!$B$2:$I1000,"")</f>
        <v>Void</v>
      </c>
      <c r="C357" s="33">
        <v>1.0</v>
      </c>
      <c r="D357" s="33" t="s">
        <v>1118</v>
      </c>
      <c r="E357" s="33" t="s">
        <v>1907</v>
      </c>
      <c r="F357" s="33" t="s">
        <v>1908</v>
      </c>
      <c r="G357" s="33">
        <v>3.0</v>
      </c>
      <c r="H357" s="33" t="s">
        <v>1684</v>
      </c>
      <c r="I357" s="33" t="s">
        <v>26</v>
      </c>
      <c r="J357" s="33">
        <f>IFERROR(__xludf.DUMMYFUNCTION("LEN(REGEXREPLACE(XLOOKUP($A357,Cards!$A$2:$A1000,Cards!$H$2:$H1000,""""),"",\s"",""""))"),3.0)</f>
        <v>3</v>
      </c>
      <c r="K357" s="33" t="str">
        <f t="shared" si="1"/>
        <v>    Void           </v>
      </c>
      <c r="L357" s="33" t="str">
        <f>IFERROR(__xludf.DUMMYFUNCTION("IF(IF(L$1="""","""",REGEXMATCH(LOWER($E357),XLOOKUP(L$1,Metadata!$A$2:$A1000,Metadata!$B$2:$B1000))),L$1,"""")"),"")</f>
        <v/>
      </c>
      <c r="M357" s="33" t="str">
        <f>IFERROR(__xludf.DUMMYFUNCTION("IF(IF(M$1="""","""",REGEXMATCH(LOWER($E357),XLOOKUP(M$1,Metadata!$A$2:$A1000,Metadata!$B$2:$B1000))),M$1,"""")"),"")</f>
        <v/>
      </c>
      <c r="N357" s="33" t="str">
        <f>IFERROR(__xludf.DUMMYFUNCTION("IF(IF(N$1="""","""",REGEXMATCH(LOWER($E357),XLOOKUP(N$1,Metadata!$A$2:$A1000,Metadata!$B$2:$B1000))),N$1,"""")"),"")</f>
        <v/>
      </c>
      <c r="O357" s="33" t="str">
        <f>IFERROR(__xludf.DUMMYFUNCTION("IF(IF(O$1="""","""",REGEXMATCH(LOWER($E357),XLOOKUP(O$1,Metadata!$A$2:$A1000,Metadata!$B$2:$B1000))),O$1,"""")"),"")</f>
        <v/>
      </c>
      <c r="P357" s="33" t="str">
        <f>IFERROR(__xludf.DUMMYFUNCTION("IF(IF(P$1="""","""",REGEXMATCH(LOWER($E357),XLOOKUP(P$1,Metadata!$A$2:$A1000,Metadata!$B$2:$B1000))),P$1,"""")"),"Void")</f>
        <v>Void</v>
      </c>
      <c r="Q357" s="33" t="str">
        <f>IFERROR(__xludf.DUMMYFUNCTION("IF(IF(Q$1="""","""",REGEXMATCH(LOWER($E357),XLOOKUP(Q$1,Metadata!$A$2:$A1000,Metadata!$B$2:$B1000))),Q$1,"""")"),"")</f>
        <v/>
      </c>
      <c r="R357" s="33" t="str">
        <f>IFERROR(__xludf.DUMMYFUNCTION("IF(IF(R$1="""","""",REGEXMATCH(LOWER($E357),XLOOKUP(R$1,Metadata!$A$2:$A1000,Metadata!$B$2:$B1000))),R$1,"""")"),"")</f>
        <v/>
      </c>
      <c r="S357" s="33" t="str">
        <f>IFERROR(__xludf.DUMMYFUNCTION("IF(IF(S$1="""","""",REGEXMATCH(LOWER($E357),XLOOKUP(S$1,Metadata!$A$2:$A1000,Metadata!$B$2:$B1000))),S$1,"""")"),"")</f>
        <v/>
      </c>
      <c r="T357" s="33" t="str">
        <f>IFERROR(__xludf.DUMMYFUNCTION("IF(IF(T$1="""","""",REGEXMATCH(LOWER($E357),XLOOKUP(T$1,Metadata!$A$2:$A1000,Metadata!$B$2:$B1000))),T$1,"""")"),"")</f>
        <v/>
      </c>
      <c r="U357" s="33" t="str">
        <f>IFERROR(__xludf.DUMMYFUNCTION("IF(IF(U$1="""","""",REGEXMATCH(LOWER($E357),XLOOKUP(U$1,Metadata!$A$2:$A1000,Metadata!$B$2:$B1000))),U$1,"""")"),"")</f>
        <v/>
      </c>
      <c r="V357" s="33" t="str">
        <f>IFERROR(__xludf.DUMMYFUNCTION("IF(IF(V$1="""","""",REGEXMATCH(LOWER($E357),XLOOKUP(V$1,Metadata!$A$2:$A1000,Metadata!$B$2:$B1000))),V$1,"""")"),"")</f>
        <v/>
      </c>
      <c r="W357" s="33" t="str">
        <f>IFERROR(__xludf.DUMMYFUNCTION("IF(IF(W$1="""","""",REGEXMATCH(LOWER($E357),XLOOKUP(W$1,Metadata!$A$2:$A1000,Metadata!$B$2:$B1000))),W$1,"""")"),"")</f>
        <v/>
      </c>
      <c r="X357" s="33" t="str">
        <f>IFERROR(__xludf.DUMMYFUNCTION("IF(IF(X$1="""","""",REGEXMATCH(LOWER($E357),XLOOKUP(X$1,Metadata!$A$2:$A1000,Metadata!$B$2:$B1000))),X$1,"""")"),"")</f>
        <v/>
      </c>
      <c r="Y357" s="33" t="str">
        <f>IFERROR(__xludf.DUMMYFUNCTION("IF(IF(Y$1="""","""",REGEXMATCH(LOWER($E357),XLOOKUP(Y$1,Metadata!$A$2:$A1000,Metadata!$B$2:$B1000))),Y$1,"""")"),"")</f>
        <v/>
      </c>
      <c r="Z357" s="33" t="str">
        <f>IFERROR(__xludf.DUMMYFUNCTION("IF(IF(Z$1="""","""",REGEXMATCH(LOWER($E357),XLOOKUP(Z$1,Metadata!$A$2:$A1000,Metadata!$B$2:$B1000))),Z$1,"""")"),"")</f>
        <v/>
      </c>
      <c r="AA357" s="33" t="str">
        <f>IFERROR(__xludf.DUMMYFUNCTION("IF(AA$1="""","""",REGEXMATCH(LOWER($E357),XLOOKUP(AA$1,Metadata!$A$2:$A1000,Metadata!$B$2:$B1000)))"),"")</f>
        <v/>
      </c>
    </row>
    <row r="358">
      <c r="A358" s="33" t="str">
        <f>IFERROR(__xludf.DUMMYFUNCTION("""COMPUTED_VALUE"""),"Foul Corruptor")</f>
        <v>Foul Corruptor</v>
      </c>
      <c r="B358" s="33" t="str">
        <f t="array" ref="B358:I358">XLOOKUP($A358,Cards!$A$2:$A1000,Cards!$B$2:$I1000,"")</f>
        <v>Void</v>
      </c>
      <c r="C358" s="33">
        <v>1.0</v>
      </c>
      <c r="D358" s="33" t="s">
        <v>1681</v>
      </c>
      <c r="E358" s="33" t="s">
        <v>1910</v>
      </c>
      <c r="F358" s="33" t="s">
        <v>1911</v>
      </c>
      <c r="G358" s="33">
        <v>2.0</v>
      </c>
      <c r="H358" s="33" t="s">
        <v>1688</v>
      </c>
      <c r="I358" s="33" t="s">
        <v>26</v>
      </c>
      <c r="J358" s="33">
        <f>IFERROR(__xludf.DUMMYFUNCTION("LEN(REGEXREPLACE(XLOOKUP($A358,Cards!$A$2:$A1000,Cards!$H$2:$H1000,""""),"",\s"",""""))"),2.0)</f>
        <v>2</v>
      </c>
      <c r="K358" s="33" t="str">
        <f t="shared" si="1"/>
        <v>    Void           </v>
      </c>
      <c r="L358" s="33" t="str">
        <f>IFERROR(__xludf.DUMMYFUNCTION("IF(IF(L$1="""","""",REGEXMATCH(LOWER($E358),XLOOKUP(L$1,Metadata!$A$2:$A1000,Metadata!$B$2:$B1000))),L$1,"""")"),"")</f>
        <v/>
      </c>
      <c r="M358" s="33" t="str">
        <f>IFERROR(__xludf.DUMMYFUNCTION("IF(IF(M$1="""","""",REGEXMATCH(LOWER($E358),XLOOKUP(M$1,Metadata!$A$2:$A1000,Metadata!$B$2:$B1000))),M$1,"""")"),"")</f>
        <v/>
      </c>
      <c r="N358" s="33" t="str">
        <f>IFERROR(__xludf.DUMMYFUNCTION("IF(IF(N$1="""","""",REGEXMATCH(LOWER($E358),XLOOKUP(N$1,Metadata!$A$2:$A1000,Metadata!$B$2:$B1000))),N$1,"""")"),"")</f>
        <v/>
      </c>
      <c r="O358" s="33" t="str">
        <f>IFERROR(__xludf.DUMMYFUNCTION("IF(IF(O$1="""","""",REGEXMATCH(LOWER($E358),XLOOKUP(O$1,Metadata!$A$2:$A1000,Metadata!$B$2:$B1000))),O$1,"""")"),"")</f>
        <v/>
      </c>
      <c r="P358" s="33" t="str">
        <f>IFERROR(__xludf.DUMMYFUNCTION("IF(IF(P$1="""","""",REGEXMATCH(LOWER($E358),XLOOKUP(P$1,Metadata!$A$2:$A1000,Metadata!$B$2:$B1000))),P$1,"""")"),"Void")</f>
        <v>Void</v>
      </c>
      <c r="Q358" s="33" t="str">
        <f>IFERROR(__xludf.DUMMYFUNCTION("IF(IF(Q$1="""","""",REGEXMATCH(LOWER($E358),XLOOKUP(Q$1,Metadata!$A$2:$A1000,Metadata!$B$2:$B1000))),Q$1,"""")"),"")</f>
        <v/>
      </c>
      <c r="R358" s="33" t="str">
        <f>IFERROR(__xludf.DUMMYFUNCTION("IF(IF(R$1="""","""",REGEXMATCH(LOWER($E358),XLOOKUP(R$1,Metadata!$A$2:$A1000,Metadata!$B$2:$B1000))),R$1,"""")"),"")</f>
        <v/>
      </c>
      <c r="S358" s="33" t="str">
        <f>IFERROR(__xludf.DUMMYFUNCTION("IF(IF(S$1="""","""",REGEXMATCH(LOWER($E358),XLOOKUP(S$1,Metadata!$A$2:$A1000,Metadata!$B$2:$B1000))),S$1,"""")"),"")</f>
        <v/>
      </c>
      <c r="T358" s="33" t="str">
        <f>IFERROR(__xludf.DUMMYFUNCTION("IF(IF(T$1="""","""",REGEXMATCH(LOWER($E358),XLOOKUP(T$1,Metadata!$A$2:$A1000,Metadata!$B$2:$B1000))),T$1,"""")"),"")</f>
        <v/>
      </c>
      <c r="U358" s="33" t="str">
        <f>IFERROR(__xludf.DUMMYFUNCTION("IF(IF(U$1="""","""",REGEXMATCH(LOWER($E358),XLOOKUP(U$1,Metadata!$A$2:$A1000,Metadata!$B$2:$B1000))),U$1,"""")"),"")</f>
        <v/>
      </c>
      <c r="V358" s="33" t="str">
        <f>IFERROR(__xludf.DUMMYFUNCTION("IF(IF(V$1="""","""",REGEXMATCH(LOWER($E358),XLOOKUP(V$1,Metadata!$A$2:$A1000,Metadata!$B$2:$B1000))),V$1,"""")"),"")</f>
        <v/>
      </c>
      <c r="W358" s="33" t="str">
        <f>IFERROR(__xludf.DUMMYFUNCTION("IF(IF(W$1="""","""",REGEXMATCH(LOWER($E358),XLOOKUP(W$1,Metadata!$A$2:$A1000,Metadata!$B$2:$B1000))),W$1,"""")"),"")</f>
        <v/>
      </c>
      <c r="X358" s="33" t="str">
        <f>IFERROR(__xludf.DUMMYFUNCTION("IF(IF(X$1="""","""",REGEXMATCH(LOWER($E358),XLOOKUP(X$1,Metadata!$A$2:$A1000,Metadata!$B$2:$B1000))),X$1,"""")"),"")</f>
        <v/>
      </c>
      <c r="Y358" s="33" t="str">
        <f>IFERROR(__xludf.DUMMYFUNCTION("IF(IF(Y$1="""","""",REGEXMATCH(LOWER($E358),XLOOKUP(Y$1,Metadata!$A$2:$A1000,Metadata!$B$2:$B1000))),Y$1,"""")"),"")</f>
        <v/>
      </c>
      <c r="Z358" s="33" t="str">
        <f>IFERROR(__xludf.DUMMYFUNCTION("IF(IF(Z$1="""","""",REGEXMATCH(LOWER($E358),XLOOKUP(Z$1,Metadata!$A$2:$A1000,Metadata!$B$2:$B1000))),Z$1,"""")"),"")</f>
        <v/>
      </c>
      <c r="AA358" s="33" t="str">
        <f>IFERROR(__xludf.DUMMYFUNCTION("IF(AA$1="""","""",REGEXMATCH(LOWER($E358),XLOOKUP(AA$1,Metadata!$A$2:$A1000,Metadata!$B$2:$B1000)))"),"")</f>
        <v/>
      </c>
    </row>
    <row r="359">
      <c r="A359" s="33" t="str">
        <f>IFERROR(__xludf.DUMMYFUNCTION("""COMPUTED_VALUE"""),"Ghoulflesh Devourer")</f>
        <v>Ghoulflesh Devourer</v>
      </c>
      <c r="B359" s="33" t="str">
        <f t="array" ref="B359:I359">XLOOKUP($A359,Cards!$A$2:$A1000,Cards!$B$2:$I1000,"")</f>
        <v>Void</v>
      </c>
      <c r="C359" s="33">
        <v>1.0</v>
      </c>
      <c r="D359" s="33" t="s">
        <v>1636</v>
      </c>
      <c r="E359" s="33" t="s">
        <v>1913</v>
      </c>
      <c r="F359" s="33" t="s">
        <v>1914</v>
      </c>
      <c r="G359" s="33">
        <v>4.0</v>
      </c>
      <c r="H359" s="33" t="s">
        <v>1785</v>
      </c>
      <c r="I359" s="33" t="s">
        <v>26</v>
      </c>
      <c r="J359" s="33">
        <f>IFERROR(__xludf.DUMMYFUNCTION("LEN(REGEXREPLACE(XLOOKUP($A359,Cards!$A$2:$A1000,Cards!$H$2:$H1000,""""),"",\s"",""""))"),4.0)</f>
        <v>4</v>
      </c>
      <c r="K359" s="33" t="str">
        <f t="shared" si="1"/>
        <v>               </v>
      </c>
      <c r="L359" s="33" t="str">
        <f>IFERROR(__xludf.DUMMYFUNCTION("IF(IF(L$1="""","""",REGEXMATCH(LOWER($E359),XLOOKUP(L$1,Metadata!$A$2:$A1000,Metadata!$B$2:$B1000))),L$1,"""")"),"")</f>
        <v/>
      </c>
      <c r="M359" s="33" t="str">
        <f>IFERROR(__xludf.DUMMYFUNCTION("IF(IF(M$1="""","""",REGEXMATCH(LOWER($E359),XLOOKUP(M$1,Metadata!$A$2:$A1000,Metadata!$B$2:$B1000))),M$1,"""")"),"")</f>
        <v/>
      </c>
      <c r="N359" s="33" t="str">
        <f>IFERROR(__xludf.DUMMYFUNCTION("IF(IF(N$1="""","""",REGEXMATCH(LOWER($E359),XLOOKUP(N$1,Metadata!$A$2:$A1000,Metadata!$B$2:$B1000))),N$1,"""")"),"")</f>
        <v/>
      </c>
      <c r="O359" s="33" t="str">
        <f>IFERROR(__xludf.DUMMYFUNCTION("IF(IF(O$1="""","""",REGEXMATCH(LOWER($E359),XLOOKUP(O$1,Metadata!$A$2:$A1000,Metadata!$B$2:$B1000))),O$1,"""")"),"")</f>
        <v/>
      </c>
      <c r="P359" s="33" t="str">
        <f>IFERROR(__xludf.DUMMYFUNCTION("IF(IF(P$1="""","""",REGEXMATCH(LOWER($E359),XLOOKUP(P$1,Metadata!$A$2:$A1000,Metadata!$B$2:$B1000))),P$1,"""")"),"")</f>
        <v/>
      </c>
      <c r="Q359" s="33" t="str">
        <f>IFERROR(__xludf.DUMMYFUNCTION("IF(IF(Q$1="""","""",REGEXMATCH(LOWER($E359),XLOOKUP(Q$1,Metadata!$A$2:$A1000,Metadata!$B$2:$B1000))),Q$1,"""")"),"")</f>
        <v/>
      </c>
      <c r="R359" s="33" t="str">
        <f>IFERROR(__xludf.DUMMYFUNCTION("IF(IF(R$1="""","""",REGEXMATCH(LOWER($E359),XLOOKUP(R$1,Metadata!$A$2:$A1000,Metadata!$B$2:$B1000))),R$1,"""")"),"")</f>
        <v/>
      </c>
      <c r="S359" s="33" t="str">
        <f>IFERROR(__xludf.DUMMYFUNCTION("IF(IF(S$1="""","""",REGEXMATCH(LOWER($E359),XLOOKUP(S$1,Metadata!$A$2:$A1000,Metadata!$B$2:$B1000))),S$1,"""")"),"")</f>
        <v/>
      </c>
      <c r="T359" s="33" t="str">
        <f>IFERROR(__xludf.DUMMYFUNCTION("IF(IF(T$1="""","""",REGEXMATCH(LOWER($E359),XLOOKUP(T$1,Metadata!$A$2:$A1000,Metadata!$B$2:$B1000))),T$1,"""")"),"")</f>
        <v/>
      </c>
      <c r="U359" s="33" t="str">
        <f>IFERROR(__xludf.DUMMYFUNCTION("IF(IF(U$1="""","""",REGEXMATCH(LOWER($E359),XLOOKUP(U$1,Metadata!$A$2:$A1000,Metadata!$B$2:$B1000))),U$1,"""")"),"")</f>
        <v/>
      </c>
      <c r="V359" s="33" t="str">
        <f>IFERROR(__xludf.DUMMYFUNCTION("IF(IF(V$1="""","""",REGEXMATCH(LOWER($E359),XLOOKUP(V$1,Metadata!$A$2:$A1000,Metadata!$B$2:$B1000))),V$1,"""")"),"")</f>
        <v/>
      </c>
      <c r="W359" s="33" t="str">
        <f>IFERROR(__xludf.DUMMYFUNCTION("IF(IF(W$1="""","""",REGEXMATCH(LOWER($E359),XLOOKUP(W$1,Metadata!$A$2:$A1000,Metadata!$B$2:$B1000))),W$1,"""")"),"")</f>
        <v/>
      </c>
      <c r="X359" s="33" t="str">
        <f>IFERROR(__xludf.DUMMYFUNCTION("IF(IF(X$1="""","""",REGEXMATCH(LOWER($E359),XLOOKUP(X$1,Metadata!$A$2:$A1000,Metadata!$B$2:$B1000))),X$1,"""")"),"")</f>
        <v/>
      </c>
      <c r="Y359" s="33" t="str">
        <f>IFERROR(__xludf.DUMMYFUNCTION("IF(IF(Y$1="""","""",REGEXMATCH(LOWER($E359),XLOOKUP(Y$1,Metadata!$A$2:$A1000,Metadata!$B$2:$B1000))),Y$1,"""")"),"")</f>
        <v/>
      </c>
      <c r="Z359" s="33" t="str">
        <f>IFERROR(__xludf.DUMMYFUNCTION("IF(IF(Z$1="""","""",REGEXMATCH(LOWER($E359),XLOOKUP(Z$1,Metadata!$A$2:$A1000,Metadata!$B$2:$B1000))),Z$1,"""")"),"")</f>
        <v/>
      </c>
      <c r="AA359" s="33" t="str">
        <f>IFERROR(__xludf.DUMMYFUNCTION("IF(AA$1="""","""",REGEXMATCH(LOWER($E359),XLOOKUP(AA$1,Metadata!$A$2:$A1000,Metadata!$B$2:$B1000)))"),"")</f>
        <v/>
      </c>
    </row>
    <row r="360">
      <c r="A360" s="33" t="str">
        <f>IFERROR(__xludf.DUMMYFUNCTION("""COMPUTED_VALUE"""),"Grinning Amphora")</f>
        <v>Grinning Amphora</v>
      </c>
      <c r="B360" s="33" t="str">
        <f t="array" ref="B360:I360">XLOOKUP($A360,Cards!$A$2:$A1000,Cards!$B$2:$I1000,"")</f>
        <v>Void</v>
      </c>
      <c r="C360" s="33">
        <v>1.0</v>
      </c>
      <c r="D360" s="33" t="s">
        <v>160</v>
      </c>
      <c r="E360" s="33" t="s">
        <v>1916</v>
      </c>
      <c r="F360" s="33" t="s">
        <v>1917</v>
      </c>
      <c r="G360" s="33">
        <v>0.0</v>
      </c>
      <c r="H360" s="33" t="s">
        <v>1684</v>
      </c>
      <c r="I360" s="33" t="s">
        <v>26</v>
      </c>
      <c r="J360" s="33">
        <f>IFERROR(__xludf.DUMMYFUNCTION("LEN(REGEXREPLACE(XLOOKUP($A360,Cards!$A$2:$A1000,Cards!$H$2:$H1000,""""),"",\s"",""""))"),3.0)</f>
        <v>3</v>
      </c>
      <c r="K360" s="33" t="str">
        <f t="shared" si="1"/>
        <v>               </v>
      </c>
      <c r="L360" s="33" t="str">
        <f>IFERROR(__xludf.DUMMYFUNCTION("IF(IF(L$1="""","""",REGEXMATCH(LOWER($E360),XLOOKUP(L$1,Metadata!$A$2:$A1000,Metadata!$B$2:$B1000))),L$1,"""")"),"")</f>
        <v/>
      </c>
      <c r="M360" s="33" t="str">
        <f>IFERROR(__xludf.DUMMYFUNCTION("IF(IF(M$1="""","""",REGEXMATCH(LOWER($E360),XLOOKUP(M$1,Metadata!$A$2:$A1000,Metadata!$B$2:$B1000))),M$1,"""")"),"")</f>
        <v/>
      </c>
      <c r="N360" s="33" t="str">
        <f>IFERROR(__xludf.DUMMYFUNCTION("IF(IF(N$1="""","""",REGEXMATCH(LOWER($E360),XLOOKUP(N$1,Metadata!$A$2:$A1000,Metadata!$B$2:$B1000))),N$1,"""")"),"")</f>
        <v/>
      </c>
      <c r="O360" s="33" t="str">
        <f>IFERROR(__xludf.DUMMYFUNCTION("IF(IF(O$1="""","""",REGEXMATCH(LOWER($E360),XLOOKUP(O$1,Metadata!$A$2:$A1000,Metadata!$B$2:$B1000))),O$1,"""")"),"")</f>
        <v/>
      </c>
      <c r="P360" s="33" t="str">
        <f>IFERROR(__xludf.DUMMYFUNCTION("IF(IF(P$1="""","""",REGEXMATCH(LOWER($E360),XLOOKUP(P$1,Metadata!$A$2:$A1000,Metadata!$B$2:$B1000))),P$1,"""")"),"")</f>
        <v/>
      </c>
      <c r="Q360" s="33" t="str">
        <f>IFERROR(__xludf.DUMMYFUNCTION("IF(IF(Q$1="""","""",REGEXMATCH(LOWER($E360),XLOOKUP(Q$1,Metadata!$A$2:$A1000,Metadata!$B$2:$B1000))),Q$1,"""")"),"")</f>
        <v/>
      </c>
      <c r="R360" s="33" t="str">
        <f>IFERROR(__xludf.DUMMYFUNCTION("IF(IF(R$1="""","""",REGEXMATCH(LOWER($E360),XLOOKUP(R$1,Metadata!$A$2:$A1000,Metadata!$B$2:$B1000))),R$1,"""")"),"")</f>
        <v/>
      </c>
      <c r="S360" s="33" t="str">
        <f>IFERROR(__xludf.DUMMYFUNCTION("IF(IF(S$1="""","""",REGEXMATCH(LOWER($E360),XLOOKUP(S$1,Metadata!$A$2:$A1000,Metadata!$B$2:$B1000))),S$1,"""")"),"")</f>
        <v/>
      </c>
      <c r="T360" s="33" t="str">
        <f>IFERROR(__xludf.DUMMYFUNCTION("IF(IF(T$1="""","""",REGEXMATCH(LOWER($E360),XLOOKUP(T$1,Metadata!$A$2:$A1000,Metadata!$B$2:$B1000))),T$1,"""")"),"")</f>
        <v/>
      </c>
      <c r="U360" s="33" t="str">
        <f>IFERROR(__xludf.DUMMYFUNCTION("IF(IF(U$1="""","""",REGEXMATCH(LOWER($E360),XLOOKUP(U$1,Metadata!$A$2:$A1000,Metadata!$B$2:$B1000))),U$1,"""")"),"")</f>
        <v/>
      </c>
      <c r="V360" s="33" t="str">
        <f>IFERROR(__xludf.DUMMYFUNCTION("IF(IF(V$1="""","""",REGEXMATCH(LOWER($E360),XLOOKUP(V$1,Metadata!$A$2:$A1000,Metadata!$B$2:$B1000))),V$1,"""")"),"")</f>
        <v/>
      </c>
      <c r="W360" s="33" t="str">
        <f>IFERROR(__xludf.DUMMYFUNCTION("IF(IF(W$1="""","""",REGEXMATCH(LOWER($E360),XLOOKUP(W$1,Metadata!$A$2:$A1000,Metadata!$B$2:$B1000))),W$1,"""")"),"")</f>
        <v/>
      </c>
      <c r="X360" s="33" t="str">
        <f>IFERROR(__xludf.DUMMYFUNCTION("IF(IF(X$1="""","""",REGEXMATCH(LOWER($E360),XLOOKUP(X$1,Metadata!$A$2:$A1000,Metadata!$B$2:$B1000))),X$1,"""")"),"")</f>
        <v/>
      </c>
      <c r="Y360" s="33" t="str">
        <f>IFERROR(__xludf.DUMMYFUNCTION("IF(IF(Y$1="""","""",REGEXMATCH(LOWER($E360),XLOOKUP(Y$1,Metadata!$A$2:$A1000,Metadata!$B$2:$B1000))),Y$1,"""")"),"")</f>
        <v/>
      </c>
      <c r="Z360" s="33" t="str">
        <f>IFERROR(__xludf.DUMMYFUNCTION("IF(IF(Z$1="""","""",REGEXMATCH(LOWER($E360),XLOOKUP(Z$1,Metadata!$A$2:$A1000,Metadata!$B$2:$B1000))),Z$1,"""")"),"")</f>
        <v/>
      </c>
      <c r="AA360" s="33" t="str">
        <f>IFERROR(__xludf.DUMMYFUNCTION("IF(AA$1="""","""",REGEXMATCH(LOWER($E360),XLOOKUP(AA$1,Metadata!$A$2:$A1000,Metadata!$B$2:$B1000)))"),"")</f>
        <v/>
      </c>
    </row>
    <row r="361">
      <c r="A361" s="33" t="str">
        <f>IFERROR(__xludf.DUMMYFUNCTION("""COMPUTED_VALUE"""),"Intrusive Advisor")</f>
        <v>Intrusive Advisor</v>
      </c>
      <c r="B361" s="33" t="str">
        <f t="array" ref="B361:I361">XLOOKUP($A361,Cards!$A$2:$A1000,Cards!$B$2:$I1000,"")</f>
        <v>Void</v>
      </c>
      <c r="C361" s="33">
        <v>1.0</v>
      </c>
      <c r="D361" s="33" t="s">
        <v>1407</v>
      </c>
      <c r="E361" s="33" t="s">
        <v>1919</v>
      </c>
      <c r="F361" s="33" t="s">
        <v>1920</v>
      </c>
      <c r="G361" s="33">
        <v>4.0</v>
      </c>
      <c r="H361" s="33" t="s">
        <v>1674</v>
      </c>
      <c r="I361" s="33" t="s">
        <v>62</v>
      </c>
      <c r="J361" s="33">
        <f>IFERROR(__xludf.DUMMYFUNCTION("LEN(REGEXREPLACE(XLOOKUP($A361,Cards!$A$2:$A1000,Cards!$H$2:$H1000,""""),"",\s"",""""))"),5.0)</f>
        <v>5</v>
      </c>
      <c r="K361" s="33" t="str">
        <f t="shared" si="1"/>
        <v>               </v>
      </c>
      <c r="L361" s="33" t="str">
        <f>IFERROR(__xludf.DUMMYFUNCTION("IF(IF(L$1="""","""",REGEXMATCH(LOWER($E361),XLOOKUP(L$1,Metadata!$A$2:$A1000,Metadata!$B$2:$B1000))),L$1,"""")"),"")</f>
        <v/>
      </c>
      <c r="M361" s="33" t="str">
        <f>IFERROR(__xludf.DUMMYFUNCTION("IF(IF(M$1="""","""",REGEXMATCH(LOWER($E361),XLOOKUP(M$1,Metadata!$A$2:$A1000,Metadata!$B$2:$B1000))),M$1,"""")"),"")</f>
        <v/>
      </c>
      <c r="N361" s="33" t="str">
        <f>IFERROR(__xludf.DUMMYFUNCTION("IF(IF(N$1="""","""",REGEXMATCH(LOWER($E361),XLOOKUP(N$1,Metadata!$A$2:$A1000,Metadata!$B$2:$B1000))),N$1,"""")"),"")</f>
        <v/>
      </c>
      <c r="O361" s="33" t="str">
        <f>IFERROR(__xludf.DUMMYFUNCTION("IF(IF(O$1="""","""",REGEXMATCH(LOWER($E361),XLOOKUP(O$1,Metadata!$A$2:$A1000,Metadata!$B$2:$B1000))),O$1,"""")"),"")</f>
        <v/>
      </c>
      <c r="P361" s="33" t="str">
        <f>IFERROR(__xludf.DUMMYFUNCTION("IF(IF(P$1="""","""",REGEXMATCH(LOWER($E361),XLOOKUP(P$1,Metadata!$A$2:$A1000,Metadata!$B$2:$B1000))),P$1,"""")"),"")</f>
        <v/>
      </c>
      <c r="Q361" s="33" t="str">
        <f>IFERROR(__xludf.DUMMYFUNCTION("IF(IF(Q$1="""","""",REGEXMATCH(LOWER($E361),XLOOKUP(Q$1,Metadata!$A$2:$A1000,Metadata!$B$2:$B1000))),Q$1,"""")"),"")</f>
        <v/>
      </c>
      <c r="R361" s="33" t="str">
        <f>IFERROR(__xludf.DUMMYFUNCTION("IF(IF(R$1="""","""",REGEXMATCH(LOWER($E361),XLOOKUP(R$1,Metadata!$A$2:$A1000,Metadata!$B$2:$B1000))),R$1,"""")"),"")</f>
        <v/>
      </c>
      <c r="S361" s="33" t="str">
        <f>IFERROR(__xludf.DUMMYFUNCTION("IF(IF(S$1="""","""",REGEXMATCH(LOWER($E361),XLOOKUP(S$1,Metadata!$A$2:$A1000,Metadata!$B$2:$B1000))),S$1,"""")"),"")</f>
        <v/>
      </c>
      <c r="T361" s="33" t="str">
        <f>IFERROR(__xludf.DUMMYFUNCTION("IF(IF(T$1="""","""",REGEXMATCH(LOWER($E361),XLOOKUP(T$1,Metadata!$A$2:$A1000,Metadata!$B$2:$B1000))),T$1,"""")"),"")</f>
        <v/>
      </c>
      <c r="U361" s="33" t="str">
        <f>IFERROR(__xludf.DUMMYFUNCTION("IF(IF(U$1="""","""",REGEXMATCH(LOWER($E361),XLOOKUP(U$1,Metadata!$A$2:$A1000,Metadata!$B$2:$B1000))),U$1,"""")"),"")</f>
        <v/>
      </c>
      <c r="V361" s="33" t="str">
        <f>IFERROR(__xludf.DUMMYFUNCTION("IF(IF(V$1="""","""",REGEXMATCH(LOWER($E361),XLOOKUP(V$1,Metadata!$A$2:$A1000,Metadata!$B$2:$B1000))),V$1,"""")"),"")</f>
        <v/>
      </c>
      <c r="W361" s="33" t="str">
        <f>IFERROR(__xludf.DUMMYFUNCTION("IF(IF(W$1="""","""",REGEXMATCH(LOWER($E361),XLOOKUP(W$1,Metadata!$A$2:$A1000,Metadata!$B$2:$B1000))),W$1,"""")"),"")</f>
        <v/>
      </c>
      <c r="X361" s="33" t="str">
        <f>IFERROR(__xludf.DUMMYFUNCTION("IF(IF(X$1="""","""",REGEXMATCH(LOWER($E361),XLOOKUP(X$1,Metadata!$A$2:$A1000,Metadata!$B$2:$B1000))),X$1,"""")"),"")</f>
        <v/>
      </c>
      <c r="Y361" s="33" t="str">
        <f>IFERROR(__xludf.DUMMYFUNCTION("IF(IF(Y$1="""","""",REGEXMATCH(LOWER($E361),XLOOKUP(Y$1,Metadata!$A$2:$A1000,Metadata!$B$2:$B1000))),Y$1,"""")"),"")</f>
        <v/>
      </c>
      <c r="Z361" s="33" t="str">
        <f>IFERROR(__xludf.DUMMYFUNCTION("IF(IF(Z$1="""","""",REGEXMATCH(LOWER($E361),XLOOKUP(Z$1,Metadata!$A$2:$A1000,Metadata!$B$2:$B1000))),Z$1,"""")"),"")</f>
        <v/>
      </c>
      <c r="AA361" s="33" t="str">
        <f>IFERROR(__xludf.DUMMYFUNCTION("IF(AA$1="""","""",REGEXMATCH(LOWER($E361),XLOOKUP(AA$1,Metadata!$A$2:$A1000,Metadata!$B$2:$B1000)))"),"")</f>
        <v/>
      </c>
    </row>
    <row r="362">
      <c r="A362" s="33" t="str">
        <f>IFERROR(__xludf.DUMMYFUNCTION("""COMPUTED_VALUE"""),"Guardian of Heaven")</f>
        <v>Guardian of Heaven</v>
      </c>
      <c r="B362" s="33" t="str">
        <f t="array" ref="B362:I362">XLOOKUP($A362,Cards!$A$2:$A1000,Cards!$B$2:$I1000,"")</f>
        <v>Divine</v>
      </c>
      <c r="C362" s="33">
        <v>3.0</v>
      </c>
      <c r="D362" s="33" t="s">
        <v>1922</v>
      </c>
      <c r="E362" s="33" t="s">
        <v>1923</v>
      </c>
      <c r="F362" s="33"/>
      <c r="G362" s="33">
        <v>4.0</v>
      </c>
      <c r="H362" s="33" t="s">
        <v>137</v>
      </c>
      <c r="I362" s="33" t="s">
        <v>62</v>
      </c>
      <c r="J362" s="33">
        <f>IFERROR(__xludf.DUMMYFUNCTION("LEN(REGEXREPLACE(XLOOKUP($A362,Cards!$A$2:$A1000,Cards!$H$2:$H1000,""""),"",\s"",""""))"),4.0)</f>
        <v>4</v>
      </c>
      <c r="K362" s="33" t="str">
        <f t="shared" si="1"/>
        <v>               </v>
      </c>
      <c r="L362" s="33" t="str">
        <f>IFERROR(__xludf.DUMMYFUNCTION("IF(IF(L$1="""","""",REGEXMATCH(LOWER($E362),XLOOKUP(L$1,Metadata!$A$2:$A1000,Metadata!$B$2:$B1000))),L$1,"""")"),"")</f>
        <v/>
      </c>
      <c r="M362" s="33" t="str">
        <f>IFERROR(__xludf.DUMMYFUNCTION("IF(IF(M$1="""","""",REGEXMATCH(LOWER($E362),XLOOKUP(M$1,Metadata!$A$2:$A1000,Metadata!$B$2:$B1000))),M$1,"""")"),"")</f>
        <v/>
      </c>
      <c r="N362" s="33" t="str">
        <f>IFERROR(__xludf.DUMMYFUNCTION("IF(IF(N$1="""","""",REGEXMATCH(LOWER($E362),XLOOKUP(N$1,Metadata!$A$2:$A1000,Metadata!$B$2:$B1000))),N$1,"""")"),"")</f>
        <v/>
      </c>
      <c r="O362" s="33" t="str">
        <f>IFERROR(__xludf.DUMMYFUNCTION("IF(IF(O$1="""","""",REGEXMATCH(LOWER($E362),XLOOKUP(O$1,Metadata!$A$2:$A1000,Metadata!$B$2:$B1000))),O$1,"""")"),"")</f>
        <v/>
      </c>
      <c r="P362" s="33" t="str">
        <f>IFERROR(__xludf.DUMMYFUNCTION("IF(IF(P$1="""","""",REGEXMATCH(LOWER($E362),XLOOKUP(P$1,Metadata!$A$2:$A1000,Metadata!$B$2:$B1000))),P$1,"""")"),"")</f>
        <v/>
      </c>
      <c r="Q362" s="33" t="str">
        <f>IFERROR(__xludf.DUMMYFUNCTION("IF(IF(Q$1="""","""",REGEXMATCH(LOWER($E362),XLOOKUP(Q$1,Metadata!$A$2:$A1000,Metadata!$B$2:$B1000))),Q$1,"""")"),"")</f>
        <v/>
      </c>
      <c r="R362" s="33" t="str">
        <f>IFERROR(__xludf.DUMMYFUNCTION("IF(IF(R$1="""","""",REGEXMATCH(LOWER($E362),XLOOKUP(R$1,Metadata!$A$2:$A1000,Metadata!$B$2:$B1000))),R$1,"""")"),"")</f>
        <v/>
      </c>
      <c r="S362" s="33" t="str">
        <f>IFERROR(__xludf.DUMMYFUNCTION("IF(IF(S$1="""","""",REGEXMATCH(LOWER($E362),XLOOKUP(S$1,Metadata!$A$2:$A1000,Metadata!$B$2:$B1000))),S$1,"""")"),"")</f>
        <v/>
      </c>
      <c r="T362" s="33" t="str">
        <f>IFERROR(__xludf.DUMMYFUNCTION("IF(IF(T$1="""","""",REGEXMATCH(LOWER($E362),XLOOKUP(T$1,Metadata!$A$2:$A1000,Metadata!$B$2:$B1000))),T$1,"""")"),"")</f>
        <v/>
      </c>
      <c r="U362" s="33" t="str">
        <f>IFERROR(__xludf.DUMMYFUNCTION("IF(IF(U$1="""","""",REGEXMATCH(LOWER($E362),XLOOKUP(U$1,Metadata!$A$2:$A1000,Metadata!$B$2:$B1000))),U$1,"""")"),"")</f>
        <v/>
      </c>
      <c r="V362" s="33" t="str">
        <f>IFERROR(__xludf.DUMMYFUNCTION("IF(IF(V$1="""","""",REGEXMATCH(LOWER($E362),XLOOKUP(V$1,Metadata!$A$2:$A1000,Metadata!$B$2:$B1000))),V$1,"""")"),"")</f>
        <v/>
      </c>
      <c r="W362" s="33" t="str">
        <f>IFERROR(__xludf.DUMMYFUNCTION("IF(IF(W$1="""","""",REGEXMATCH(LOWER($E362),XLOOKUP(W$1,Metadata!$A$2:$A1000,Metadata!$B$2:$B1000))),W$1,"""")"),"")</f>
        <v/>
      </c>
      <c r="X362" s="33" t="str">
        <f>IFERROR(__xludf.DUMMYFUNCTION("IF(IF(X$1="""","""",REGEXMATCH(LOWER($E362),XLOOKUP(X$1,Metadata!$A$2:$A1000,Metadata!$B$2:$B1000))),X$1,"""")"),"")</f>
        <v/>
      </c>
      <c r="Y362" s="33" t="str">
        <f>IFERROR(__xludf.DUMMYFUNCTION("IF(IF(Y$1="""","""",REGEXMATCH(LOWER($E362),XLOOKUP(Y$1,Metadata!$A$2:$A1000,Metadata!$B$2:$B1000))),Y$1,"""")"),"")</f>
        <v/>
      </c>
      <c r="Z362" s="33" t="str">
        <f>IFERROR(__xludf.DUMMYFUNCTION("IF(IF(Z$1="""","""",REGEXMATCH(LOWER($E362),XLOOKUP(Z$1,Metadata!$A$2:$A1000,Metadata!$B$2:$B1000))),Z$1,"""")"),"")</f>
        <v/>
      </c>
      <c r="AA362" s="33" t="str">
        <f>IFERROR(__xludf.DUMMYFUNCTION("IF(AA$1="""","""",REGEXMATCH(LOWER($E362),XLOOKUP(AA$1,Metadata!$A$2:$A1000,Metadata!$B$2:$B1000)))"),"")</f>
        <v/>
      </c>
    </row>
    <row r="363">
      <c r="A363" s="33" t="str">
        <f>IFERROR(__xludf.DUMMYFUNCTION("""COMPUTED_VALUE"""),"Bringer of Pestilence")</f>
        <v>Bringer of Pestilence</v>
      </c>
      <c r="B363" s="33" t="str">
        <f t="array" ref="B363:I363">XLOOKUP($A363,Cards!$A$2:$A1000,Cards!$B$2:$I1000,"")</f>
        <v>Void</v>
      </c>
      <c r="C363" s="33">
        <v>3.0</v>
      </c>
      <c r="D363" s="33" t="s">
        <v>1925</v>
      </c>
      <c r="E363" s="33" t="s">
        <v>1926</v>
      </c>
      <c r="F363" s="33"/>
      <c r="G363" s="33">
        <v>3.0</v>
      </c>
      <c r="H363" s="33" t="s">
        <v>1927</v>
      </c>
      <c r="I363" s="33" t="s">
        <v>32</v>
      </c>
      <c r="J363" s="33">
        <f>IFERROR(__xludf.DUMMYFUNCTION("LEN(REGEXREPLACE(XLOOKUP($A363,Cards!$A$2:$A1000,Cards!$H$2:$H1000,""""),"",\s"",""""))"),4.0)</f>
        <v>4</v>
      </c>
      <c r="K363" s="33" t="str">
        <f t="shared" si="1"/>
        <v>       Control     Ambush   </v>
      </c>
      <c r="L363" s="33" t="str">
        <f>IFERROR(__xludf.DUMMYFUNCTION("IF(IF(L$1="""","""",REGEXMATCH(LOWER($E363),XLOOKUP(L$1,Metadata!$A$2:$A1000,Metadata!$B$2:$B1000))),L$1,"""")"),"")</f>
        <v/>
      </c>
      <c r="M363" s="33" t="str">
        <f>IFERROR(__xludf.DUMMYFUNCTION("IF(IF(M$1="""","""",REGEXMATCH(LOWER($E363),XLOOKUP(M$1,Metadata!$A$2:$A1000,Metadata!$B$2:$B1000))),M$1,"""")"),"")</f>
        <v/>
      </c>
      <c r="N363" s="33" t="str">
        <f>IFERROR(__xludf.DUMMYFUNCTION("IF(IF(N$1="""","""",REGEXMATCH(LOWER($E363),XLOOKUP(N$1,Metadata!$A$2:$A1000,Metadata!$B$2:$B1000))),N$1,"""")"),"")</f>
        <v/>
      </c>
      <c r="O363" s="33" t="str">
        <f>IFERROR(__xludf.DUMMYFUNCTION("IF(IF(O$1="""","""",REGEXMATCH(LOWER($E363),XLOOKUP(O$1,Metadata!$A$2:$A1000,Metadata!$B$2:$B1000))),O$1,"""")"),"")</f>
        <v/>
      </c>
      <c r="P363" s="33" t="str">
        <f>IFERROR(__xludf.DUMMYFUNCTION("IF(IF(P$1="""","""",REGEXMATCH(LOWER($E363),XLOOKUP(P$1,Metadata!$A$2:$A1000,Metadata!$B$2:$B1000))),P$1,"""")"),"")</f>
        <v/>
      </c>
      <c r="Q363" s="33" t="str">
        <f>IFERROR(__xludf.DUMMYFUNCTION("IF(IF(Q$1="""","""",REGEXMATCH(LOWER($E363),XLOOKUP(Q$1,Metadata!$A$2:$A1000,Metadata!$B$2:$B1000))),Q$1,"""")"),"")</f>
        <v/>
      </c>
      <c r="R363" s="33" t="str">
        <f>IFERROR(__xludf.DUMMYFUNCTION("IF(IF(R$1="""","""",REGEXMATCH(LOWER($E363),XLOOKUP(R$1,Metadata!$A$2:$A1000,Metadata!$B$2:$B1000))),R$1,"""")"),"")</f>
        <v/>
      </c>
      <c r="S363" s="33" t="str">
        <f>IFERROR(__xludf.DUMMYFUNCTION("IF(IF(S$1="""","""",REGEXMATCH(LOWER($E363),XLOOKUP(S$1,Metadata!$A$2:$A1000,Metadata!$B$2:$B1000))),S$1,"""")"),"Control")</f>
        <v>Control</v>
      </c>
      <c r="T363" s="33" t="str">
        <f>IFERROR(__xludf.DUMMYFUNCTION("IF(IF(T$1="""","""",REGEXMATCH(LOWER($E363),XLOOKUP(T$1,Metadata!$A$2:$A1000,Metadata!$B$2:$B1000))),T$1,"""")"),"")</f>
        <v/>
      </c>
      <c r="U363" s="33" t="str">
        <f>IFERROR(__xludf.DUMMYFUNCTION("IF(IF(U$1="""","""",REGEXMATCH(LOWER($E363),XLOOKUP(U$1,Metadata!$A$2:$A1000,Metadata!$B$2:$B1000))),U$1,"""")"),"")</f>
        <v/>
      </c>
      <c r="V363" s="33" t="str">
        <f>IFERROR(__xludf.DUMMYFUNCTION("IF(IF(V$1="""","""",REGEXMATCH(LOWER($E363),XLOOKUP(V$1,Metadata!$A$2:$A1000,Metadata!$B$2:$B1000))),V$1,"""")"),"")</f>
        <v/>
      </c>
      <c r="W363" s="33" t="str">
        <f>IFERROR(__xludf.DUMMYFUNCTION("IF(IF(W$1="""","""",REGEXMATCH(LOWER($E363),XLOOKUP(W$1,Metadata!$A$2:$A1000,Metadata!$B$2:$B1000))),W$1,"""")"),"")</f>
        <v/>
      </c>
      <c r="X363" s="33" t="str">
        <f>IFERROR(__xludf.DUMMYFUNCTION("IF(IF(X$1="""","""",REGEXMATCH(LOWER($E363),XLOOKUP(X$1,Metadata!$A$2:$A1000,Metadata!$B$2:$B1000))),X$1,"""")"),"Ambush")</f>
        <v>Ambush</v>
      </c>
      <c r="Y363" s="33" t="str">
        <f>IFERROR(__xludf.DUMMYFUNCTION("IF(IF(Y$1="""","""",REGEXMATCH(LOWER($E363),XLOOKUP(Y$1,Metadata!$A$2:$A1000,Metadata!$B$2:$B1000))),Y$1,"""")"),"")</f>
        <v/>
      </c>
      <c r="Z363" s="33" t="str">
        <f>IFERROR(__xludf.DUMMYFUNCTION("IF(IF(Z$1="""","""",REGEXMATCH(LOWER($E363),XLOOKUP(Z$1,Metadata!$A$2:$A1000,Metadata!$B$2:$B1000))),Z$1,"""")"),"")</f>
        <v/>
      </c>
      <c r="AA363" s="33" t="str">
        <f>IFERROR(__xludf.DUMMYFUNCTION("IF(AA$1="""","""",REGEXMATCH(LOWER($E363),XLOOKUP(AA$1,Metadata!$A$2:$A1000,Metadata!$B$2:$B1000)))"),"")</f>
        <v/>
      </c>
    </row>
    <row r="364">
      <c r="A364" s="33" t="str">
        <f>IFERROR(__xludf.DUMMYFUNCTION("""COMPUTED_VALUE"""),"Crazed Acolyte")</f>
        <v>Crazed Acolyte</v>
      </c>
      <c r="B364" s="33" t="str">
        <f t="array" ref="B364:I364">XLOOKUP($A364,Cards!$A$2:$A1000,Cards!$B$2:$I1000,"")</f>
        <v>Mortal</v>
      </c>
      <c r="C364" s="33">
        <v>3.0</v>
      </c>
      <c r="D364" s="33" t="s">
        <v>37</v>
      </c>
      <c r="E364" s="33" t="s">
        <v>1929</v>
      </c>
      <c r="F364" s="33"/>
      <c r="G364" s="33">
        <v>1.0</v>
      </c>
      <c r="H364" s="33" t="s">
        <v>995</v>
      </c>
      <c r="I364" s="33" t="s">
        <v>26</v>
      </c>
      <c r="J364" s="33">
        <f>IFERROR(__xludf.DUMMYFUNCTION("LEN(REGEXREPLACE(XLOOKUP($A364,Cards!$A$2:$A1000,Cards!$H$2:$H1000,""""),"",\s"",""""))"),2.0)</f>
        <v>2</v>
      </c>
      <c r="K364" s="33" t="str">
        <f t="shared" si="1"/>
        <v>               </v>
      </c>
      <c r="L364" s="33" t="str">
        <f>IFERROR(__xludf.DUMMYFUNCTION("IF(IF(L$1="""","""",REGEXMATCH(LOWER($E364),XLOOKUP(L$1,Metadata!$A$2:$A1000,Metadata!$B$2:$B1000))),L$1,"""")"),"")</f>
        <v/>
      </c>
      <c r="M364" s="33" t="str">
        <f>IFERROR(__xludf.DUMMYFUNCTION("IF(IF(M$1="""","""",REGEXMATCH(LOWER($E364),XLOOKUP(M$1,Metadata!$A$2:$A1000,Metadata!$B$2:$B1000))),M$1,"""")"),"")</f>
        <v/>
      </c>
      <c r="N364" s="33" t="str">
        <f>IFERROR(__xludf.DUMMYFUNCTION("IF(IF(N$1="""","""",REGEXMATCH(LOWER($E364),XLOOKUP(N$1,Metadata!$A$2:$A1000,Metadata!$B$2:$B1000))),N$1,"""")"),"")</f>
        <v/>
      </c>
      <c r="O364" s="33" t="str">
        <f>IFERROR(__xludf.DUMMYFUNCTION("IF(IF(O$1="""","""",REGEXMATCH(LOWER($E364),XLOOKUP(O$1,Metadata!$A$2:$A1000,Metadata!$B$2:$B1000))),O$1,"""")"),"")</f>
        <v/>
      </c>
      <c r="P364" s="33" t="str">
        <f>IFERROR(__xludf.DUMMYFUNCTION("IF(IF(P$1="""","""",REGEXMATCH(LOWER($E364),XLOOKUP(P$1,Metadata!$A$2:$A1000,Metadata!$B$2:$B1000))),P$1,"""")"),"")</f>
        <v/>
      </c>
      <c r="Q364" s="33" t="str">
        <f>IFERROR(__xludf.DUMMYFUNCTION("IF(IF(Q$1="""","""",REGEXMATCH(LOWER($E364),XLOOKUP(Q$1,Metadata!$A$2:$A1000,Metadata!$B$2:$B1000))),Q$1,"""")"),"")</f>
        <v/>
      </c>
      <c r="R364" s="33" t="str">
        <f>IFERROR(__xludf.DUMMYFUNCTION("IF(IF(R$1="""","""",REGEXMATCH(LOWER($E364),XLOOKUP(R$1,Metadata!$A$2:$A1000,Metadata!$B$2:$B1000))),R$1,"""")"),"")</f>
        <v/>
      </c>
      <c r="S364" s="33" t="str">
        <f>IFERROR(__xludf.DUMMYFUNCTION("IF(IF(S$1="""","""",REGEXMATCH(LOWER($E364),XLOOKUP(S$1,Metadata!$A$2:$A1000,Metadata!$B$2:$B1000))),S$1,"""")"),"")</f>
        <v/>
      </c>
      <c r="T364" s="33" t="str">
        <f>IFERROR(__xludf.DUMMYFUNCTION("IF(IF(T$1="""","""",REGEXMATCH(LOWER($E364),XLOOKUP(T$1,Metadata!$A$2:$A1000,Metadata!$B$2:$B1000))),T$1,"""")"),"")</f>
        <v/>
      </c>
      <c r="U364" s="33" t="str">
        <f>IFERROR(__xludf.DUMMYFUNCTION("IF(IF(U$1="""","""",REGEXMATCH(LOWER($E364),XLOOKUP(U$1,Metadata!$A$2:$A1000,Metadata!$B$2:$B1000))),U$1,"""")"),"")</f>
        <v/>
      </c>
      <c r="V364" s="33" t="str">
        <f>IFERROR(__xludf.DUMMYFUNCTION("IF(IF(V$1="""","""",REGEXMATCH(LOWER($E364),XLOOKUP(V$1,Metadata!$A$2:$A1000,Metadata!$B$2:$B1000))),V$1,"""")"),"")</f>
        <v/>
      </c>
      <c r="W364" s="33" t="str">
        <f>IFERROR(__xludf.DUMMYFUNCTION("IF(IF(W$1="""","""",REGEXMATCH(LOWER($E364),XLOOKUP(W$1,Metadata!$A$2:$A1000,Metadata!$B$2:$B1000))),W$1,"""")"),"")</f>
        <v/>
      </c>
      <c r="X364" s="33" t="str">
        <f>IFERROR(__xludf.DUMMYFUNCTION("IF(IF(X$1="""","""",REGEXMATCH(LOWER($E364),XLOOKUP(X$1,Metadata!$A$2:$A1000,Metadata!$B$2:$B1000))),X$1,"""")"),"")</f>
        <v/>
      </c>
      <c r="Y364" s="33" t="str">
        <f>IFERROR(__xludf.DUMMYFUNCTION("IF(IF(Y$1="""","""",REGEXMATCH(LOWER($E364),XLOOKUP(Y$1,Metadata!$A$2:$A1000,Metadata!$B$2:$B1000))),Y$1,"""")"),"")</f>
        <v/>
      </c>
      <c r="Z364" s="33" t="str">
        <f>IFERROR(__xludf.DUMMYFUNCTION("IF(IF(Z$1="""","""",REGEXMATCH(LOWER($E364),XLOOKUP(Z$1,Metadata!$A$2:$A1000,Metadata!$B$2:$B1000))),Z$1,"""")"),"")</f>
        <v/>
      </c>
      <c r="AA364" s="33" t="str">
        <f>IFERROR(__xludf.DUMMYFUNCTION("IF(AA$1="""","""",REGEXMATCH(LOWER($E364),XLOOKUP(AA$1,Metadata!$A$2:$A1000,Metadata!$B$2:$B1000)))"),"")</f>
        <v/>
      </c>
    </row>
    <row r="365">
      <c r="A365" s="33" t="str">
        <f>IFERROR(__xludf.DUMMYFUNCTION("""COMPUTED_VALUE"""),"Haze Hermit")</f>
        <v>Haze Hermit</v>
      </c>
      <c r="B365" s="33" t="str">
        <f t="array" ref="B365:I365">XLOOKUP($A365,Cards!$A$2:$A1000,Cards!$B$2:$I1000,"")</f>
        <v>Elemental</v>
      </c>
      <c r="C365" s="33">
        <v>3.0</v>
      </c>
      <c r="D365" s="33" t="s">
        <v>579</v>
      </c>
      <c r="E365" s="33" t="s">
        <v>1931</v>
      </c>
      <c r="F365" s="33"/>
      <c r="G365" s="33">
        <v>3.0</v>
      </c>
      <c r="H365" s="33" t="s">
        <v>534</v>
      </c>
      <c r="I365" s="33" t="s">
        <v>26</v>
      </c>
      <c r="J365" s="33">
        <f>IFERROR(__xludf.DUMMYFUNCTION("LEN(REGEXREPLACE(XLOOKUP($A365,Cards!$A$2:$A1000,Cards!$H$2:$H1000,""""),"",\s"",""""))"),2.0)</f>
        <v>2</v>
      </c>
      <c r="K365" s="33" t="str">
        <f t="shared" si="1"/>
        <v>               </v>
      </c>
      <c r="L365" s="33" t="str">
        <f>IFERROR(__xludf.DUMMYFUNCTION("IF(IF(L$1="""","""",REGEXMATCH(LOWER($E365),XLOOKUP(L$1,Metadata!$A$2:$A1000,Metadata!$B$2:$B1000))),L$1,"""")"),"")</f>
        <v/>
      </c>
      <c r="M365" s="33" t="str">
        <f>IFERROR(__xludf.DUMMYFUNCTION("IF(IF(M$1="""","""",REGEXMATCH(LOWER($E365),XLOOKUP(M$1,Metadata!$A$2:$A1000,Metadata!$B$2:$B1000))),M$1,"""")"),"")</f>
        <v/>
      </c>
      <c r="N365" s="33" t="str">
        <f>IFERROR(__xludf.DUMMYFUNCTION("IF(IF(N$1="""","""",REGEXMATCH(LOWER($E365),XLOOKUP(N$1,Metadata!$A$2:$A1000,Metadata!$B$2:$B1000))),N$1,"""")"),"")</f>
        <v/>
      </c>
      <c r="O365" s="33" t="str">
        <f>IFERROR(__xludf.DUMMYFUNCTION("IF(IF(O$1="""","""",REGEXMATCH(LOWER($E365),XLOOKUP(O$1,Metadata!$A$2:$A1000,Metadata!$B$2:$B1000))),O$1,"""")"),"")</f>
        <v/>
      </c>
      <c r="P365" s="33" t="str">
        <f>IFERROR(__xludf.DUMMYFUNCTION("IF(IF(P$1="""","""",REGEXMATCH(LOWER($E365),XLOOKUP(P$1,Metadata!$A$2:$A1000,Metadata!$B$2:$B1000))),P$1,"""")"),"")</f>
        <v/>
      </c>
      <c r="Q365" s="33" t="str">
        <f>IFERROR(__xludf.DUMMYFUNCTION("IF(IF(Q$1="""","""",REGEXMATCH(LOWER($E365),XLOOKUP(Q$1,Metadata!$A$2:$A1000,Metadata!$B$2:$B1000))),Q$1,"""")"),"")</f>
        <v/>
      </c>
      <c r="R365" s="33" t="str">
        <f>IFERROR(__xludf.DUMMYFUNCTION("IF(IF(R$1="""","""",REGEXMATCH(LOWER($E365),XLOOKUP(R$1,Metadata!$A$2:$A1000,Metadata!$B$2:$B1000))),R$1,"""")"),"")</f>
        <v/>
      </c>
      <c r="S365" s="33" t="str">
        <f>IFERROR(__xludf.DUMMYFUNCTION("IF(IF(S$1="""","""",REGEXMATCH(LOWER($E365),XLOOKUP(S$1,Metadata!$A$2:$A1000,Metadata!$B$2:$B1000))),S$1,"""")"),"")</f>
        <v/>
      </c>
      <c r="T365" s="33" t="str">
        <f>IFERROR(__xludf.DUMMYFUNCTION("IF(IF(T$1="""","""",REGEXMATCH(LOWER($E365),XLOOKUP(T$1,Metadata!$A$2:$A1000,Metadata!$B$2:$B1000))),T$1,"""")"),"")</f>
        <v/>
      </c>
      <c r="U365" s="33" t="str">
        <f>IFERROR(__xludf.DUMMYFUNCTION("IF(IF(U$1="""","""",REGEXMATCH(LOWER($E365),XLOOKUP(U$1,Metadata!$A$2:$A1000,Metadata!$B$2:$B1000))),U$1,"""")"),"")</f>
        <v/>
      </c>
      <c r="V365" s="33" t="str">
        <f>IFERROR(__xludf.DUMMYFUNCTION("IF(IF(V$1="""","""",REGEXMATCH(LOWER($E365),XLOOKUP(V$1,Metadata!$A$2:$A1000,Metadata!$B$2:$B1000))),V$1,"""")"),"")</f>
        <v/>
      </c>
      <c r="W365" s="33" t="str">
        <f>IFERROR(__xludf.DUMMYFUNCTION("IF(IF(W$1="""","""",REGEXMATCH(LOWER($E365),XLOOKUP(W$1,Metadata!$A$2:$A1000,Metadata!$B$2:$B1000))),W$1,"""")"),"")</f>
        <v/>
      </c>
      <c r="X365" s="33" t="str">
        <f>IFERROR(__xludf.DUMMYFUNCTION("IF(IF(X$1="""","""",REGEXMATCH(LOWER($E365),XLOOKUP(X$1,Metadata!$A$2:$A1000,Metadata!$B$2:$B1000))),X$1,"""")"),"")</f>
        <v/>
      </c>
      <c r="Y365" s="33" t="str">
        <f>IFERROR(__xludf.DUMMYFUNCTION("IF(IF(Y$1="""","""",REGEXMATCH(LOWER($E365),XLOOKUP(Y$1,Metadata!$A$2:$A1000,Metadata!$B$2:$B1000))),Y$1,"""")"),"")</f>
        <v/>
      </c>
      <c r="Z365" s="33" t="str">
        <f>IFERROR(__xludf.DUMMYFUNCTION("IF(IF(Z$1="""","""",REGEXMATCH(LOWER($E365),XLOOKUP(Z$1,Metadata!$A$2:$A1000,Metadata!$B$2:$B1000))),Z$1,"""")"),"")</f>
        <v/>
      </c>
      <c r="AA365" s="33" t="str">
        <f>IFERROR(__xludf.DUMMYFUNCTION("IF(AA$1="""","""",REGEXMATCH(LOWER($E365),XLOOKUP(AA$1,Metadata!$A$2:$A1000,Metadata!$B$2:$B1000)))"),"")</f>
        <v/>
      </c>
    </row>
    <row r="366">
      <c r="A366" s="33" t="str">
        <f>IFERROR(__xludf.DUMMYFUNCTION("""COMPUTED_VALUE"""),"Ancient Lamp")</f>
        <v>Ancient Lamp</v>
      </c>
      <c r="B366" s="33" t="str">
        <f t="array" ref="B366:I366">XLOOKUP($A366,Cards!$A$2:$A1000,Cards!$B$2:$I1000,"")</f>
        <v>Elemental Void</v>
      </c>
      <c r="C366" s="33">
        <v>3.0</v>
      </c>
      <c r="D366" s="33" t="s">
        <v>1933</v>
      </c>
      <c r="E366" s="33" t="s">
        <v>1934</v>
      </c>
      <c r="F366" s="33"/>
      <c r="G366" s="33">
        <v>6.0</v>
      </c>
      <c r="H366" s="33" t="s">
        <v>1935</v>
      </c>
      <c r="I366" s="33" t="s">
        <v>62</v>
      </c>
      <c r="J366" s="33">
        <f>IFERROR(__xludf.DUMMYFUNCTION("LEN(REGEXREPLACE(XLOOKUP($A366,Cards!$A$2:$A1000,Cards!$H$2:$H1000,""""),"",\s"",""""))"),3.0)</f>
        <v>3</v>
      </c>
      <c r="K366" s="33" t="str">
        <f t="shared" si="1"/>
        <v>               </v>
      </c>
      <c r="L366" s="33" t="str">
        <f>IFERROR(__xludf.DUMMYFUNCTION("IF(IF(L$1="""","""",REGEXMATCH(LOWER($E366),XLOOKUP(L$1,Metadata!$A$2:$A1000,Metadata!$B$2:$B1000))),L$1,"""")"),"")</f>
        <v/>
      </c>
      <c r="M366" s="33" t="str">
        <f>IFERROR(__xludf.DUMMYFUNCTION("IF(IF(M$1="""","""",REGEXMATCH(LOWER($E366),XLOOKUP(M$1,Metadata!$A$2:$A1000,Metadata!$B$2:$B1000))),M$1,"""")"),"")</f>
        <v/>
      </c>
      <c r="N366" s="33" t="str">
        <f>IFERROR(__xludf.DUMMYFUNCTION("IF(IF(N$1="""","""",REGEXMATCH(LOWER($E366),XLOOKUP(N$1,Metadata!$A$2:$A1000,Metadata!$B$2:$B1000))),N$1,"""")"),"")</f>
        <v/>
      </c>
      <c r="O366" s="33" t="str">
        <f>IFERROR(__xludf.DUMMYFUNCTION("IF(IF(O$1="""","""",REGEXMATCH(LOWER($E366),XLOOKUP(O$1,Metadata!$A$2:$A1000,Metadata!$B$2:$B1000))),O$1,"""")"),"")</f>
        <v/>
      </c>
      <c r="P366" s="33" t="str">
        <f>IFERROR(__xludf.DUMMYFUNCTION("IF(IF(P$1="""","""",REGEXMATCH(LOWER($E366),XLOOKUP(P$1,Metadata!$A$2:$A1000,Metadata!$B$2:$B1000))),P$1,"""")"),"")</f>
        <v/>
      </c>
      <c r="Q366" s="33" t="str">
        <f>IFERROR(__xludf.DUMMYFUNCTION("IF(IF(Q$1="""","""",REGEXMATCH(LOWER($E366),XLOOKUP(Q$1,Metadata!$A$2:$A1000,Metadata!$B$2:$B1000))),Q$1,"""")"),"")</f>
        <v/>
      </c>
      <c r="R366" s="33" t="str">
        <f>IFERROR(__xludf.DUMMYFUNCTION("IF(IF(R$1="""","""",REGEXMATCH(LOWER($E366),XLOOKUP(R$1,Metadata!$A$2:$A1000,Metadata!$B$2:$B1000))),R$1,"""")"),"")</f>
        <v/>
      </c>
      <c r="S366" s="33" t="str">
        <f>IFERROR(__xludf.DUMMYFUNCTION("IF(IF(S$1="""","""",REGEXMATCH(LOWER($E366),XLOOKUP(S$1,Metadata!$A$2:$A1000,Metadata!$B$2:$B1000))),S$1,"""")"),"")</f>
        <v/>
      </c>
      <c r="T366" s="33" t="str">
        <f>IFERROR(__xludf.DUMMYFUNCTION("IF(IF(T$1="""","""",REGEXMATCH(LOWER($E366),XLOOKUP(T$1,Metadata!$A$2:$A1000,Metadata!$B$2:$B1000))),T$1,"""")"),"")</f>
        <v/>
      </c>
      <c r="U366" s="33" t="str">
        <f>IFERROR(__xludf.DUMMYFUNCTION("IF(IF(U$1="""","""",REGEXMATCH(LOWER($E366),XLOOKUP(U$1,Metadata!$A$2:$A1000,Metadata!$B$2:$B1000))),U$1,"""")"),"")</f>
        <v/>
      </c>
      <c r="V366" s="33" t="str">
        <f>IFERROR(__xludf.DUMMYFUNCTION("IF(IF(V$1="""","""",REGEXMATCH(LOWER($E366),XLOOKUP(V$1,Metadata!$A$2:$A1000,Metadata!$B$2:$B1000))),V$1,"""")"),"")</f>
        <v/>
      </c>
      <c r="W366" s="33" t="str">
        <f>IFERROR(__xludf.DUMMYFUNCTION("IF(IF(W$1="""","""",REGEXMATCH(LOWER($E366),XLOOKUP(W$1,Metadata!$A$2:$A1000,Metadata!$B$2:$B1000))),W$1,"""")"),"")</f>
        <v/>
      </c>
      <c r="X366" s="33" t="str">
        <f>IFERROR(__xludf.DUMMYFUNCTION("IF(IF(X$1="""","""",REGEXMATCH(LOWER($E366),XLOOKUP(X$1,Metadata!$A$2:$A1000,Metadata!$B$2:$B1000))),X$1,"""")"),"")</f>
        <v/>
      </c>
      <c r="Y366" s="33" t="str">
        <f>IFERROR(__xludf.DUMMYFUNCTION("IF(IF(Y$1="""","""",REGEXMATCH(LOWER($E366),XLOOKUP(Y$1,Metadata!$A$2:$A1000,Metadata!$B$2:$B1000))),Y$1,"""")"),"")</f>
        <v/>
      </c>
      <c r="Z366" s="33" t="str">
        <f>IFERROR(__xludf.DUMMYFUNCTION("IF(IF(Z$1="""","""",REGEXMATCH(LOWER($E366),XLOOKUP(Z$1,Metadata!$A$2:$A1000,Metadata!$B$2:$B1000))),Z$1,"""")"),"")</f>
        <v/>
      </c>
      <c r="AA366" s="33" t="str">
        <f>IFERROR(__xludf.DUMMYFUNCTION("IF(AA$1="""","""",REGEXMATCH(LOWER($E366),XLOOKUP(AA$1,Metadata!$A$2:$A1000,Metadata!$B$2:$B1000)))"),"")</f>
        <v/>
      </c>
    </row>
    <row r="367">
      <c r="A367" s="33" t="str">
        <f>IFERROR(__xludf.DUMMYFUNCTION("""COMPUTED_VALUE"""),"Oblivion")</f>
        <v>Oblivion</v>
      </c>
      <c r="B367" s="33" t="str">
        <f t="array" ref="B367:I367">XLOOKUP($A367,Cards!$A$2:$A1000,Cards!$B$2:$I1000,"")</f>
        <v>Divine Void</v>
      </c>
      <c r="C367" s="33">
        <v>3.0</v>
      </c>
      <c r="D367" s="33" t="s">
        <v>1937</v>
      </c>
      <c r="E367" s="33" t="s">
        <v>1938</v>
      </c>
      <c r="F367" s="33"/>
      <c r="G367" s="33">
        <v>5.0</v>
      </c>
      <c r="H367" s="33" t="s">
        <v>1939</v>
      </c>
      <c r="I367" s="33" t="s">
        <v>32</v>
      </c>
      <c r="J367" s="33">
        <f>IFERROR(__xludf.DUMMYFUNCTION("LEN(REGEXREPLACE(XLOOKUP($A367,Cards!$A$2:$A1000,Cards!$H$2:$H1000,""""),"",\s"",""""))"),7.0)</f>
        <v>7</v>
      </c>
      <c r="K367" s="33" t="str">
        <f t="shared" si="1"/>
        <v>            Ambush   </v>
      </c>
      <c r="L367" s="33" t="str">
        <f>IFERROR(__xludf.DUMMYFUNCTION("IF(IF(L$1="""","""",REGEXMATCH(LOWER($E367),XLOOKUP(L$1,Metadata!$A$2:$A1000,Metadata!$B$2:$B1000))),L$1,"""")"),"")</f>
        <v/>
      </c>
      <c r="M367" s="33" t="str">
        <f>IFERROR(__xludf.DUMMYFUNCTION("IF(IF(M$1="""","""",REGEXMATCH(LOWER($E367),XLOOKUP(M$1,Metadata!$A$2:$A1000,Metadata!$B$2:$B1000))),M$1,"""")"),"")</f>
        <v/>
      </c>
      <c r="N367" s="33" t="str">
        <f>IFERROR(__xludf.DUMMYFUNCTION("IF(IF(N$1="""","""",REGEXMATCH(LOWER($E367),XLOOKUP(N$1,Metadata!$A$2:$A1000,Metadata!$B$2:$B1000))),N$1,"""")"),"")</f>
        <v/>
      </c>
      <c r="O367" s="33" t="str">
        <f>IFERROR(__xludf.DUMMYFUNCTION("IF(IF(O$1="""","""",REGEXMATCH(LOWER($E367),XLOOKUP(O$1,Metadata!$A$2:$A1000,Metadata!$B$2:$B1000))),O$1,"""")"),"")</f>
        <v/>
      </c>
      <c r="P367" s="33" t="str">
        <f>IFERROR(__xludf.DUMMYFUNCTION("IF(IF(P$1="""","""",REGEXMATCH(LOWER($E367),XLOOKUP(P$1,Metadata!$A$2:$A1000,Metadata!$B$2:$B1000))),P$1,"""")"),"")</f>
        <v/>
      </c>
      <c r="Q367" s="33" t="str">
        <f>IFERROR(__xludf.DUMMYFUNCTION("IF(IF(Q$1="""","""",REGEXMATCH(LOWER($E367),XLOOKUP(Q$1,Metadata!$A$2:$A1000,Metadata!$B$2:$B1000))),Q$1,"""")"),"")</f>
        <v/>
      </c>
      <c r="R367" s="33" t="str">
        <f>IFERROR(__xludf.DUMMYFUNCTION("IF(IF(R$1="""","""",REGEXMATCH(LOWER($E367),XLOOKUP(R$1,Metadata!$A$2:$A1000,Metadata!$B$2:$B1000))),R$1,"""")"),"")</f>
        <v/>
      </c>
      <c r="S367" s="33" t="str">
        <f>IFERROR(__xludf.DUMMYFUNCTION("IF(IF(S$1="""","""",REGEXMATCH(LOWER($E367),XLOOKUP(S$1,Metadata!$A$2:$A1000,Metadata!$B$2:$B1000))),S$1,"""")"),"")</f>
        <v/>
      </c>
      <c r="T367" s="33" t="str">
        <f>IFERROR(__xludf.DUMMYFUNCTION("IF(IF(T$1="""","""",REGEXMATCH(LOWER($E367),XLOOKUP(T$1,Metadata!$A$2:$A1000,Metadata!$B$2:$B1000))),T$1,"""")"),"")</f>
        <v/>
      </c>
      <c r="U367" s="33" t="str">
        <f>IFERROR(__xludf.DUMMYFUNCTION("IF(IF(U$1="""","""",REGEXMATCH(LOWER($E367),XLOOKUP(U$1,Metadata!$A$2:$A1000,Metadata!$B$2:$B1000))),U$1,"""")"),"")</f>
        <v/>
      </c>
      <c r="V367" s="33" t="str">
        <f>IFERROR(__xludf.DUMMYFUNCTION("IF(IF(V$1="""","""",REGEXMATCH(LOWER($E367),XLOOKUP(V$1,Metadata!$A$2:$A1000,Metadata!$B$2:$B1000))),V$1,"""")"),"")</f>
        <v/>
      </c>
      <c r="W367" s="33" t="str">
        <f>IFERROR(__xludf.DUMMYFUNCTION("IF(IF(W$1="""","""",REGEXMATCH(LOWER($E367),XLOOKUP(W$1,Metadata!$A$2:$A1000,Metadata!$B$2:$B1000))),W$1,"""")"),"")</f>
        <v/>
      </c>
      <c r="X367" s="33" t="str">
        <f>IFERROR(__xludf.DUMMYFUNCTION("IF(IF(X$1="""","""",REGEXMATCH(LOWER($E367),XLOOKUP(X$1,Metadata!$A$2:$A1000,Metadata!$B$2:$B1000))),X$1,"""")"),"Ambush")</f>
        <v>Ambush</v>
      </c>
      <c r="Y367" s="33" t="str">
        <f>IFERROR(__xludf.DUMMYFUNCTION("IF(IF(Y$1="""","""",REGEXMATCH(LOWER($E367),XLOOKUP(Y$1,Metadata!$A$2:$A1000,Metadata!$B$2:$B1000))),Y$1,"""")"),"")</f>
        <v/>
      </c>
      <c r="Z367" s="33" t="str">
        <f>IFERROR(__xludf.DUMMYFUNCTION("IF(IF(Z$1="""","""",REGEXMATCH(LOWER($E367),XLOOKUP(Z$1,Metadata!$A$2:$A1000,Metadata!$B$2:$B1000))),Z$1,"""")"),"")</f>
        <v/>
      </c>
      <c r="AA367" s="33" t="str">
        <f>IFERROR(__xludf.DUMMYFUNCTION("IF(AA$1="""","""",REGEXMATCH(LOWER($E367),XLOOKUP(AA$1,Metadata!$A$2:$A1000,Metadata!$B$2:$B1000)))"),"")</f>
        <v/>
      </c>
    </row>
    <row r="368">
      <c r="A368" s="33" t="str">
        <f>IFERROR(__xludf.DUMMYFUNCTION("""COMPUTED_VALUE"""),"Sovereign of the Rejuvenating Springs")</f>
        <v>Sovereign of the Rejuvenating Springs</v>
      </c>
      <c r="B368" s="33" t="str">
        <f t="array" ref="B368:I368">XLOOKUP($A368,Cards!$A$2:$A1000,Cards!$B$2:$I1000,"")</f>
        <v>Nature</v>
      </c>
      <c r="C368" s="33">
        <v>3.0</v>
      </c>
      <c r="D368" s="33" t="s">
        <v>1941</v>
      </c>
      <c r="E368" s="33" t="s">
        <v>1942</v>
      </c>
      <c r="F368" s="33"/>
      <c r="G368" s="33">
        <v>5.0</v>
      </c>
      <c r="H368" s="33" t="s">
        <v>1475</v>
      </c>
      <c r="I368" s="33" t="s">
        <v>62</v>
      </c>
      <c r="J368" s="33">
        <f>IFERROR(__xludf.DUMMYFUNCTION("LEN(REGEXREPLACE(XLOOKUP($A368,Cards!$A$2:$A1000,Cards!$H$2:$H1000,""""),"",\s"",""""))"),6.0)</f>
        <v>6</v>
      </c>
      <c r="K368" s="33" t="str">
        <f t="shared" si="1"/>
        <v>      Ramp   Aggro      </v>
      </c>
      <c r="L368" s="33" t="str">
        <f>IFERROR(__xludf.DUMMYFUNCTION("IF(IF(L$1="""","""",REGEXMATCH(LOWER($E368),XLOOKUP(L$1,Metadata!$A$2:$A1000,Metadata!$B$2:$B1000))),L$1,"""")"),"")</f>
        <v/>
      </c>
      <c r="M368" s="33" t="str">
        <f>IFERROR(__xludf.DUMMYFUNCTION("IF(IF(M$1="""","""",REGEXMATCH(LOWER($E368),XLOOKUP(M$1,Metadata!$A$2:$A1000,Metadata!$B$2:$B1000))),M$1,"""")"),"")</f>
        <v/>
      </c>
      <c r="N368" s="33" t="str">
        <f>IFERROR(__xludf.DUMMYFUNCTION("IF(IF(N$1="""","""",REGEXMATCH(LOWER($E368),XLOOKUP(N$1,Metadata!$A$2:$A1000,Metadata!$B$2:$B1000))),N$1,"""")"),"")</f>
        <v/>
      </c>
      <c r="O368" s="33" t="str">
        <f>IFERROR(__xludf.DUMMYFUNCTION("IF(IF(O$1="""","""",REGEXMATCH(LOWER($E368),XLOOKUP(O$1,Metadata!$A$2:$A1000,Metadata!$B$2:$B1000))),O$1,"""")"),"")</f>
        <v/>
      </c>
      <c r="P368" s="33" t="str">
        <f>IFERROR(__xludf.DUMMYFUNCTION("IF(IF(P$1="""","""",REGEXMATCH(LOWER($E368),XLOOKUP(P$1,Metadata!$A$2:$A1000,Metadata!$B$2:$B1000))),P$1,"""")"),"")</f>
        <v/>
      </c>
      <c r="Q368" s="33" t="str">
        <f>IFERROR(__xludf.DUMMYFUNCTION("IF(IF(Q$1="""","""",REGEXMATCH(LOWER($E368),XLOOKUP(Q$1,Metadata!$A$2:$A1000,Metadata!$B$2:$B1000))),Q$1,"""")"),"")</f>
        <v/>
      </c>
      <c r="R368" s="33" t="str">
        <f>IFERROR(__xludf.DUMMYFUNCTION("IF(IF(R$1="""","""",REGEXMATCH(LOWER($E368),XLOOKUP(R$1,Metadata!$A$2:$A1000,Metadata!$B$2:$B1000))),R$1,"""")"),"Ramp")</f>
        <v>Ramp</v>
      </c>
      <c r="S368" s="33" t="str">
        <f>IFERROR(__xludf.DUMMYFUNCTION("IF(IF(S$1="""","""",REGEXMATCH(LOWER($E368),XLOOKUP(S$1,Metadata!$A$2:$A1000,Metadata!$B$2:$B1000))),S$1,"""")"),"")</f>
        <v/>
      </c>
      <c r="T368" s="33" t="str">
        <f>IFERROR(__xludf.DUMMYFUNCTION("IF(IF(T$1="""","""",REGEXMATCH(LOWER($E368),XLOOKUP(T$1,Metadata!$A$2:$A1000,Metadata!$B$2:$B1000))),T$1,"""")"),"")</f>
        <v/>
      </c>
      <c r="U368" s="33" t="str">
        <f>IFERROR(__xludf.DUMMYFUNCTION("IF(IF(U$1="""","""",REGEXMATCH(LOWER($E368),XLOOKUP(U$1,Metadata!$A$2:$A1000,Metadata!$B$2:$B1000))),U$1,"""")"),"Aggro")</f>
        <v>Aggro</v>
      </c>
      <c r="V368" s="33" t="str">
        <f>IFERROR(__xludf.DUMMYFUNCTION("IF(IF(V$1="""","""",REGEXMATCH(LOWER($E368),XLOOKUP(V$1,Metadata!$A$2:$A1000,Metadata!$B$2:$B1000))),V$1,"""")"),"")</f>
        <v/>
      </c>
      <c r="W368" s="33" t="str">
        <f>IFERROR(__xludf.DUMMYFUNCTION("IF(IF(W$1="""","""",REGEXMATCH(LOWER($E368),XLOOKUP(W$1,Metadata!$A$2:$A1000,Metadata!$B$2:$B1000))),W$1,"""")"),"")</f>
        <v/>
      </c>
      <c r="X368" s="33" t="str">
        <f>IFERROR(__xludf.DUMMYFUNCTION("IF(IF(X$1="""","""",REGEXMATCH(LOWER($E368),XLOOKUP(X$1,Metadata!$A$2:$A1000,Metadata!$B$2:$B1000))),X$1,"""")"),"")</f>
        <v/>
      </c>
      <c r="Y368" s="33" t="str">
        <f>IFERROR(__xludf.DUMMYFUNCTION("IF(IF(Y$1="""","""",REGEXMATCH(LOWER($E368),XLOOKUP(Y$1,Metadata!$A$2:$A1000,Metadata!$B$2:$B1000))),Y$1,"""")"),"")</f>
        <v/>
      </c>
      <c r="Z368" s="33" t="str">
        <f>IFERROR(__xludf.DUMMYFUNCTION("IF(IF(Z$1="""","""",REGEXMATCH(LOWER($E368),XLOOKUP(Z$1,Metadata!$A$2:$A1000,Metadata!$B$2:$B1000))),Z$1,"""")"),"")</f>
        <v/>
      </c>
      <c r="AA368" s="33" t="str">
        <f>IFERROR(__xludf.DUMMYFUNCTION("IF(AA$1="""","""",REGEXMATCH(LOWER($E368),XLOOKUP(AA$1,Metadata!$A$2:$A1000,Metadata!$B$2:$B1000)))"),"")</f>
        <v/>
      </c>
    </row>
    <row r="369">
      <c r="A369" s="33" t="str">
        <f>IFERROR(__xludf.DUMMYFUNCTION("""COMPUTED_VALUE"""),"Pegasus")</f>
        <v>Pegasus</v>
      </c>
      <c r="B369" s="33" t="str">
        <f t="array" ref="B369:I369">XLOOKUP($A369,Cards!$A$2:$A1000,Cards!$B$2:$I1000,"")</f>
        <v>Divine</v>
      </c>
      <c r="C369" s="33">
        <v>3.0</v>
      </c>
      <c r="D369" s="33" t="s">
        <v>97</v>
      </c>
      <c r="E369" s="33" t="s">
        <v>1944</v>
      </c>
      <c r="F369" s="33"/>
      <c r="G369" s="33">
        <v>2.0</v>
      </c>
      <c r="H369" s="33" t="s">
        <v>92</v>
      </c>
      <c r="I369" s="33" t="s">
        <v>26</v>
      </c>
      <c r="J369" s="33">
        <f>IFERROR(__xludf.DUMMYFUNCTION("LEN(REGEXREPLACE(XLOOKUP($A369,Cards!$A$2:$A1000,Cards!$H$2:$H1000,""""),"",\s"",""""))"),2.0)</f>
        <v>2</v>
      </c>
      <c r="K369" s="33" t="str">
        <f t="shared" si="1"/>
        <v>               </v>
      </c>
      <c r="L369" s="33" t="str">
        <f>IFERROR(__xludf.DUMMYFUNCTION("IF(IF(L$1="""","""",REGEXMATCH(LOWER($E369),XLOOKUP(L$1,Metadata!$A$2:$A1000,Metadata!$B$2:$B1000))),L$1,"""")"),"")</f>
        <v/>
      </c>
      <c r="M369" s="33" t="str">
        <f>IFERROR(__xludf.DUMMYFUNCTION("IF(IF(M$1="""","""",REGEXMATCH(LOWER($E369),XLOOKUP(M$1,Metadata!$A$2:$A1000,Metadata!$B$2:$B1000))),M$1,"""")"),"")</f>
        <v/>
      </c>
      <c r="N369" s="33" t="str">
        <f>IFERROR(__xludf.DUMMYFUNCTION("IF(IF(N$1="""","""",REGEXMATCH(LOWER($E369),XLOOKUP(N$1,Metadata!$A$2:$A1000,Metadata!$B$2:$B1000))),N$1,"""")"),"")</f>
        <v/>
      </c>
      <c r="O369" s="33" t="str">
        <f>IFERROR(__xludf.DUMMYFUNCTION("IF(IF(O$1="""","""",REGEXMATCH(LOWER($E369),XLOOKUP(O$1,Metadata!$A$2:$A1000,Metadata!$B$2:$B1000))),O$1,"""")"),"")</f>
        <v/>
      </c>
      <c r="P369" s="33" t="str">
        <f>IFERROR(__xludf.DUMMYFUNCTION("IF(IF(P$1="""","""",REGEXMATCH(LOWER($E369),XLOOKUP(P$1,Metadata!$A$2:$A1000,Metadata!$B$2:$B1000))),P$1,"""")"),"")</f>
        <v/>
      </c>
      <c r="Q369" s="33" t="str">
        <f>IFERROR(__xludf.DUMMYFUNCTION("IF(IF(Q$1="""","""",REGEXMATCH(LOWER($E369),XLOOKUP(Q$1,Metadata!$A$2:$A1000,Metadata!$B$2:$B1000))),Q$1,"""")"),"")</f>
        <v/>
      </c>
      <c r="R369" s="33" t="str">
        <f>IFERROR(__xludf.DUMMYFUNCTION("IF(IF(R$1="""","""",REGEXMATCH(LOWER($E369),XLOOKUP(R$1,Metadata!$A$2:$A1000,Metadata!$B$2:$B1000))),R$1,"""")"),"")</f>
        <v/>
      </c>
      <c r="S369" s="33" t="str">
        <f>IFERROR(__xludf.DUMMYFUNCTION("IF(IF(S$1="""","""",REGEXMATCH(LOWER($E369),XLOOKUP(S$1,Metadata!$A$2:$A1000,Metadata!$B$2:$B1000))),S$1,"""")"),"")</f>
        <v/>
      </c>
      <c r="T369" s="33" t="str">
        <f>IFERROR(__xludf.DUMMYFUNCTION("IF(IF(T$1="""","""",REGEXMATCH(LOWER($E369),XLOOKUP(T$1,Metadata!$A$2:$A1000,Metadata!$B$2:$B1000))),T$1,"""")"),"")</f>
        <v/>
      </c>
      <c r="U369" s="33" t="str">
        <f>IFERROR(__xludf.DUMMYFUNCTION("IF(IF(U$1="""","""",REGEXMATCH(LOWER($E369),XLOOKUP(U$1,Metadata!$A$2:$A1000,Metadata!$B$2:$B1000))),U$1,"""")"),"")</f>
        <v/>
      </c>
      <c r="V369" s="33" t="str">
        <f>IFERROR(__xludf.DUMMYFUNCTION("IF(IF(V$1="""","""",REGEXMATCH(LOWER($E369),XLOOKUP(V$1,Metadata!$A$2:$A1000,Metadata!$B$2:$B1000))),V$1,"""")"),"")</f>
        <v/>
      </c>
      <c r="W369" s="33" t="str">
        <f>IFERROR(__xludf.DUMMYFUNCTION("IF(IF(W$1="""","""",REGEXMATCH(LOWER($E369),XLOOKUP(W$1,Metadata!$A$2:$A1000,Metadata!$B$2:$B1000))),W$1,"""")"),"")</f>
        <v/>
      </c>
      <c r="X369" s="33" t="str">
        <f>IFERROR(__xludf.DUMMYFUNCTION("IF(IF(X$1="""","""",REGEXMATCH(LOWER($E369),XLOOKUP(X$1,Metadata!$A$2:$A1000,Metadata!$B$2:$B1000))),X$1,"""")"),"")</f>
        <v/>
      </c>
      <c r="Y369" s="33" t="str">
        <f>IFERROR(__xludf.DUMMYFUNCTION("IF(IF(Y$1="""","""",REGEXMATCH(LOWER($E369),XLOOKUP(Y$1,Metadata!$A$2:$A1000,Metadata!$B$2:$B1000))),Y$1,"""")"),"")</f>
        <v/>
      </c>
      <c r="Z369" s="33" t="str">
        <f>IFERROR(__xludf.DUMMYFUNCTION("IF(IF(Z$1="""","""",REGEXMATCH(LOWER($E369),XLOOKUP(Z$1,Metadata!$A$2:$A1000,Metadata!$B$2:$B1000))),Z$1,"""")"),"")</f>
        <v/>
      </c>
      <c r="AA369" s="33" t="str">
        <f>IFERROR(__xludf.DUMMYFUNCTION("IF(AA$1="""","""",REGEXMATCH(LOWER($E369),XLOOKUP(AA$1,Metadata!$A$2:$A1000,Metadata!$B$2:$B1000)))"),"")</f>
        <v/>
      </c>
    </row>
    <row r="370">
      <c r="A370" s="33" t="str">
        <f>IFERROR(__xludf.DUMMYFUNCTION("""COMPUTED_VALUE"""),"Blinking Onyxion")</f>
        <v>Blinking Onyxion</v>
      </c>
      <c r="B370" s="33" t="str">
        <f t="array" ref="B370:I370">XLOOKUP($A370,Cards!$A$2:$A1000,Cards!$B$2:$I1000,"")</f>
        <v>Elemental</v>
      </c>
      <c r="C370" s="33">
        <v>3.0</v>
      </c>
      <c r="D370" s="33" t="s">
        <v>1946</v>
      </c>
      <c r="E370" s="33" t="s">
        <v>1947</v>
      </c>
      <c r="F370" s="33"/>
      <c r="G370" s="33">
        <v>3.0</v>
      </c>
      <c r="H370" s="33" t="s">
        <v>368</v>
      </c>
      <c r="I370" s="33" t="s">
        <v>26</v>
      </c>
      <c r="J370" s="33">
        <f>IFERROR(__xludf.DUMMYFUNCTION("LEN(REGEXREPLACE(XLOOKUP($A370,Cards!$A$2:$A1000,Cards!$H$2:$H1000,""""),"",\s"",""""))"),3.0)</f>
        <v>3</v>
      </c>
      <c r="K370" s="33" t="str">
        <f t="shared" si="1"/>
        <v>               </v>
      </c>
      <c r="L370" s="33" t="str">
        <f>IFERROR(__xludf.DUMMYFUNCTION("IF(IF(L$1="""","""",REGEXMATCH(LOWER($E370),XLOOKUP(L$1,Metadata!$A$2:$A1000,Metadata!$B$2:$B1000))),L$1,"""")"),"")</f>
        <v/>
      </c>
      <c r="M370" s="33" t="str">
        <f>IFERROR(__xludf.DUMMYFUNCTION("IF(IF(M$1="""","""",REGEXMATCH(LOWER($E370),XLOOKUP(M$1,Metadata!$A$2:$A1000,Metadata!$B$2:$B1000))),M$1,"""")"),"")</f>
        <v/>
      </c>
      <c r="N370" s="33" t="str">
        <f>IFERROR(__xludf.DUMMYFUNCTION("IF(IF(N$1="""","""",REGEXMATCH(LOWER($E370),XLOOKUP(N$1,Metadata!$A$2:$A1000,Metadata!$B$2:$B1000))),N$1,"""")"),"")</f>
        <v/>
      </c>
      <c r="O370" s="33" t="str">
        <f>IFERROR(__xludf.DUMMYFUNCTION("IF(IF(O$1="""","""",REGEXMATCH(LOWER($E370),XLOOKUP(O$1,Metadata!$A$2:$A1000,Metadata!$B$2:$B1000))),O$1,"""")"),"")</f>
        <v/>
      </c>
      <c r="P370" s="33" t="str">
        <f>IFERROR(__xludf.DUMMYFUNCTION("IF(IF(P$1="""","""",REGEXMATCH(LOWER($E370),XLOOKUP(P$1,Metadata!$A$2:$A1000,Metadata!$B$2:$B1000))),P$1,"""")"),"")</f>
        <v/>
      </c>
      <c r="Q370" s="33" t="str">
        <f>IFERROR(__xludf.DUMMYFUNCTION("IF(IF(Q$1="""","""",REGEXMATCH(LOWER($E370),XLOOKUP(Q$1,Metadata!$A$2:$A1000,Metadata!$B$2:$B1000))),Q$1,"""")"),"")</f>
        <v/>
      </c>
      <c r="R370" s="33" t="str">
        <f>IFERROR(__xludf.DUMMYFUNCTION("IF(IF(R$1="""","""",REGEXMATCH(LOWER($E370),XLOOKUP(R$1,Metadata!$A$2:$A1000,Metadata!$B$2:$B1000))),R$1,"""")"),"")</f>
        <v/>
      </c>
      <c r="S370" s="33" t="str">
        <f>IFERROR(__xludf.DUMMYFUNCTION("IF(IF(S$1="""","""",REGEXMATCH(LOWER($E370),XLOOKUP(S$1,Metadata!$A$2:$A1000,Metadata!$B$2:$B1000))),S$1,"""")"),"")</f>
        <v/>
      </c>
      <c r="T370" s="33" t="str">
        <f>IFERROR(__xludf.DUMMYFUNCTION("IF(IF(T$1="""","""",REGEXMATCH(LOWER($E370),XLOOKUP(T$1,Metadata!$A$2:$A1000,Metadata!$B$2:$B1000))),T$1,"""")"),"")</f>
        <v/>
      </c>
      <c r="U370" s="33" t="str">
        <f>IFERROR(__xludf.DUMMYFUNCTION("IF(IF(U$1="""","""",REGEXMATCH(LOWER($E370),XLOOKUP(U$1,Metadata!$A$2:$A1000,Metadata!$B$2:$B1000))),U$1,"""")"),"")</f>
        <v/>
      </c>
      <c r="V370" s="33" t="str">
        <f>IFERROR(__xludf.DUMMYFUNCTION("IF(IF(V$1="""","""",REGEXMATCH(LOWER($E370),XLOOKUP(V$1,Metadata!$A$2:$A1000,Metadata!$B$2:$B1000))),V$1,"""")"),"")</f>
        <v/>
      </c>
      <c r="W370" s="33" t="str">
        <f>IFERROR(__xludf.DUMMYFUNCTION("IF(IF(W$1="""","""",REGEXMATCH(LOWER($E370),XLOOKUP(W$1,Metadata!$A$2:$A1000,Metadata!$B$2:$B1000))),W$1,"""")"),"")</f>
        <v/>
      </c>
      <c r="X370" s="33" t="str">
        <f>IFERROR(__xludf.DUMMYFUNCTION("IF(IF(X$1="""","""",REGEXMATCH(LOWER($E370),XLOOKUP(X$1,Metadata!$A$2:$A1000,Metadata!$B$2:$B1000))),X$1,"""")"),"")</f>
        <v/>
      </c>
      <c r="Y370" s="33" t="str">
        <f>IFERROR(__xludf.DUMMYFUNCTION("IF(IF(Y$1="""","""",REGEXMATCH(LOWER($E370),XLOOKUP(Y$1,Metadata!$A$2:$A1000,Metadata!$B$2:$B1000))),Y$1,"""")"),"")</f>
        <v/>
      </c>
      <c r="Z370" s="33" t="str">
        <f>IFERROR(__xludf.DUMMYFUNCTION("IF(IF(Z$1="""","""",REGEXMATCH(LOWER($E370),XLOOKUP(Z$1,Metadata!$A$2:$A1000,Metadata!$B$2:$B1000))),Z$1,"""")"),"")</f>
        <v/>
      </c>
      <c r="AA370" s="33" t="str">
        <f>IFERROR(__xludf.DUMMYFUNCTION("IF(AA$1="""","""",REGEXMATCH(LOWER($E370),XLOOKUP(AA$1,Metadata!$A$2:$A1000,Metadata!$B$2:$B1000)))"),"")</f>
        <v/>
      </c>
    </row>
    <row r="371">
      <c r="A371" s="33" t="str">
        <f>IFERROR(__xludf.DUMMYFUNCTION("""COMPUTED_VALUE"""),"Dragon Queen Thalis")</f>
        <v>Dragon Queen Thalis</v>
      </c>
      <c r="B371" s="33" t="str">
        <f t="array" ref="B371:I371">XLOOKUP($A371,Cards!$A$2:$A1000,Cards!$B$2:$I1000,"")</f>
        <v>Elemental Mortal</v>
      </c>
      <c r="C371" s="33">
        <v>3.0</v>
      </c>
      <c r="D371" s="33" t="s">
        <v>1949</v>
      </c>
      <c r="E371" s="33" t="s">
        <v>1950</v>
      </c>
      <c r="F371" s="33"/>
      <c r="G371" s="33">
        <v>3.0</v>
      </c>
      <c r="H371" s="33" t="s">
        <v>1951</v>
      </c>
      <c r="I371" s="33" t="s">
        <v>62</v>
      </c>
      <c r="J371" s="33">
        <f>IFERROR(__xludf.DUMMYFUNCTION("LEN(REGEXREPLACE(XLOOKUP($A371,Cards!$A$2:$A1000,Cards!$H$2:$H1000,""""),"",\s"",""""))"),3.0)</f>
        <v>3</v>
      </c>
      <c r="K371" s="33" t="str">
        <f t="shared" si="1"/>
        <v>               </v>
      </c>
      <c r="L371" s="33" t="str">
        <f>IFERROR(__xludf.DUMMYFUNCTION("IF(IF(L$1="""","""",REGEXMATCH(LOWER($E371),XLOOKUP(L$1,Metadata!$A$2:$A1000,Metadata!$B$2:$B1000))),L$1,"""")"),"")</f>
        <v/>
      </c>
      <c r="M371" s="33" t="str">
        <f>IFERROR(__xludf.DUMMYFUNCTION("IF(IF(M$1="""","""",REGEXMATCH(LOWER($E371),XLOOKUP(M$1,Metadata!$A$2:$A1000,Metadata!$B$2:$B1000))),M$1,"""")"),"")</f>
        <v/>
      </c>
      <c r="N371" s="33" t="str">
        <f>IFERROR(__xludf.DUMMYFUNCTION("IF(IF(N$1="""","""",REGEXMATCH(LOWER($E371),XLOOKUP(N$1,Metadata!$A$2:$A1000,Metadata!$B$2:$B1000))),N$1,"""")"),"")</f>
        <v/>
      </c>
      <c r="O371" s="33" t="str">
        <f>IFERROR(__xludf.DUMMYFUNCTION("IF(IF(O$1="""","""",REGEXMATCH(LOWER($E371),XLOOKUP(O$1,Metadata!$A$2:$A1000,Metadata!$B$2:$B1000))),O$1,"""")"),"")</f>
        <v/>
      </c>
      <c r="P371" s="33" t="str">
        <f>IFERROR(__xludf.DUMMYFUNCTION("IF(IF(P$1="""","""",REGEXMATCH(LOWER($E371),XLOOKUP(P$1,Metadata!$A$2:$A1000,Metadata!$B$2:$B1000))),P$1,"""")"),"")</f>
        <v/>
      </c>
      <c r="Q371" s="33" t="str">
        <f>IFERROR(__xludf.DUMMYFUNCTION("IF(IF(Q$1="""","""",REGEXMATCH(LOWER($E371),XLOOKUP(Q$1,Metadata!$A$2:$A1000,Metadata!$B$2:$B1000))),Q$1,"""")"),"")</f>
        <v/>
      </c>
      <c r="R371" s="33" t="str">
        <f>IFERROR(__xludf.DUMMYFUNCTION("IF(IF(R$1="""","""",REGEXMATCH(LOWER($E371),XLOOKUP(R$1,Metadata!$A$2:$A1000,Metadata!$B$2:$B1000))),R$1,"""")"),"")</f>
        <v/>
      </c>
      <c r="S371" s="33" t="str">
        <f>IFERROR(__xludf.DUMMYFUNCTION("IF(IF(S$1="""","""",REGEXMATCH(LOWER($E371),XLOOKUP(S$1,Metadata!$A$2:$A1000,Metadata!$B$2:$B1000))),S$1,"""")"),"")</f>
        <v/>
      </c>
      <c r="T371" s="33" t="str">
        <f>IFERROR(__xludf.DUMMYFUNCTION("IF(IF(T$1="""","""",REGEXMATCH(LOWER($E371),XLOOKUP(T$1,Metadata!$A$2:$A1000,Metadata!$B$2:$B1000))),T$1,"""")"),"")</f>
        <v/>
      </c>
      <c r="U371" s="33" t="str">
        <f>IFERROR(__xludf.DUMMYFUNCTION("IF(IF(U$1="""","""",REGEXMATCH(LOWER($E371),XLOOKUP(U$1,Metadata!$A$2:$A1000,Metadata!$B$2:$B1000))),U$1,"""")"),"")</f>
        <v/>
      </c>
      <c r="V371" s="33" t="str">
        <f>IFERROR(__xludf.DUMMYFUNCTION("IF(IF(V$1="""","""",REGEXMATCH(LOWER($E371),XLOOKUP(V$1,Metadata!$A$2:$A1000,Metadata!$B$2:$B1000))),V$1,"""")"),"")</f>
        <v/>
      </c>
      <c r="W371" s="33" t="str">
        <f>IFERROR(__xludf.DUMMYFUNCTION("IF(IF(W$1="""","""",REGEXMATCH(LOWER($E371),XLOOKUP(W$1,Metadata!$A$2:$A1000,Metadata!$B$2:$B1000))),W$1,"""")"),"")</f>
        <v/>
      </c>
      <c r="X371" s="33" t="str">
        <f>IFERROR(__xludf.DUMMYFUNCTION("IF(IF(X$1="""","""",REGEXMATCH(LOWER($E371),XLOOKUP(X$1,Metadata!$A$2:$A1000,Metadata!$B$2:$B1000))),X$1,"""")"),"")</f>
        <v/>
      </c>
      <c r="Y371" s="33" t="str">
        <f>IFERROR(__xludf.DUMMYFUNCTION("IF(IF(Y$1="""","""",REGEXMATCH(LOWER($E371),XLOOKUP(Y$1,Metadata!$A$2:$A1000,Metadata!$B$2:$B1000))),Y$1,"""")"),"")</f>
        <v/>
      </c>
      <c r="Z371" s="33" t="str">
        <f>IFERROR(__xludf.DUMMYFUNCTION("IF(IF(Z$1="""","""",REGEXMATCH(LOWER($E371),XLOOKUP(Z$1,Metadata!$A$2:$A1000,Metadata!$B$2:$B1000))),Z$1,"""")"),"")</f>
        <v/>
      </c>
      <c r="AA371" s="33" t="str">
        <f>IFERROR(__xludf.DUMMYFUNCTION("IF(AA$1="""","""",REGEXMATCH(LOWER($E371),XLOOKUP(AA$1,Metadata!$A$2:$A1000,Metadata!$B$2:$B1000)))"),"")</f>
        <v/>
      </c>
    </row>
    <row r="372">
      <c r="A372" s="33" t="str">
        <f>IFERROR(__xludf.DUMMYFUNCTION("""COMPUTED_VALUE"""),"Fuming Fukuisaur")</f>
        <v>Fuming Fukuisaur</v>
      </c>
      <c r="B372" s="33" t="str">
        <f t="array" ref="B372:I372">XLOOKUP($A372,Cards!$A$2:$A1000,Cards!$B$2:$I1000,"")</f>
        <v>Void</v>
      </c>
      <c r="C372" s="33">
        <v>3.0</v>
      </c>
      <c r="D372" s="33" t="s">
        <v>1953</v>
      </c>
      <c r="E372" s="33" t="s">
        <v>1954</v>
      </c>
      <c r="F372" s="33"/>
      <c r="G372" s="33"/>
      <c r="H372" s="33"/>
      <c r="I372" s="33"/>
      <c r="J372" s="33">
        <f>IFERROR(__xludf.DUMMYFUNCTION("LEN(REGEXREPLACE(XLOOKUP($A372,Cards!$A$2:$A1000,Cards!$H$2:$H1000,""""),"",\s"",""""))"),0.0)</f>
        <v>0</v>
      </c>
      <c r="K372" s="33" t="str">
        <f t="shared" si="1"/>
        <v>               </v>
      </c>
      <c r="L372" s="33" t="str">
        <f>IFERROR(__xludf.DUMMYFUNCTION("IF(IF(L$1="""","""",REGEXMATCH(LOWER($E372),XLOOKUP(L$1,Metadata!$A$2:$A1000,Metadata!$B$2:$B1000))),L$1,"""")"),"")</f>
        <v/>
      </c>
      <c r="M372" s="33" t="str">
        <f>IFERROR(__xludf.DUMMYFUNCTION("IF(IF(M$1="""","""",REGEXMATCH(LOWER($E372),XLOOKUP(M$1,Metadata!$A$2:$A1000,Metadata!$B$2:$B1000))),M$1,"""")"),"")</f>
        <v/>
      </c>
      <c r="N372" s="33" t="str">
        <f>IFERROR(__xludf.DUMMYFUNCTION("IF(IF(N$1="""","""",REGEXMATCH(LOWER($E372),XLOOKUP(N$1,Metadata!$A$2:$A1000,Metadata!$B$2:$B1000))),N$1,"""")"),"")</f>
        <v/>
      </c>
      <c r="O372" s="33" t="str">
        <f>IFERROR(__xludf.DUMMYFUNCTION("IF(IF(O$1="""","""",REGEXMATCH(LOWER($E372),XLOOKUP(O$1,Metadata!$A$2:$A1000,Metadata!$B$2:$B1000))),O$1,"""")"),"")</f>
        <v/>
      </c>
      <c r="P372" s="33" t="str">
        <f>IFERROR(__xludf.DUMMYFUNCTION("IF(IF(P$1="""","""",REGEXMATCH(LOWER($E372),XLOOKUP(P$1,Metadata!$A$2:$A1000,Metadata!$B$2:$B1000))),P$1,"""")"),"")</f>
        <v/>
      </c>
      <c r="Q372" s="33" t="str">
        <f>IFERROR(__xludf.DUMMYFUNCTION("IF(IF(Q$1="""","""",REGEXMATCH(LOWER($E372),XLOOKUP(Q$1,Metadata!$A$2:$A1000,Metadata!$B$2:$B1000))),Q$1,"""")"),"")</f>
        <v/>
      </c>
      <c r="R372" s="33" t="str">
        <f>IFERROR(__xludf.DUMMYFUNCTION("IF(IF(R$1="""","""",REGEXMATCH(LOWER($E372),XLOOKUP(R$1,Metadata!$A$2:$A1000,Metadata!$B$2:$B1000))),R$1,"""")"),"")</f>
        <v/>
      </c>
      <c r="S372" s="33" t="str">
        <f>IFERROR(__xludf.DUMMYFUNCTION("IF(IF(S$1="""","""",REGEXMATCH(LOWER($E372),XLOOKUP(S$1,Metadata!$A$2:$A1000,Metadata!$B$2:$B1000))),S$1,"""")"),"")</f>
        <v/>
      </c>
      <c r="T372" s="33" t="str">
        <f>IFERROR(__xludf.DUMMYFUNCTION("IF(IF(T$1="""","""",REGEXMATCH(LOWER($E372),XLOOKUP(T$1,Metadata!$A$2:$A1000,Metadata!$B$2:$B1000))),T$1,"""")"),"")</f>
        <v/>
      </c>
      <c r="U372" s="33" t="str">
        <f>IFERROR(__xludf.DUMMYFUNCTION("IF(IF(U$1="""","""",REGEXMATCH(LOWER($E372),XLOOKUP(U$1,Metadata!$A$2:$A1000,Metadata!$B$2:$B1000))),U$1,"""")"),"")</f>
        <v/>
      </c>
      <c r="V372" s="33" t="str">
        <f>IFERROR(__xludf.DUMMYFUNCTION("IF(IF(V$1="""","""",REGEXMATCH(LOWER($E372),XLOOKUP(V$1,Metadata!$A$2:$A1000,Metadata!$B$2:$B1000))),V$1,"""")"),"")</f>
        <v/>
      </c>
      <c r="W372" s="33" t="str">
        <f>IFERROR(__xludf.DUMMYFUNCTION("IF(IF(W$1="""","""",REGEXMATCH(LOWER($E372),XLOOKUP(W$1,Metadata!$A$2:$A1000,Metadata!$B$2:$B1000))),W$1,"""")"),"")</f>
        <v/>
      </c>
      <c r="X372" s="33" t="str">
        <f>IFERROR(__xludf.DUMMYFUNCTION("IF(IF(X$1="""","""",REGEXMATCH(LOWER($E372),XLOOKUP(X$1,Metadata!$A$2:$A1000,Metadata!$B$2:$B1000))),X$1,"""")"),"")</f>
        <v/>
      </c>
      <c r="Y372" s="33" t="str">
        <f>IFERROR(__xludf.DUMMYFUNCTION("IF(IF(Y$1="""","""",REGEXMATCH(LOWER($E372),XLOOKUP(Y$1,Metadata!$A$2:$A1000,Metadata!$B$2:$B1000))),Y$1,"""")"),"")</f>
        <v/>
      </c>
      <c r="Z372" s="33" t="str">
        <f>IFERROR(__xludf.DUMMYFUNCTION("IF(IF(Z$1="""","""",REGEXMATCH(LOWER($E372),XLOOKUP(Z$1,Metadata!$A$2:$A1000,Metadata!$B$2:$B1000))),Z$1,"""")"),"")</f>
        <v/>
      </c>
      <c r="AA372" s="33" t="str">
        <f>IFERROR(__xludf.DUMMYFUNCTION("IF(AA$1="""","""",REGEXMATCH(LOWER($E372),XLOOKUP(AA$1,Metadata!$A$2:$A1000,Metadata!$B$2:$B1000)))"),"")</f>
        <v/>
      </c>
    </row>
    <row r="373">
      <c r="A373" s="33" t="str">
        <f>IFERROR(__xludf.DUMMYFUNCTION("""COMPUTED_VALUE"""),"Spreading Spore")</f>
        <v>Spreading Spore</v>
      </c>
      <c r="B373" s="33" t="str">
        <f t="array" ref="B373:I373">XLOOKUP($A373,Cards!$A$2:$A1000,Cards!$B$2:$I1000,"")</f>
        <v>Nature</v>
      </c>
      <c r="C373" s="33">
        <v>3.0</v>
      </c>
      <c r="D373" s="33" t="s">
        <v>1340</v>
      </c>
      <c r="E373" s="33" t="s">
        <v>1956</v>
      </c>
      <c r="F373" s="33"/>
      <c r="G373" s="33">
        <v>3.0</v>
      </c>
      <c r="H373" s="33" t="s">
        <v>1470</v>
      </c>
      <c r="I373" s="33" t="s">
        <v>26</v>
      </c>
      <c r="J373" s="33">
        <f>IFERROR(__xludf.DUMMYFUNCTION("LEN(REGEXREPLACE(XLOOKUP($A373,Cards!$A$2:$A1000,Cards!$H$2:$H1000,""""),"",\s"",""""))"),3.0)</f>
        <v>3</v>
      </c>
      <c r="K373" s="33" t="str">
        <f t="shared" si="1"/>
        <v>               </v>
      </c>
      <c r="L373" s="33" t="str">
        <f>IFERROR(__xludf.DUMMYFUNCTION("IF(IF(L$1="""","""",REGEXMATCH(LOWER($E373),XLOOKUP(L$1,Metadata!$A$2:$A1000,Metadata!$B$2:$B1000))),L$1,"""")"),"")</f>
        <v/>
      </c>
      <c r="M373" s="33" t="str">
        <f>IFERROR(__xludf.DUMMYFUNCTION("IF(IF(M$1="""","""",REGEXMATCH(LOWER($E373),XLOOKUP(M$1,Metadata!$A$2:$A1000,Metadata!$B$2:$B1000))),M$1,"""")"),"")</f>
        <v/>
      </c>
      <c r="N373" s="33" t="str">
        <f>IFERROR(__xludf.DUMMYFUNCTION("IF(IF(N$1="""","""",REGEXMATCH(LOWER($E373),XLOOKUP(N$1,Metadata!$A$2:$A1000,Metadata!$B$2:$B1000))),N$1,"""")"),"")</f>
        <v/>
      </c>
      <c r="O373" s="33" t="str">
        <f>IFERROR(__xludf.DUMMYFUNCTION("IF(IF(O$1="""","""",REGEXMATCH(LOWER($E373),XLOOKUP(O$1,Metadata!$A$2:$A1000,Metadata!$B$2:$B1000))),O$1,"""")"),"")</f>
        <v/>
      </c>
      <c r="P373" s="33" t="str">
        <f>IFERROR(__xludf.DUMMYFUNCTION("IF(IF(P$1="""","""",REGEXMATCH(LOWER($E373),XLOOKUP(P$1,Metadata!$A$2:$A1000,Metadata!$B$2:$B1000))),P$1,"""")"),"")</f>
        <v/>
      </c>
      <c r="Q373" s="33" t="str">
        <f>IFERROR(__xludf.DUMMYFUNCTION("IF(IF(Q$1="""","""",REGEXMATCH(LOWER($E373),XLOOKUP(Q$1,Metadata!$A$2:$A1000,Metadata!$B$2:$B1000))),Q$1,"""")"),"")</f>
        <v/>
      </c>
      <c r="R373" s="33" t="str">
        <f>IFERROR(__xludf.DUMMYFUNCTION("IF(IF(R$1="""","""",REGEXMATCH(LOWER($E373),XLOOKUP(R$1,Metadata!$A$2:$A1000,Metadata!$B$2:$B1000))),R$1,"""")"),"")</f>
        <v/>
      </c>
      <c r="S373" s="33" t="str">
        <f>IFERROR(__xludf.DUMMYFUNCTION("IF(IF(S$1="""","""",REGEXMATCH(LOWER($E373),XLOOKUP(S$1,Metadata!$A$2:$A1000,Metadata!$B$2:$B1000))),S$1,"""")"),"")</f>
        <v/>
      </c>
      <c r="T373" s="33" t="str">
        <f>IFERROR(__xludf.DUMMYFUNCTION("IF(IF(T$1="""","""",REGEXMATCH(LOWER($E373),XLOOKUP(T$1,Metadata!$A$2:$A1000,Metadata!$B$2:$B1000))),T$1,"""")"),"")</f>
        <v/>
      </c>
      <c r="U373" s="33" t="str">
        <f>IFERROR(__xludf.DUMMYFUNCTION("IF(IF(U$1="""","""",REGEXMATCH(LOWER($E373),XLOOKUP(U$1,Metadata!$A$2:$A1000,Metadata!$B$2:$B1000))),U$1,"""")"),"")</f>
        <v/>
      </c>
      <c r="V373" s="33" t="str">
        <f>IFERROR(__xludf.DUMMYFUNCTION("IF(IF(V$1="""","""",REGEXMATCH(LOWER($E373),XLOOKUP(V$1,Metadata!$A$2:$A1000,Metadata!$B$2:$B1000))),V$1,"""")"),"")</f>
        <v/>
      </c>
      <c r="W373" s="33" t="str">
        <f>IFERROR(__xludf.DUMMYFUNCTION("IF(IF(W$1="""","""",REGEXMATCH(LOWER($E373),XLOOKUP(W$1,Metadata!$A$2:$A1000,Metadata!$B$2:$B1000))),W$1,"""")"),"")</f>
        <v/>
      </c>
      <c r="X373" s="33" t="str">
        <f>IFERROR(__xludf.DUMMYFUNCTION("IF(IF(X$1="""","""",REGEXMATCH(LOWER($E373),XLOOKUP(X$1,Metadata!$A$2:$A1000,Metadata!$B$2:$B1000))),X$1,"""")"),"")</f>
        <v/>
      </c>
      <c r="Y373" s="33" t="str">
        <f>IFERROR(__xludf.DUMMYFUNCTION("IF(IF(Y$1="""","""",REGEXMATCH(LOWER($E373),XLOOKUP(Y$1,Metadata!$A$2:$A1000,Metadata!$B$2:$B1000))),Y$1,"""")"),"")</f>
        <v/>
      </c>
      <c r="Z373" s="33" t="str">
        <f>IFERROR(__xludf.DUMMYFUNCTION("IF(IF(Z$1="""","""",REGEXMATCH(LOWER($E373),XLOOKUP(Z$1,Metadata!$A$2:$A1000,Metadata!$B$2:$B1000))),Z$1,"""")"),"")</f>
        <v/>
      </c>
      <c r="AA373" s="33" t="str">
        <f>IFERROR(__xludf.DUMMYFUNCTION("IF(AA$1="""","""",REGEXMATCH(LOWER($E373),XLOOKUP(AA$1,Metadata!$A$2:$A1000,Metadata!$B$2:$B1000)))"),"")</f>
        <v/>
      </c>
    </row>
    <row r="374">
      <c r="A374" s="33" t="str">
        <f>IFERROR(__xludf.DUMMYFUNCTION("""COMPUTED_VALUE"""),"Nightmare Creeper")</f>
        <v>Nightmare Creeper</v>
      </c>
      <c r="B374" s="33" t="str">
        <f t="array" ref="B374:I374">XLOOKUP($A374,Cards!$A$2:$A1000,Cards!$B$2:$I1000,"")</f>
        <v>Void</v>
      </c>
      <c r="C374" s="33">
        <v>3.0</v>
      </c>
      <c r="D374" s="33" t="s">
        <v>1958</v>
      </c>
      <c r="E374" s="33" t="s">
        <v>1959</v>
      </c>
      <c r="F374" s="33"/>
      <c r="G374" s="33">
        <v>4.0</v>
      </c>
      <c r="H374" s="33" t="s">
        <v>1785</v>
      </c>
      <c r="I374" s="33" t="s">
        <v>62</v>
      </c>
      <c r="J374" s="33">
        <f>IFERROR(__xludf.DUMMYFUNCTION("LEN(REGEXREPLACE(XLOOKUP($A374,Cards!$A$2:$A1000,Cards!$H$2:$H1000,""""),"",\s"",""""))"),4.0)</f>
        <v>4</v>
      </c>
      <c r="K374" s="33" t="str">
        <f t="shared" si="1"/>
        <v>               </v>
      </c>
      <c r="L374" s="33" t="str">
        <f>IFERROR(__xludf.DUMMYFUNCTION("IF(IF(L$1="""","""",REGEXMATCH(LOWER($E374),XLOOKUP(L$1,Metadata!$A$2:$A1000,Metadata!$B$2:$B1000))),L$1,"""")"),"")</f>
        <v/>
      </c>
      <c r="M374" s="33" t="str">
        <f>IFERROR(__xludf.DUMMYFUNCTION("IF(IF(M$1="""","""",REGEXMATCH(LOWER($E374),XLOOKUP(M$1,Metadata!$A$2:$A1000,Metadata!$B$2:$B1000))),M$1,"""")"),"")</f>
        <v/>
      </c>
      <c r="N374" s="33" t="str">
        <f>IFERROR(__xludf.DUMMYFUNCTION("IF(IF(N$1="""","""",REGEXMATCH(LOWER($E374),XLOOKUP(N$1,Metadata!$A$2:$A1000,Metadata!$B$2:$B1000))),N$1,"""")"),"")</f>
        <v/>
      </c>
      <c r="O374" s="33" t="str">
        <f>IFERROR(__xludf.DUMMYFUNCTION("IF(IF(O$1="""","""",REGEXMATCH(LOWER($E374),XLOOKUP(O$1,Metadata!$A$2:$A1000,Metadata!$B$2:$B1000))),O$1,"""")"),"")</f>
        <v/>
      </c>
      <c r="P374" s="33" t="str">
        <f>IFERROR(__xludf.DUMMYFUNCTION("IF(IF(P$1="""","""",REGEXMATCH(LOWER($E374),XLOOKUP(P$1,Metadata!$A$2:$A1000,Metadata!$B$2:$B1000))),P$1,"""")"),"")</f>
        <v/>
      </c>
      <c r="Q374" s="33" t="str">
        <f>IFERROR(__xludf.DUMMYFUNCTION("IF(IF(Q$1="""","""",REGEXMATCH(LOWER($E374),XLOOKUP(Q$1,Metadata!$A$2:$A1000,Metadata!$B$2:$B1000))),Q$1,"""")"),"")</f>
        <v/>
      </c>
      <c r="R374" s="33" t="str">
        <f>IFERROR(__xludf.DUMMYFUNCTION("IF(IF(R$1="""","""",REGEXMATCH(LOWER($E374),XLOOKUP(R$1,Metadata!$A$2:$A1000,Metadata!$B$2:$B1000))),R$1,"""")"),"")</f>
        <v/>
      </c>
      <c r="S374" s="33" t="str">
        <f>IFERROR(__xludf.DUMMYFUNCTION("IF(IF(S$1="""","""",REGEXMATCH(LOWER($E374),XLOOKUP(S$1,Metadata!$A$2:$A1000,Metadata!$B$2:$B1000))),S$1,"""")"),"")</f>
        <v/>
      </c>
      <c r="T374" s="33" t="str">
        <f>IFERROR(__xludf.DUMMYFUNCTION("IF(IF(T$1="""","""",REGEXMATCH(LOWER($E374),XLOOKUP(T$1,Metadata!$A$2:$A1000,Metadata!$B$2:$B1000))),T$1,"""")"),"")</f>
        <v/>
      </c>
      <c r="U374" s="33" t="str">
        <f>IFERROR(__xludf.DUMMYFUNCTION("IF(IF(U$1="""","""",REGEXMATCH(LOWER($E374),XLOOKUP(U$1,Metadata!$A$2:$A1000,Metadata!$B$2:$B1000))),U$1,"""")"),"")</f>
        <v/>
      </c>
      <c r="V374" s="33" t="str">
        <f>IFERROR(__xludf.DUMMYFUNCTION("IF(IF(V$1="""","""",REGEXMATCH(LOWER($E374),XLOOKUP(V$1,Metadata!$A$2:$A1000,Metadata!$B$2:$B1000))),V$1,"""")"),"")</f>
        <v/>
      </c>
      <c r="W374" s="33" t="str">
        <f>IFERROR(__xludf.DUMMYFUNCTION("IF(IF(W$1="""","""",REGEXMATCH(LOWER($E374),XLOOKUP(W$1,Metadata!$A$2:$A1000,Metadata!$B$2:$B1000))),W$1,"""")"),"")</f>
        <v/>
      </c>
      <c r="X374" s="33" t="str">
        <f>IFERROR(__xludf.DUMMYFUNCTION("IF(IF(X$1="""","""",REGEXMATCH(LOWER($E374),XLOOKUP(X$1,Metadata!$A$2:$A1000,Metadata!$B$2:$B1000))),X$1,"""")"),"")</f>
        <v/>
      </c>
      <c r="Y374" s="33" t="str">
        <f>IFERROR(__xludf.DUMMYFUNCTION("IF(IF(Y$1="""","""",REGEXMATCH(LOWER($E374),XLOOKUP(Y$1,Metadata!$A$2:$A1000,Metadata!$B$2:$B1000))),Y$1,"""")"),"")</f>
        <v/>
      </c>
      <c r="Z374" s="33" t="str">
        <f>IFERROR(__xludf.DUMMYFUNCTION("IF(IF(Z$1="""","""",REGEXMATCH(LOWER($E374),XLOOKUP(Z$1,Metadata!$A$2:$A1000,Metadata!$B$2:$B1000))),Z$1,"""")"),"")</f>
        <v/>
      </c>
      <c r="AA374" s="33" t="str">
        <f>IFERROR(__xludf.DUMMYFUNCTION("IF(AA$1="""","""",REGEXMATCH(LOWER($E374),XLOOKUP(AA$1,Metadata!$A$2:$A1000,Metadata!$B$2:$B1000)))"),"")</f>
        <v/>
      </c>
    </row>
    <row r="375">
      <c r="A375" s="33" t="str">
        <f>IFERROR(__xludf.DUMMYFUNCTION("""COMPUTED_VALUE"""),"Chapel Watcher")</f>
        <v>Chapel Watcher</v>
      </c>
      <c r="B375" s="33" t="str">
        <f t="array" ref="B375:I375">XLOOKUP($A375,Cards!$A$2:$A1000,Cards!$B$2:$I1000,"")</f>
        <v>Mortal Divine</v>
      </c>
      <c r="C375" s="33">
        <v>3.0</v>
      </c>
      <c r="D375" s="33" t="s">
        <v>28</v>
      </c>
      <c r="E375" s="33" t="s">
        <v>1962</v>
      </c>
      <c r="F375" s="33"/>
      <c r="G375" s="33">
        <v>3.0</v>
      </c>
      <c r="H375" s="33" t="s">
        <v>1963</v>
      </c>
      <c r="I375" s="33" t="s">
        <v>26</v>
      </c>
      <c r="J375" s="33">
        <f>IFERROR(__xludf.DUMMYFUNCTION("LEN(REGEXREPLACE(XLOOKUP($A375,Cards!$A$2:$A1000,Cards!$H$2:$H1000,""""),"",\s"",""""))"),3.0)</f>
        <v>3</v>
      </c>
      <c r="K375" s="33" t="str">
        <f t="shared" si="1"/>
        <v>      Ramp         </v>
      </c>
      <c r="L375" s="33" t="str">
        <f>IFERROR(__xludf.DUMMYFUNCTION("IF(IF(L$1="""","""",REGEXMATCH(LOWER($E375),XLOOKUP(L$1,Metadata!$A$2:$A1000,Metadata!$B$2:$B1000))),L$1,"""")"),"")</f>
        <v/>
      </c>
      <c r="M375" s="33" t="str">
        <f>IFERROR(__xludf.DUMMYFUNCTION("IF(IF(M$1="""","""",REGEXMATCH(LOWER($E375),XLOOKUP(M$1,Metadata!$A$2:$A1000,Metadata!$B$2:$B1000))),M$1,"""")"),"")</f>
        <v/>
      </c>
      <c r="N375" s="33" t="str">
        <f>IFERROR(__xludf.DUMMYFUNCTION("IF(IF(N$1="""","""",REGEXMATCH(LOWER($E375),XLOOKUP(N$1,Metadata!$A$2:$A1000,Metadata!$B$2:$B1000))),N$1,"""")"),"")</f>
        <v/>
      </c>
      <c r="O375" s="33" t="str">
        <f>IFERROR(__xludf.DUMMYFUNCTION("IF(IF(O$1="""","""",REGEXMATCH(LOWER($E375),XLOOKUP(O$1,Metadata!$A$2:$A1000,Metadata!$B$2:$B1000))),O$1,"""")"),"")</f>
        <v/>
      </c>
      <c r="P375" s="33" t="str">
        <f>IFERROR(__xludf.DUMMYFUNCTION("IF(IF(P$1="""","""",REGEXMATCH(LOWER($E375),XLOOKUP(P$1,Metadata!$A$2:$A1000,Metadata!$B$2:$B1000))),P$1,"""")"),"")</f>
        <v/>
      </c>
      <c r="Q375" s="33" t="str">
        <f>IFERROR(__xludf.DUMMYFUNCTION("IF(IF(Q$1="""","""",REGEXMATCH(LOWER($E375),XLOOKUP(Q$1,Metadata!$A$2:$A1000,Metadata!$B$2:$B1000))),Q$1,"""")"),"")</f>
        <v/>
      </c>
      <c r="R375" s="33" t="str">
        <f>IFERROR(__xludf.DUMMYFUNCTION("IF(IF(R$1="""","""",REGEXMATCH(LOWER($E375),XLOOKUP(R$1,Metadata!$A$2:$A1000,Metadata!$B$2:$B1000))),R$1,"""")"),"Ramp")</f>
        <v>Ramp</v>
      </c>
      <c r="S375" s="33" t="str">
        <f>IFERROR(__xludf.DUMMYFUNCTION("IF(IF(S$1="""","""",REGEXMATCH(LOWER($E375),XLOOKUP(S$1,Metadata!$A$2:$A1000,Metadata!$B$2:$B1000))),S$1,"""")"),"")</f>
        <v/>
      </c>
      <c r="T375" s="33" t="str">
        <f>IFERROR(__xludf.DUMMYFUNCTION("IF(IF(T$1="""","""",REGEXMATCH(LOWER($E375),XLOOKUP(T$1,Metadata!$A$2:$A1000,Metadata!$B$2:$B1000))),T$1,"""")"),"")</f>
        <v/>
      </c>
      <c r="U375" s="33" t="str">
        <f>IFERROR(__xludf.DUMMYFUNCTION("IF(IF(U$1="""","""",REGEXMATCH(LOWER($E375),XLOOKUP(U$1,Metadata!$A$2:$A1000,Metadata!$B$2:$B1000))),U$1,"""")"),"")</f>
        <v/>
      </c>
      <c r="V375" s="33" t="str">
        <f>IFERROR(__xludf.DUMMYFUNCTION("IF(IF(V$1="""","""",REGEXMATCH(LOWER($E375),XLOOKUP(V$1,Metadata!$A$2:$A1000,Metadata!$B$2:$B1000))),V$1,"""")"),"")</f>
        <v/>
      </c>
      <c r="W375" s="33" t="str">
        <f>IFERROR(__xludf.DUMMYFUNCTION("IF(IF(W$1="""","""",REGEXMATCH(LOWER($E375),XLOOKUP(W$1,Metadata!$A$2:$A1000,Metadata!$B$2:$B1000))),W$1,"""")"),"")</f>
        <v/>
      </c>
      <c r="X375" s="33" t="str">
        <f>IFERROR(__xludf.DUMMYFUNCTION("IF(IF(X$1="""","""",REGEXMATCH(LOWER($E375),XLOOKUP(X$1,Metadata!$A$2:$A1000,Metadata!$B$2:$B1000))),X$1,"""")"),"")</f>
        <v/>
      </c>
      <c r="Y375" s="33" t="str">
        <f>IFERROR(__xludf.DUMMYFUNCTION("IF(IF(Y$1="""","""",REGEXMATCH(LOWER($E375),XLOOKUP(Y$1,Metadata!$A$2:$A1000,Metadata!$B$2:$B1000))),Y$1,"""")"),"")</f>
        <v/>
      </c>
      <c r="Z375" s="33" t="str">
        <f>IFERROR(__xludf.DUMMYFUNCTION("IF(IF(Z$1="""","""",REGEXMATCH(LOWER($E375),XLOOKUP(Z$1,Metadata!$A$2:$A1000,Metadata!$B$2:$B1000))),Z$1,"""")"),"")</f>
        <v/>
      </c>
      <c r="AA375" s="33" t="str">
        <f>IFERROR(__xludf.DUMMYFUNCTION("IF(AA$1="""","""",REGEXMATCH(LOWER($E375),XLOOKUP(AA$1,Metadata!$A$2:$A1000,Metadata!$B$2:$B1000)))"),"")</f>
        <v/>
      </c>
    </row>
    <row r="376">
      <c r="A376" s="33" t="str">
        <f>IFERROR(__xludf.DUMMYFUNCTION("""COMPUTED_VALUE"""),"Luring Flametooth")</f>
        <v>Luring Flametooth</v>
      </c>
      <c r="B376" s="33" t="str">
        <f t="array" ref="B376:I376">XLOOKUP($A376,Cards!$A$2:$A1000,Cards!$B$2:$I1000,"")</f>
        <v>Elemental</v>
      </c>
      <c r="C376" s="33">
        <v>3.0</v>
      </c>
      <c r="D376" s="33" t="s">
        <v>1965</v>
      </c>
      <c r="E376" s="33" t="s">
        <v>1966</v>
      </c>
      <c r="F376" s="33"/>
      <c r="G376" s="33">
        <v>5.0</v>
      </c>
      <c r="H376" s="33" t="s">
        <v>474</v>
      </c>
      <c r="I376" s="33" t="s">
        <v>26</v>
      </c>
      <c r="J376" s="33">
        <f>IFERROR(__xludf.DUMMYFUNCTION("LEN(REGEXREPLACE(XLOOKUP($A376,Cards!$A$2:$A1000,Cards!$H$2:$H1000,""""),"",\s"",""""))"),5.0)</f>
        <v>5</v>
      </c>
      <c r="K376" s="33" t="str">
        <f t="shared" si="1"/>
        <v>               </v>
      </c>
      <c r="L376" s="33" t="str">
        <f>IFERROR(__xludf.DUMMYFUNCTION("IF(IF(L$1="""","""",REGEXMATCH(LOWER($E376),XLOOKUP(L$1,Metadata!$A$2:$A1000,Metadata!$B$2:$B1000))),L$1,"""")"),"")</f>
        <v/>
      </c>
      <c r="M376" s="33" t="str">
        <f>IFERROR(__xludf.DUMMYFUNCTION("IF(IF(M$1="""","""",REGEXMATCH(LOWER($E376),XLOOKUP(M$1,Metadata!$A$2:$A1000,Metadata!$B$2:$B1000))),M$1,"""")"),"")</f>
        <v/>
      </c>
      <c r="N376" s="33" t="str">
        <f>IFERROR(__xludf.DUMMYFUNCTION("IF(IF(N$1="""","""",REGEXMATCH(LOWER($E376),XLOOKUP(N$1,Metadata!$A$2:$A1000,Metadata!$B$2:$B1000))),N$1,"""")"),"")</f>
        <v/>
      </c>
      <c r="O376" s="33" t="str">
        <f>IFERROR(__xludf.DUMMYFUNCTION("IF(IF(O$1="""","""",REGEXMATCH(LOWER($E376),XLOOKUP(O$1,Metadata!$A$2:$A1000,Metadata!$B$2:$B1000))),O$1,"""")"),"")</f>
        <v/>
      </c>
      <c r="P376" s="33" t="str">
        <f>IFERROR(__xludf.DUMMYFUNCTION("IF(IF(P$1="""","""",REGEXMATCH(LOWER($E376),XLOOKUP(P$1,Metadata!$A$2:$A1000,Metadata!$B$2:$B1000))),P$1,"""")"),"")</f>
        <v/>
      </c>
      <c r="Q376" s="33" t="str">
        <f>IFERROR(__xludf.DUMMYFUNCTION("IF(IF(Q$1="""","""",REGEXMATCH(LOWER($E376),XLOOKUP(Q$1,Metadata!$A$2:$A1000,Metadata!$B$2:$B1000))),Q$1,"""")"),"")</f>
        <v/>
      </c>
      <c r="R376" s="33" t="str">
        <f>IFERROR(__xludf.DUMMYFUNCTION("IF(IF(R$1="""","""",REGEXMATCH(LOWER($E376),XLOOKUP(R$1,Metadata!$A$2:$A1000,Metadata!$B$2:$B1000))),R$1,"""")"),"")</f>
        <v/>
      </c>
      <c r="S376" s="33" t="str">
        <f>IFERROR(__xludf.DUMMYFUNCTION("IF(IF(S$1="""","""",REGEXMATCH(LOWER($E376),XLOOKUP(S$1,Metadata!$A$2:$A1000,Metadata!$B$2:$B1000))),S$1,"""")"),"")</f>
        <v/>
      </c>
      <c r="T376" s="33" t="str">
        <f>IFERROR(__xludf.DUMMYFUNCTION("IF(IF(T$1="""","""",REGEXMATCH(LOWER($E376),XLOOKUP(T$1,Metadata!$A$2:$A1000,Metadata!$B$2:$B1000))),T$1,"""")"),"")</f>
        <v/>
      </c>
      <c r="U376" s="33" t="str">
        <f>IFERROR(__xludf.DUMMYFUNCTION("IF(IF(U$1="""","""",REGEXMATCH(LOWER($E376),XLOOKUP(U$1,Metadata!$A$2:$A1000,Metadata!$B$2:$B1000))),U$1,"""")"),"")</f>
        <v/>
      </c>
      <c r="V376" s="33" t="str">
        <f>IFERROR(__xludf.DUMMYFUNCTION("IF(IF(V$1="""","""",REGEXMATCH(LOWER($E376),XLOOKUP(V$1,Metadata!$A$2:$A1000,Metadata!$B$2:$B1000))),V$1,"""")"),"")</f>
        <v/>
      </c>
      <c r="W376" s="33" t="str">
        <f>IFERROR(__xludf.DUMMYFUNCTION("IF(IF(W$1="""","""",REGEXMATCH(LOWER($E376),XLOOKUP(W$1,Metadata!$A$2:$A1000,Metadata!$B$2:$B1000))),W$1,"""")"),"")</f>
        <v/>
      </c>
      <c r="X376" s="33" t="str">
        <f>IFERROR(__xludf.DUMMYFUNCTION("IF(IF(X$1="""","""",REGEXMATCH(LOWER($E376),XLOOKUP(X$1,Metadata!$A$2:$A1000,Metadata!$B$2:$B1000))),X$1,"""")"),"")</f>
        <v/>
      </c>
      <c r="Y376" s="33" t="str">
        <f>IFERROR(__xludf.DUMMYFUNCTION("IF(IF(Y$1="""","""",REGEXMATCH(LOWER($E376),XLOOKUP(Y$1,Metadata!$A$2:$A1000,Metadata!$B$2:$B1000))),Y$1,"""")"),"")</f>
        <v/>
      </c>
      <c r="Z376" s="33" t="str">
        <f>IFERROR(__xludf.DUMMYFUNCTION("IF(IF(Z$1="""","""",REGEXMATCH(LOWER($E376),XLOOKUP(Z$1,Metadata!$A$2:$A1000,Metadata!$B$2:$B1000))),Z$1,"""")"),"")</f>
        <v/>
      </c>
      <c r="AA376" s="33" t="str">
        <f>IFERROR(__xludf.DUMMYFUNCTION("IF(AA$1="""","""",REGEXMATCH(LOWER($E376),XLOOKUP(AA$1,Metadata!$A$2:$A1000,Metadata!$B$2:$B1000)))"),"")</f>
        <v/>
      </c>
    </row>
    <row r="377">
      <c r="A377" s="33" t="str">
        <f>IFERROR(__xludf.DUMMYFUNCTION("""COMPUTED_VALUE"""),"Shardsplosion")</f>
        <v>Shardsplosion</v>
      </c>
      <c r="B377" s="33" t="str">
        <f t="array" ref="B377:I377">XLOOKUP($A377,Cards!$A$2:$A1000,Cards!$B$2:$I1000,"")</f>
        <v>Divine</v>
      </c>
      <c r="C377" s="33">
        <v>3.0</v>
      </c>
      <c r="D377" s="33" t="s">
        <v>70</v>
      </c>
      <c r="E377" s="33" t="s">
        <v>1968</v>
      </c>
      <c r="F377" s="33" t="s">
        <v>2801</v>
      </c>
      <c r="G377" s="33">
        <v>0.0</v>
      </c>
      <c r="H377" s="33" t="s">
        <v>166</v>
      </c>
      <c r="I377" s="33" t="s">
        <v>62</v>
      </c>
      <c r="J377" s="33">
        <f>IFERROR(__xludf.DUMMYFUNCTION("LEN(REGEXREPLACE(XLOOKUP($A377,Cards!$A$2:$A1000,Cards!$H$2:$H1000,""""),"",\s"",""""))"),7.0)</f>
        <v>7</v>
      </c>
      <c r="K377" s="33" t="str">
        <f t="shared" si="1"/>
        <v>     Unearth  Control     Ambush   </v>
      </c>
      <c r="L377" s="33" t="str">
        <f>IFERROR(__xludf.DUMMYFUNCTION("IF(IF(L$1="""","""",REGEXMATCH(LOWER($E377),XLOOKUP(L$1,Metadata!$A$2:$A1000,Metadata!$B$2:$B1000))),L$1,"""")"),"")</f>
        <v/>
      </c>
      <c r="M377" s="33" t="str">
        <f>IFERROR(__xludf.DUMMYFUNCTION("IF(IF(M$1="""","""",REGEXMATCH(LOWER($E377),XLOOKUP(M$1,Metadata!$A$2:$A1000,Metadata!$B$2:$B1000))),M$1,"""")"),"")</f>
        <v/>
      </c>
      <c r="N377" s="33" t="str">
        <f>IFERROR(__xludf.DUMMYFUNCTION("IF(IF(N$1="""","""",REGEXMATCH(LOWER($E377),XLOOKUP(N$1,Metadata!$A$2:$A1000,Metadata!$B$2:$B1000))),N$1,"""")"),"")</f>
        <v/>
      </c>
      <c r="O377" s="33" t="str">
        <f>IFERROR(__xludf.DUMMYFUNCTION("IF(IF(O$1="""","""",REGEXMATCH(LOWER($E377),XLOOKUP(O$1,Metadata!$A$2:$A1000,Metadata!$B$2:$B1000))),O$1,"""")"),"")</f>
        <v/>
      </c>
      <c r="P377" s="33" t="str">
        <f>IFERROR(__xludf.DUMMYFUNCTION("IF(IF(P$1="""","""",REGEXMATCH(LOWER($E377),XLOOKUP(P$1,Metadata!$A$2:$A1000,Metadata!$B$2:$B1000))),P$1,"""")"),"")</f>
        <v/>
      </c>
      <c r="Q377" s="33" t="str">
        <f>IFERROR(__xludf.DUMMYFUNCTION("IF(IF(Q$1="""","""",REGEXMATCH(LOWER($E377),XLOOKUP(Q$1,Metadata!$A$2:$A1000,Metadata!$B$2:$B1000))),Q$1,"""")"),"Unearth")</f>
        <v>Unearth</v>
      </c>
      <c r="R377" s="33" t="str">
        <f>IFERROR(__xludf.DUMMYFUNCTION("IF(IF(R$1="""","""",REGEXMATCH(LOWER($E377),XLOOKUP(R$1,Metadata!$A$2:$A1000,Metadata!$B$2:$B1000))),R$1,"""")"),"")</f>
        <v/>
      </c>
      <c r="S377" s="33" t="str">
        <f>IFERROR(__xludf.DUMMYFUNCTION("IF(IF(S$1="""","""",REGEXMATCH(LOWER($E377),XLOOKUP(S$1,Metadata!$A$2:$A1000,Metadata!$B$2:$B1000))),S$1,"""")"),"Control")</f>
        <v>Control</v>
      </c>
      <c r="T377" s="33" t="str">
        <f>IFERROR(__xludf.DUMMYFUNCTION("IF(IF(T$1="""","""",REGEXMATCH(LOWER($E377),XLOOKUP(T$1,Metadata!$A$2:$A1000,Metadata!$B$2:$B1000))),T$1,"""")"),"")</f>
        <v/>
      </c>
      <c r="U377" s="33" t="str">
        <f>IFERROR(__xludf.DUMMYFUNCTION("IF(IF(U$1="""","""",REGEXMATCH(LOWER($E377),XLOOKUP(U$1,Metadata!$A$2:$A1000,Metadata!$B$2:$B1000))),U$1,"""")"),"")</f>
        <v/>
      </c>
      <c r="V377" s="33" t="str">
        <f>IFERROR(__xludf.DUMMYFUNCTION("IF(IF(V$1="""","""",REGEXMATCH(LOWER($E377),XLOOKUP(V$1,Metadata!$A$2:$A1000,Metadata!$B$2:$B1000))),V$1,"""")"),"")</f>
        <v/>
      </c>
      <c r="W377" s="33" t="str">
        <f>IFERROR(__xludf.DUMMYFUNCTION("IF(IF(W$1="""","""",REGEXMATCH(LOWER($E377),XLOOKUP(W$1,Metadata!$A$2:$A1000,Metadata!$B$2:$B1000))),W$1,"""")"),"")</f>
        <v/>
      </c>
      <c r="X377" s="33" t="str">
        <f>IFERROR(__xludf.DUMMYFUNCTION("IF(IF(X$1="""","""",REGEXMATCH(LOWER($E377),XLOOKUP(X$1,Metadata!$A$2:$A1000,Metadata!$B$2:$B1000))),X$1,"""")"),"Ambush")</f>
        <v>Ambush</v>
      </c>
      <c r="Y377" s="33" t="str">
        <f>IFERROR(__xludf.DUMMYFUNCTION("IF(IF(Y$1="""","""",REGEXMATCH(LOWER($E377),XLOOKUP(Y$1,Metadata!$A$2:$A1000,Metadata!$B$2:$B1000))),Y$1,"""")"),"")</f>
        <v/>
      </c>
      <c r="Z377" s="33" t="str">
        <f>IFERROR(__xludf.DUMMYFUNCTION("IF(IF(Z$1="""","""",REGEXMATCH(LOWER($E377),XLOOKUP(Z$1,Metadata!$A$2:$A1000,Metadata!$B$2:$B1000))),Z$1,"""")"),"")</f>
        <v/>
      </c>
      <c r="AA377" s="33" t="str">
        <f>IFERROR(__xludf.DUMMYFUNCTION("IF(AA$1="""","""",REGEXMATCH(LOWER($E377),XLOOKUP(AA$1,Metadata!$A$2:$A1000,Metadata!$B$2:$B1000)))"),"")</f>
        <v/>
      </c>
    </row>
    <row r="378">
      <c r="A378" s="33" t="str">
        <f>IFERROR(__xludf.DUMMYFUNCTION("""COMPUTED_VALUE"""),"Dragoncaller")</f>
        <v>Dragoncaller</v>
      </c>
      <c r="B378" s="33" t="str">
        <f t="array" ref="B378:I378">XLOOKUP($A378,Cards!$A$2:$A1000,Cards!$B$2:$I1000,"")</f>
        <v>Elemental</v>
      </c>
      <c r="C378" s="33">
        <v>3.0</v>
      </c>
      <c r="D378" s="33" t="s">
        <v>1970</v>
      </c>
      <c r="E378" s="33" t="s">
        <v>1971</v>
      </c>
      <c r="F378" s="33"/>
      <c r="G378" s="33">
        <v>2.0</v>
      </c>
      <c r="H378" s="33" t="s">
        <v>534</v>
      </c>
      <c r="I378" s="33" t="s">
        <v>62</v>
      </c>
      <c r="J378" s="33">
        <f>IFERROR(__xludf.DUMMYFUNCTION("LEN(REGEXREPLACE(XLOOKUP($A378,Cards!$A$2:$A1000,Cards!$H$2:$H1000,""""),"",\s"",""""))"),2.0)</f>
        <v>2</v>
      </c>
      <c r="K378" s="33" t="str">
        <f t="shared" si="1"/>
        <v>         Aggro      </v>
      </c>
      <c r="L378" s="33" t="str">
        <f>IFERROR(__xludf.DUMMYFUNCTION("IF(IF(L$1="""","""",REGEXMATCH(LOWER($E378),XLOOKUP(L$1,Metadata!$A$2:$A1000,Metadata!$B$2:$B1000))),L$1,"""")"),"")</f>
        <v/>
      </c>
      <c r="M378" s="33" t="str">
        <f>IFERROR(__xludf.DUMMYFUNCTION("IF(IF(M$1="""","""",REGEXMATCH(LOWER($E378),XLOOKUP(M$1,Metadata!$A$2:$A1000,Metadata!$B$2:$B1000))),M$1,"""")"),"")</f>
        <v/>
      </c>
      <c r="N378" s="33" t="str">
        <f>IFERROR(__xludf.DUMMYFUNCTION("IF(IF(N$1="""","""",REGEXMATCH(LOWER($E378),XLOOKUP(N$1,Metadata!$A$2:$A1000,Metadata!$B$2:$B1000))),N$1,"""")"),"")</f>
        <v/>
      </c>
      <c r="O378" s="33" t="str">
        <f>IFERROR(__xludf.DUMMYFUNCTION("IF(IF(O$1="""","""",REGEXMATCH(LOWER($E378),XLOOKUP(O$1,Metadata!$A$2:$A1000,Metadata!$B$2:$B1000))),O$1,"""")"),"")</f>
        <v/>
      </c>
      <c r="P378" s="33" t="str">
        <f>IFERROR(__xludf.DUMMYFUNCTION("IF(IF(P$1="""","""",REGEXMATCH(LOWER($E378),XLOOKUP(P$1,Metadata!$A$2:$A1000,Metadata!$B$2:$B1000))),P$1,"""")"),"")</f>
        <v/>
      </c>
      <c r="Q378" s="33" t="str">
        <f>IFERROR(__xludf.DUMMYFUNCTION("IF(IF(Q$1="""","""",REGEXMATCH(LOWER($E378),XLOOKUP(Q$1,Metadata!$A$2:$A1000,Metadata!$B$2:$B1000))),Q$1,"""")"),"")</f>
        <v/>
      </c>
      <c r="R378" s="33" t="str">
        <f>IFERROR(__xludf.DUMMYFUNCTION("IF(IF(R$1="""","""",REGEXMATCH(LOWER($E378),XLOOKUP(R$1,Metadata!$A$2:$A1000,Metadata!$B$2:$B1000))),R$1,"""")"),"")</f>
        <v/>
      </c>
      <c r="S378" s="33" t="str">
        <f>IFERROR(__xludf.DUMMYFUNCTION("IF(IF(S$1="""","""",REGEXMATCH(LOWER($E378),XLOOKUP(S$1,Metadata!$A$2:$A1000,Metadata!$B$2:$B1000))),S$1,"""")"),"")</f>
        <v/>
      </c>
      <c r="T378" s="33" t="str">
        <f>IFERROR(__xludf.DUMMYFUNCTION("IF(IF(T$1="""","""",REGEXMATCH(LOWER($E378),XLOOKUP(T$1,Metadata!$A$2:$A1000,Metadata!$B$2:$B1000))),T$1,"""")"),"")</f>
        <v/>
      </c>
      <c r="U378" s="33" t="str">
        <f>IFERROR(__xludf.DUMMYFUNCTION("IF(IF(U$1="""","""",REGEXMATCH(LOWER($E378),XLOOKUP(U$1,Metadata!$A$2:$A1000,Metadata!$B$2:$B1000))),U$1,"""")"),"Aggro")</f>
        <v>Aggro</v>
      </c>
      <c r="V378" s="33" t="str">
        <f>IFERROR(__xludf.DUMMYFUNCTION("IF(IF(V$1="""","""",REGEXMATCH(LOWER($E378),XLOOKUP(V$1,Metadata!$A$2:$A1000,Metadata!$B$2:$B1000))),V$1,"""")"),"")</f>
        <v/>
      </c>
      <c r="W378" s="33" t="str">
        <f>IFERROR(__xludf.DUMMYFUNCTION("IF(IF(W$1="""","""",REGEXMATCH(LOWER($E378),XLOOKUP(W$1,Metadata!$A$2:$A1000,Metadata!$B$2:$B1000))),W$1,"""")"),"")</f>
        <v/>
      </c>
      <c r="X378" s="33" t="str">
        <f>IFERROR(__xludf.DUMMYFUNCTION("IF(IF(X$1="""","""",REGEXMATCH(LOWER($E378),XLOOKUP(X$1,Metadata!$A$2:$A1000,Metadata!$B$2:$B1000))),X$1,"""")"),"")</f>
        <v/>
      </c>
      <c r="Y378" s="33" t="str">
        <f>IFERROR(__xludf.DUMMYFUNCTION("IF(IF(Y$1="""","""",REGEXMATCH(LOWER($E378),XLOOKUP(Y$1,Metadata!$A$2:$A1000,Metadata!$B$2:$B1000))),Y$1,"""")"),"")</f>
        <v/>
      </c>
      <c r="Z378" s="33" t="str">
        <f>IFERROR(__xludf.DUMMYFUNCTION("IF(IF(Z$1="""","""",REGEXMATCH(LOWER($E378),XLOOKUP(Z$1,Metadata!$A$2:$A1000,Metadata!$B$2:$B1000))),Z$1,"""")"),"")</f>
        <v/>
      </c>
      <c r="AA378" s="33" t="str">
        <f>IFERROR(__xludf.DUMMYFUNCTION("IF(AA$1="""","""",REGEXMATCH(LOWER($E378),XLOOKUP(AA$1,Metadata!$A$2:$A1000,Metadata!$B$2:$B1000)))"),"")</f>
        <v/>
      </c>
    </row>
    <row r="379">
      <c r="A379" s="33" t="str">
        <f>IFERROR(__xludf.DUMMYFUNCTION("""COMPUTED_VALUE"""),"Stalagmite Twin")</f>
        <v>Stalagmite Twin</v>
      </c>
      <c r="B379" s="33" t="str">
        <f t="array" ref="B379:I379">XLOOKUP($A379,Cards!$A$2:$A1000,Cards!$B$2:$I1000,"")</f>
        <v>Nature</v>
      </c>
      <c r="C379" s="33">
        <v>3.0</v>
      </c>
      <c r="D379" s="33" t="s">
        <v>70</v>
      </c>
      <c r="E379" s="33" t="s">
        <v>1973</v>
      </c>
      <c r="F379" s="33" t="s">
        <v>2801</v>
      </c>
      <c r="G379" s="33">
        <v>3.0</v>
      </c>
      <c r="H379" s="33" t="s">
        <v>1559</v>
      </c>
      <c r="I379" s="33" t="s">
        <v>32</v>
      </c>
      <c r="J379" s="33">
        <f>IFERROR(__xludf.DUMMYFUNCTION("LEN(REGEXREPLACE(XLOOKUP($A379,Cards!$A$2:$A1000,Cards!$H$2:$H1000,""""),"",\s"",""""))"),5.0)</f>
        <v>5</v>
      </c>
      <c r="K379" s="33" t="str">
        <f t="shared" si="1"/>
        <v>      Ramp   Aggro      </v>
      </c>
      <c r="L379" s="33" t="str">
        <f>IFERROR(__xludf.DUMMYFUNCTION("IF(IF(L$1="""","""",REGEXMATCH(LOWER($E379),XLOOKUP(L$1,Metadata!$A$2:$A1000,Metadata!$B$2:$B1000))),L$1,"""")"),"")</f>
        <v/>
      </c>
      <c r="M379" s="33" t="str">
        <f>IFERROR(__xludf.DUMMYFUNCTION("IF(IF(M$1="""","""",REGEXMATCH(LOWER($E379),XLOOKUP(M$1,Metadata!$A$2:$A1000,Metadata!$B$2:$B1000))),M$1,"""")"),"")</f>
        <v/>
      </c>
      <c r="N379" s="33" t="str">
        <f>IFERROR(__xludf.DUMMYFUNCTION("IF(IF(N$1="""","""",REGEXMATCH(LOWER($E379),XLOOKUP(N$1,Metadata!$A$2:$A1000,Metadata!$B$2:$B1000))),N$1,"""")"),"")</f>
        <v/>
      </c>
      <c r="O379" s="33" t="str">
        <f>IFERROR(__xludf.DUMMYFUNCTION("IF(IF(O$1="""","""",REGEXMATCH(LOWER($E379),XLOOKUP(O$1,Metadata!$A$2:$A1000,Metadata!$B$2:$B1000))),O$1,"""")"),"")</f>
        <v/>
      </c>
      <c r="P379" s="33" t="str">
        <f>IFERROR(__xludf.DUMMYFUNCTION("IF(IF(P$1="""","""",REGEXMATCH(LOWER($E379),XLOOKUP(P$1,Metadata!$A$2:$A1000,Metadata!$B$2:$B1000))),P$1,"""")"),"")</f>
        <v/>
      </c>
      <c r="Q379" s="33" t="str">
        <f>IFERROR(__xludf.DUMMYFUNCTION("IF(IF(Q$1="""","""",REGEXMATCH(LOWER($E379),XLOOKUP(Q$1,Metadata!$A$2:$A1000,Metadata!$B$2:$B1000))),Q$1,"""")"),"")</f>
        <v/>
      </c>
      <c r="R379" s="33" t="str">
        <f>IFERROR(__xludf.DUMMYFUNCTION("IF(IF(R$1="""","""",REGEXMATCH(LOWER($E379),XLOOKUP(R$1,Metadata!$A$2:$A1000,Metadata!$B$2:$B1000))),R$1,"""")"),"Ramp")</f>
        <v>Ramp</v>
      </c>
      <c r="S379" s="33" t="str">
        <f>IFERROR(__xludf.DUMMYFUNCTION("IF(IF(S$1="""","""",REGEXMATCH(LOWER($E379),XLOOKUP(S$1,Metadata!$A$2:$A1000,Metadata!$B$2:$B1000))),S$1,"""")"),"")</f>
        <v/>
      </c>
      <c r="T379" s="33" t="str">
        <f>IFERROR(__xludf.DUMMYFUNCTION("IF(IF(T$1="""","""",REGEXMATCH(LOWER($E379),XLOOKUP(T$1,Metadata!$A$2:$A1000,Metadata!$B$2:$B1000))),T$1,"""")"),"")</f>
        <v/>
      </c>
      <c r="U379" s="33" t="str">
        <f>IFERROR(__xludf.DUMMYFUNCTION("IF(IF(U$1="""","""",REGEXMATCH(LOWER($E379),XLOOKUP(U$1,Metadata!$A$2:$A1000,Metadata!$B$2:$B1000))),U$1,"""")"),"Aggro")</f>
        <v>Aggro</v>
      </c>
      <c r="V379" s="33" t="str">
        <f>IFERROR(__xludf.DUMMYFUNCTION("IF(IF(V$1="""","""",REGEXMATCH(LOWER($E379),XLOOKUP(V$1,Metadata!$A$2:$A1000,Metadata!$B$2:$B1000))),V$1,"""")"),"")</f>
        <v/>
      </c>
      <c r="W379" s="33" t="str">
        <f>IFERROR(__xludf.DUMMYFUNCTION("IF(IF(W$1="""","""",REGEXMATCH(LOWER($E379),XLOOKUP(W$1,Metadata!$A$2:$A1000,Metadata!$B$2:$B1000))),W$1,"""")"),"")</f>
        <v/>
      </c>
      <c r="X379" s="33" t="str">
        <f>IFERROR(__xludf.DUMMYFUNCTION("IF(IF(X$1="""","""",REGEXMATCH(LOWER($E379),XLOOKUP(X$1,Metadata!$A$2:$A1000,Metadata!$B$2:$B1000))),X$1,"""")"),"")</f>
        <v/>
      </c>
      <c r="Y379" s="33" t="str">
        <f>IFERROR(__xludf.DUMMYFUNCTION("IF(IF(Y$1="""","""",REGEXMATCH(LOWER($E379),XLOOKUP(Y$1,Metadata!$A$2:$A1000,Metadata!$B$2:$B1000))),Y$1,"""")"),"")</f>
        <v/>
      </c>
      <c r="Z379" s="33" t="str">
        <f>IFERROR(__xludf.DUMMYFUNCTION("IF(IF(Z$1="""","""",REGEXMATCH(LOWER($E379),XLOOKUP(Z$1,Metadata!$A$2:$A1000,Metadata!$B$2:$B1000))),Z$1,"""")"),"")</f>
        <v/>
      </c>
      <c r="AA379" s="33" t="str">
        <f>IFERROR(__xludf.DUMMYFUNCTION("IF(AA$1="""","""",REGEXMATCH(LOWER($E379),XLOOKUP(AA$1,Metadata!$A$2:$A1000,Metadata!$B$2:$B1000)))"),"")</f>
        <v/>
      </c>
    </row>
    <row r="380">
      <c r="A380" s="33" t="str">
        <f>IFERROR(__xludf.DUMMYFUNCTION("""COMPUTED_VALUE"""),"Desert Mirage")</f>
        <v>Desert Mirage</v>
      </c>
      <c r="B380" s="33" t="str">
        <f t="array" ref="B380:I380">XLOOKUP($A380,Cards!$A$2:$A1000,Cards!$B$2:$I1000,"")</f>
        <v>Divine</v>
      </c>
      <c r="C380" s="33">
        <v>3.0</v>
      </c>
      <c r="D380" s="33" t="s">
        <v>355</v>
      </c>
      <c r="E380" s="33" t="s">
        <v>1976</v>
      </c>
      <c r="F380" s="33" t="s">
        <v>2802</v>
      </c>
      <c r="G380" s="33">
        <v>3.0</v>
      </c>
      <c r="H380" s="33" t="s">
        <v>137</v>
      </c>
      <c r="I380" s="33" t="s">
        <v>26</v>
      </c>
      <c r="J380" s="33">
        <f>IFERROR(__xludf.DUMMYFUNCTION("LEN(REGEXREPLACE(XLOOKUP($A380,Cards!$A$2:$A1000,Cards!$H$2:$H1000,""""),"",\s"",""""))"),4.0)</f>
        <v>4</v>
      </c>
      <c r="K380" s="33" t="str">
        <f t="shared" si="1"/>
        <v>     Unearth      Move Ambush   </v>
      </c>
      <c r="L380" s="33" t="str">
        <f>IFERROR(__xludf.DUMMYFUNCTION("IF(IF(L$1="""","""",REGEXMATCH(LOWER($E380),XLOOKUP(L$1,Metadata!$A$2:$A1000,Metadata!$B$2:$B1000))),L$1,"""")"),"")</f>
        <v/>
      </c>
      <c r="M380" s="33" t="str">
        <f>IFERROR(__xludf.DUMMYFUNCTION("IF(IF(M$1="""","""",REGEXMATCH(LOWER($E380),XLOOKUP(M$1,Metadata!$A$2:$A1000,Metadata!$B$2:$B1000))),M$1,"""")"),"")</f>
        <v/>
      </c>
      <c r="N380" s="33" t="str">
        <f>IFERROR(__xludf.DUMMYFUNCTION("IF(IF(N$1="""","""",REGEXMATCH(LOWER($E380),XLOOKUP(N$1,Metadata!$A$2:$A1000,Metadata!$B$2:$B1000))),N$1,"""")"),"")</f>
        <v/>
      </c>
      <c r="O380" s="33" t="str">
        <f>IFERROR(__xludf.DUMMYFUNCTION("IF(IF(O$1="""","""",REGEXMATCH(LOWER($E380),XLOOKUP(O$1,Metadata!$A$2:$A1000,Metadata!$B$2:$B1000))),O$1,"""")"),"")</f>
        <v/>
      </c>
      <c r="P380" s="33" t="str">
        <f>IFERROR(__xludf.DUMMYFUNCTION("IF(IF(P$1="""","""",REGEXMATCH(LOWER($E380),XLOOKUP(P$1,Metadata!$A$2:$A1000,Metadata!$B$2:$B1000))),P$1,"""")"),"")</f>
        <v/>
      </c>
      <c r="Q380" s="33" t="str">
        <f>IFERROR(__xludf.DUMMYFUNCTION("IF(IF(Q$1="""","""",REGEXMATCH(LOWER($E380),XLOOKUP(Q$1,Metadata!$A$2:$A1000,Metadata!$B$2:$B1000))),Q$1,"""")"),"Unearth")</f>
        <v>Unearth</v>
      </c>
      <c r="R380" s="33" t="str">
        <f>IFERROR(__xludf.DUMMYFUNCTION("IF(IF(R$1="""","""",REGEXMATCH(LOWER($E380),XLOOKUP(R$1,Metadata!$A$2:$A1000,Metadata!$B$2:$B1000))),R$1,"""")"),"")</f>
        <v/>
      </c>
      <c r="S380" s="33" t="str">
        <f>IFERROR(__xludf.DUMMYFUNCTION("IF(IF(S$1="""","""",REGEXMATCH(LOWER($E380),XLOOKUP(S$1,Metadata!$A$2:$A1000,Metadata!$B$2:$B1000))),S$1,"""")"),"")</f>
        <v/>
      </c>
      <c r="T380" s="33" t="str">
        <f>IFERROR(__xludf.DUMMYFUNCTION("IF(IF(T$1="""","""",REGEXMATCH(LOWER($E380),XLOOKUP(T$1,Metadata!$A$2:$A1000,Metadata!$B$2:$B1000))),T$1,"""")"),"")</f>
        <v/>
      </c>
      <c r="U380" s="33" t="str">
        <f>IFERROR(__xludf.DUMMYFUNCTION("IF(IF(U$1="""","""",REGEXMATCH(LOWER($E380),XLOOKUP(U$1,Metadata!$A$2:$A1000,Metadata!$B$2:$B1000))),U$1,"""")"),"")</f>
        <v/>
      </c>
      <c r="V380" s="33" t="str">
        <f>IFERROR(__xludf.DUMMYFUNCTION("IF(IF(V$1="""","""",REGEXMATCH(LOWER($E380),XLOOKUP(V$1,Metadata!$A$2:$A1000,Metadata!$B$2:$B1000))),V$1,"""")"),"")</f>
        <v/>
      </c>
      <c r="W380" s="33" t="str">
        <f>IFERROR(__xludf.DUMMYFUNCTION("IF(IF(W$1="""","""",REGEXMATCH(LOWER($E380),XLOOKUP(W$1,Metadata!$A$2:$A1000,Metadata!$B$2:$B1000))),W$1,"""")"),"Move")</f>
        <v>Move</v>
      </c>
      <c r="X380" s="33" t="str">
        <f>IFERROR(__xludf.DUMMYFUNCTION("IF(IF(X$1="""","""",REGEXMATCH(LOWER($E380),XLOOKUP(X$1,Metadata!$A$2:$A1000,Metadata!$B$2:$B1000))),X$1,"""")"),"Ambush")</f>
        <v>Ambush</v>
      </c>
      <c r="Y380" s="33" t="str">
        <f>IFERROR(__xludf.DUMMYFUNCTION("IF(IF(Y$1="""","""",REGEXMATCH(LOWER($E380),XLOOKUP(Y$1,Metadata!$A$2:$A1000,Metadata!$B$2:$B1000))),Y$1,"""")"),"")</f>
        <v/>
      </c>
      <c r="Z380" s="33" t="str">
        <f>IFERROR(__xludf.DUMMYFUNCTION("IF(IF(Z$1="""","""",REGEXMATCH(LOWER($E380),XLOOKUP(Z$1,Metadata!$A$2:$A1000,Metadata!$B$2:$B1000))),Z$1,"""")"),"")</f>
        <v/>
      </c>
      <c r="AA380" s="33" t="str">
        <f>IFERROR(__xludf.DUMMYFUNCTION("IF(AA$1="""","""",REGEXMATCH(LOWER($E380),XLOOKUP(AA$1,Metadata!$A$2:$A1000,Metadata!$B$2:$B1000)))"),"")</f>
        <v/>
      </c>
    </row>
    <row r="381">
      <c r="A381" s="33" t="str">
        <f>IFERROR(__xludf.DUMMYFUNCTION("""COMPUTED_VALUE"""),"Heavenbound Heka-Mage")</f>
        <v>Heavenbound Heka-Mage</v>
      </c>
      <c r="B381" s="33" t="str">
        <f t="array" ref="B381:I381">XLOOKUP($A381,Cards!$A$2:$A1000,Cards!$B$2:$I1000,"")</f>
        <v>Divine</v>
      </c>
      <c r="C381" s="33">
        <v>3.0</v>
      </c>
      <c r="D381" s="33" t="s">
        <v>1978</v>
      </c>
      <c r="E381" s="33" t="s">
        <v>1979</v>
      </c>
      <c r="F381" s="33" t="s">
        <v>2801</v>
      </c>
      <c r="G381" s="33">
        <v>5.0</v>
      </c>
      <c r="H381" s="33" t="s">
        <v>56</v>
      </c>
      <c r="I381" s="33" t="s">
        <v>26</v>
      </c>
      <c r="J381" s="33">
        <f>IFERROR(__xludf.DUMMYFUNCTION("LEN(REGEXREPLACE(XLOOKUP($A381,Cards!$A$2:$A1000,Cards!$H$2:$H1000,""""),"",\s"",""""))"),6.0)</f>
        <v>6</v>
      </c>
      <c r="K381" s="33" t="str">
        <f t="shared" si="1"/>
        <v>               </v>
      </c>
      <c r="L381" s="33" t="str">
        <f>IFERROR(__xludf.DUMMYFUNCTION("IF(IF(L$1="""","""",REGEXMATCH(LOWER($E381),XLOOKUP(L$1,Metadata!$A$2:$A1000,Metadata!$B$2:$B1000))),L$1,"""")"),"")</f>
        <v/>
      </c>
      <c r="M381" s="33" t="str">
        <f>IFERROR(__xludf.DUMMYFUNCTION("IF(IF(M$1="""","""",REGEXMATCH(LOWER($E381),XLOOKUP(M$1,Metadata!$A$2:$A1000,Metadata!$B$2:$B1000))),M$1,"""")"),"")</f>
        <v/>
      </c>
      <c r="N381" s="33" t="str">
        <f>IFERROR(__xludf.DUMMYFUNCTION("IF(IF(N$1="""","""",REGEXMATCH(LOWER($E381),XLOOKUP(N$1,Metadata!$A$2:$A1000,Metadata!$B$2:$B1000))),N$1,"""")"),"")</f>
        <v/>
      </c>
      <c r="O381" s="33" t="str">
        <f>IFERROR(__xludf.DUMMYFUNCTION("IF(IF(O$1="""","""",REGEXMATCH(LOWER($E381),XLOOKUP(O$1,Metadata!$A$2:$A1000,Metadata!$B$2:$B1000))),O$1,"""")"),"")</f>
        <v/>
      </c>
      <c r="P381" s="33" t="str">
        <f>IFERROR(__xludf.DUMMYFUNCTION("IF(IF(P$1="""","""",REGEXMATCH(LOWER($E381),XLOOKUP(P$1,Metadata!$A$2:$A1000,Metadata!$B$2:$B1000))),P$1,"""")"),"")</f>
        <v/>
      </c>
      <c r="Q381" s="33" t="str">
        <f>IFERROR(__xludf.DUMMYFUNCTION("IF(IF(Q$1="""","""",REGEXMATCH(LOWER($E381),XLOOKUP(Q$1,Metadata!$A$2:$A1000,Metadata!$B$2:$B1000))),Q$1,"""")"),"")</f>
        <v/>
      </c>
      <c r="R381" s="33" t="str">
        <f>IFERROR(__xludf.DUMMYFUNCTION("IF(IF(R$1="""","""",REGEXMATCH(LOWER($E381),XLOOKUP(R$1,Metadata!$A$2:$A1000,Metadata!$B$2:$B1000))),R$1,"""")"),"")</f>
        <v/>
      </c>
      <c r="S381" s="33" t="str">
        <f>IFERROR(__xludf.DUMMYFUNCTION("IF(IF(S$1="""","""",REGEXMATCH(LOWER($E381),XLOOKUP(S$1,Metadata!$A$2:$A1000,Metadata!$B$2:$B1000))),S$1,"""")"),"")</f>
        <v/>
      </c>
      <c r="T381" s="33" t="str">
        <f>IFERROR(__xludf.DUMMYFUNCTION("IF(IF(T$1="""","""",REGEXMATCH(LOWER($E381),XLOOKUP(T$1,Metadata!$A$2:$A1000,Metadata!$B$2:$B1000))),T$1,"""")"),"")</f>
        <v/>
      </c>
      <c r="U381" s="33" t="str">
        <f>IFERROR(__xludf.DUMMYFUNCTION("IF(IF(U$1="""","""",REGEXMATCH(LOWER($E381),XLOOKUP(U$1,Metadata!$A$2:$A1000,Metadata!$B$2:$B1000))),U$1,"""")"),"")</f>
        <v/>
      </c>
      <c r="V381" s="33" t="str">
        <f>IFERROR(__xludf.DUMMYFUNCTION("IF(IF(V$1="""","""",REGEXMATCH(LOWER($E381),XLOOKUP(V$1,Metadata!$A$2:$A1000,Metadata!$B$2:$B1000))),V$1,"""")"),"")</f>
        <v/>
      </c>
      <c r="W381" s="33" t="str">
        <f>IFERROR(__xludf.DUMMYFUNCTION("IF(IF(W$1="""","""",REGEXMATCH(LOWER($E381),XLOOKUP(W$1,Metadata!$A$2:$A1000,Metadata!$B$2:$B1000))),W$1,"""")"),"")</f>
        <v/>
      </c>
      <c r="X381" s="33" t="str">
        <f>IFERROR(__xludf.DUMMYFUNCTION("IF(IF(X$1="""","""",REGEXMATCH(LOWER($E381),XLOOKUP(X$1,Metadata!$A$2:$A1000,Metadata!$B$2:$B1000))),X$1,"""")"),"")</f>
        <v/>
      </c>
      <c r="Y381" s="33" t="str">
        <f>IFERROR(__xludf.DUMMYFUNCTION("IF(IF(Y$1="""","""",REGEXMATCH(LOWER($E381),XLOOKUP(Y$1,Metadata!$A$2:$A1000,Metadata!$B$2:$B1000))),Y$1,"""")"),"")</f>
        <v/>
      </c>
      <c r="Z381" s="33" t="str">
        <f>IFERROR(__xludf.DUMMYFUNCTION("IF(IF(Z$1="""","""",REGEXMATCH(LOWER($E381),XLOOKUP(Z$1,Metadata!$A$2:$A1000,Metadata!$B$2:$B1000))),Z$1,"""")"),"")</f>
        <v/>
      </c>
      <c r="AA381" s="33" t="str">
        <f>IFERROR(__xludf.DUMMYFUNCTION("IF(AA$1="""","""",REGEXMATCH(LOWER($E381),XLOOKUP(AA$1,Metadata!$A$2:$A1000,Metadata!$B$2:$B1000)))"),"")</f>
        <v/>
      </c>
    </row>
    <row r="382">
      <c r="A382" s="33" t="str">
        <f>IFERROR(__xludf.DUMMYFUNCTION("""COMPUTED_VALUE"""),"Twilight Sorceress")</f>
        <v>Twilight Sorceress</v>
      </c>
      <c r="B382" s="33" t="str">
        <f t="array" ref="B382:I382">XLOOKUP($A382,Cards!$A$2:$A1000,Cards!$B$2:$I1000,"")</f>
        <v>Divine Void</v>
      </c>
      <c r="C382" s="33">
        <v>3.0</v>
      </c>
      <c r="D382" s="33" t="s">
        <v>1389</v>
      </c>
      <c r="E382" s="33" t="s">
        <v>1981</v>
      </c>
      <c r="F382" s="33" t="s">
        <v>2801</v>
      </c>
      <c r="G382" s="33" t="s">
        <v>62</v>
      </c>
      <c r="H382" s="33"/>
      <c r="I382" s="33" t="e">
        <v>#REF!</v>
      </c>
      <c r="J382" s="33">
        <f>IFERROR(__xludf.DUMMYFUNCTION("LEN(REGEXREPLACE(XLOOKUP($A382,Cards!$A$2:$A1000,Cards!$H$2:$H1000,""""),"",\s"",""""))"),0.0)</f>
        <v>0</v>
      </c>
      <c r="K382" s="33" t="str">
        <f t="shared" si="1"/>
        <v>               </v>
      </c>
      <c r="L382" s="33" t="str">
        <f>IFERROR(__xludf.DUMMYFUNCTION("IF(IF(L$1="""","""",REGEXMATCH(LOWER($E382),XLOOKUP(L$1,Metadata!$A$2:$A1000,Metadata!$B$2:$B1000))),L$1,"""")"),"")</f>
        <v/>
      </c>
      <c r="M382" s="33" t="str">
        <f>IFERROR(__xludf.DUMMYFUNCTION("IF(IF(M$1="""","""",REGEXMATCH(LOWER($E382),XLOOKUP(M$1,Metadata!$A$2:$A1000,Metadata!$B$2:$B1000))),M$1,"""")"),"")</f>
        <v/>
      </c>
      <c r="N382" s="33" t="str">
        <f>IFERROR(__xludf.DUMMYFUNCTION("IF(IF(N$1="""","""",REGEXMATCH(LOWER($E382),XLOOKUP(N$1,Metadata!$A$2:$A1000,Metadata!$B$2:$B1000))),N$1,"""")"),"")</f>
        <v/>
      </c>
      <c r="O382" s="33" t="str">
        <f>IFERROR(__xludf.DUMMYFUNCTION("IF(IF(O$1="""","""",REGEXMATCH(LOWER($E382),XLOOKUP(O$1,Metadata!$A$2:$A1000,Metadata!$B$2:$B1000))),O$1,"""")"),"")</f>
        <v/>
      </c>
      <c r="P382" s="33" t="str">
        <f>IFERROR(__xludf.DUMMYFUNCTION("IF(IF(P$1="""","""",REGEXMATCH(LOWER($E382),XLOOKUP(P$1,Metadata!$A$2:$A1000,Metadata!$B$2:$B1000))),P$1,"""")"),"")</f>
        <v/>
      </c>
      <c r="Q382" s="33" t="str">
        <f>IFERROR(__xludf.DUMMYFUNCTION("IF(IF(Q$1="""","""",REGEXMATCH(LOWER($E382),XLOOKUP(Q$1,Metadata!$A$2:$A1000,Metadata!$B$2:$B1000))),Q$1,"""")"),"")</f>
        <v/>
      </c>
      <c r="R382" s="33" t="str">
        <f>IFERROR(__xludf.DUMMYFUNCTION("IF(IF(R$1="""","""",REGEXMATCH(LOWER($E382),XLOOKUP(R$1,Metadata!$A$2:$A1000,Metadata!$B$2:$B1000))),R$1,"""")"),"")</f>
        <v/>
      </c>
      <c r="S382" s="33" t="str">
        <f>IFERROR(__xludf.DUMMYFUNCTION("IF(IF(S$1="""","""",REGEXMATCH(LOWER($E382),XLOOKUP(S$1,Metadata!$A$2:$A1000,Metadata!$B$2:$B1000))),S$1,"""")"),"")</f>
        <v/>
      </c>
      <c r="T382" s="33" t="str">
        <f>IFERROR(__xludf.DUMMYFUNCTION("IF(IF(T$1="""","""",REGEXMATCH(LOWER($E382),XLOOKUP(T$1,Metadata!$A$2:$A1000,Metadata!$B$2:$B1000))),T$1,"""")"),"")</f>
        <v/>
      </c>
      <c r="U382" s="33" t="str">
        <f>IFERROR(__xludf.DUMMYFUNCTION("IF(IF(U$1="""","""",REGEXMATCH(LOWER($E382),XLOOKUP(U$1,Metadata!$A$2:$A1000,Metadata!$B$2:$B1000))),U$1,"""")"),"")</f>
        <v/>
      </c>
      <c r="V382" s="33" t="str">
        <f>IFERROR(__xludf.DUMMYFUNCTION("IF(IF(V$1="""","""",REGEXMATCH(LOWER($E382),XLOOKUP(V$1,Metadata!$A$2:$A1000,Metadata!$B$2:$B1000))),V$1,"""")"),"")</f>
        <v/>
      </c>
      <c r="W382" s="33" t="str">
        <f>IFERROR(__xludf.DUMMYFUNCTION("IF(IF(W$1="""","""",REGEXMATCH(LOWER($E382),XLOOKUP(W$1,Metadata!$A$2:$A1000,Metadata!$B$2:$B1000))),W$1,"""")"),"")</f>
        <v/>
      </c>
      <c r="X382" s="33" t="str">
        <f>IFERROR(__xludf.DUMMYFUNCTION("IF(IF(X$1="""","""",REGEXMATCH(LOWER($E382),XLOOKUP(X$1,Metadata!$A$2:$A1000,Metadata!$B$2:$B1000))),X$1,"""")"),"")</f>
        <v/>
      </c>
      <c r="Y382" s="33" t="str">
        <f>IFERROR(__xludf.DUMMYFUNCTION("IF(IF(Y$1="""","""",REGEXMATCH(LOWER($E382),XLOOKUP(Y$1,Metadata!$A$2:$A1000,Metadata!$B$2:$B1000))),Y$1,"""")"),"")</f>
        <v/>
      </c>
      <c r="Z382" s="33" t="str">
        <f>IFERROR(__xludf.DUMMYFUNCTION("IF(IF(Z$1="""","""",REGEXMATCH(LOWER($E382),XLOOKUP(Z$1,Metadata!$A$2:$A1000,Metadata!$B$2:$B1000))),Z$1,"""")"),"")</f>
        <v/>
      </c>
      <c r="AA382" s="33" t="str">
        <f>IFERROR(__xludf.DUMMYFUNCTION("IF(AA$1="""","""",REGEXMATCH(LOWER($E382),XLOOKUP(AA$1,Metadata!$A$2:$A1000,Metadata!$B$2:$B1000)))"),"")</f>
        <v/>
      </c>
    </row>
    <row r="383">
      <c r="A383" s="33" t="str">
        <f>IFERROR(__xludf.DUMMYFUNCTION("""COMPUTED_VALUE"""),"Twinfang Huntcaller")</f>
        <v>Twinfang Huntcaller</v>
      </c>
      <c r="B383" s="33" t="str">
        <f t="array" ref="B383:I383">XLOOKUP($A383,Cards!$A$2:$A1000,Cards!$B$2:$I1000,"")</f>
        <v>Elemental</v>
      </c>
      <c r="C383" s="33">
        <v>3.0</v>
      </c>
      <c r="D383" s="33" t="s">
        <v>380</v>
      </c>
      <c r="E383" s="33" t="s">
        <v>1983</v>
      </c>
      <c r="F383" s="33" t="s">
        <v>2803</v>
      </c>
      <c r="G383" s="33" t="s">
        <v>62</v>
      </c>
      <c r="H383" s="33"/>
      <c r="I383" s="33" t="e">
        <v>#REF!</v>
      </c>
      <c r="J383" s="33">
        <f>IFERROR(__xludf.DUMMYFUNCTION("LEN(REGEXREPLACE(XLOOKUP($A383,Cards!$A$2:$A1000,Cards!$H$2:$H1000,""""),"",\s"",""""))"),0.0)</f>
        <v>0</v>
      </c>
      <c r="K383" s="33" t="str">
        <f t="shared" si="1"/>
        <v>      Ramp  Copy       </v>
      </c>
      <c r="L383" s="33" t="str">
        <f>IFERROR(__xludf.DUMMYFUNCTION("IF(IF(L$1="""","""",REGEXMATCH(LOWER($E383),XLOOKUP(L$1,Metadata!$A$2:$A1000,Metadata!$B$2:$B1000))),L$1,"""")"),"")</f>
        <v/>
      </c>
      <c r="M383" s="33" t="str">
        <f>IFERROR(__xludf.DUMMYFUNCTION("IF(IF(M$1="""","""",REGEXMATCH(LOWER($E383),XLOOKUP(M$1,Metadata!$A$2:$A1000,Metadata!$B$2:$B1000))),M$1,"""")"),"")</f>
        <v/>
      </c>
      <c r="N383" s="33" t="str">
        <f>IFERROR(__xludf.DUMMYFUNCTION("IF(IF(N$1="""","""",REGEXMATCH(LOWER($E383),XLOOKUP(N$1,Metadata!$A$2:$A1000,Metadata!$B$2:$B1000))),N$1,"""")"),"")</f>
        <v/>
      </c>
      <c r="O383" s="33" t="str">
        <f>IFERROR(__xludf.DUMMYFUNCTION("IF(IF(O$1="""","""",REGEXMATCH(LOWER($E383),XLOOKUP(O$1,Metadata!$A$2:$A1000,Metadata!$B$2:$B1000))),O$1,"""")"),"")</f>
        <v/>
      </c>
      <c r="P383" s="33" t="str">
        <f>IFERROR(__xludf.DUMMYFUNCTION("IF(IF(P$1="""","""",REGEXMATCH(LOWER($E383),XLOOKUP(P$1,Metadata!$A$2:$A1000,Metadata!$B$2:$B1000))),P$1,"""")"),"")</f>
        <v/>
      </c>
      <c r="Q383" s="33" t="str">
        <f>IFERROR(__xludf.DUMMYFUNCTION("IF(IF(Q$1="""","""",REGEXMATCH(LOWER($E383),XLOOKUP(Q$1,Metadata!$A$2:$A1000,Metadata!$B$2:$B1000))),Q$1,"""")"),"")</f>
        <v/>
      </c>
      <c r="R383" s="33" t="str">
        <f>IFERROR(__xludf.DUMMYFUNCTION("IF(IF(R$1="""","""",REGEXMATCH(LOWER($E383),XLOOKUP(R$1,Metadata!$A$2:$A1000,Metadata!$B$2:$B1000))),R$1,"""")"),"Ramp")</f>
        <v>Ramp</v>
      </c>
      <c r="S383" s="33" t="str">
        <f>IFERROR(__xludf.DUMMYFUNCTION("IF(IF(S$1="""","""",REGEXMATCH(LOWER($E383),XLOOKUP(S$1,Metadata!$A$2:$A1000,Metadata!$B$2:$B1000))),S$1,"""")"),"")</f>
        <v/>
      </c>
      <c r="T383" s="33" t="str">
        <f>IFERROR(__xludf.DUMMYFUNCTION("IF(IF(T$1="""","""",REGEXMATCH(LOWER($E383),XLOOKUP(T$1,Metadata!$A$2:$A1000,Metadata!$B$2:$B1000))),T$1,"""")"),"Copy")</f>
        <v>Copy</v>
      </c>
      <c r="U383" s="33" t="str">
        <f>IFERROR(__xludf.DUMMYFUNCTION("IF(IF(U$1="""","""",REGEXMATCH(LOWER($E383),XLOOKUP(U$1,Metadata!$A$2:$A1000,Metadata!$B$2:$B1000))),U$1,"""")"),"")</f>
        <v/>
      </c>
      <c r="V383" s="33" t="str">
        <f>IFERROR(__xludf.DUMMYFUNCTION("IF(IF(V$1="""","""",REGEXMATCH(LOWER($E383),XLOOKUP(V$1,Metadata!$A$2:$A1000,Metadata!$B$2:$B1000))),V$1,"""")"),"")</f>
        <v/>
      </c>
      <c r="W383" s="33" t="str">
        <f>IFERROR(__xludf.DUMMYFUNCTION("IF(IF(W$1="""","""",REGEXMATCH(LOWER($E383),XLOOKUP(W$1,Metadata!$A$2:$A1000,Metadata!$B$2:$B1000))),W$1,"""")"),"")</f>
        <v/>
      </c>
      <c r="X383" s="33" t="str">
        <f>IFERROR(__xludf.DUMMYFUNCTION("IF(IF(X$1="""","""",REGEXMATCH(LOWER($E383),XLOOKUP(X$1,Metadata!$A$2:$A1000,Metadata!$B$2:$B1000))),X$1,"""")"),"")</f>
        <v/>
      </c>
      <c r="Y383" s="33" t="str">
        <f>IFERROR(__xludf.DUMMYFUNCTION("IF(IF(Y$1="""","""",REGEXMATCH(LOWER($E383),XLOOKUP(Y$1,Metadata!$A$2:$A1000,Metadata!$B$2:$B1000))),Y$1,"""")"),"")</f>
        <v/>
      </c>
      <c r="Z383" s="33" t="str">
        <f>IFERROR(__xludf.DUMMYFUNCTION("IF(IF(Z$1="""","""",REGEXMATCH(LOWER($E383),XLOOKUP(Z$1,Metadata!$A$2:$A1000,Metadata!$B$2:$B1000))),Z$1,"""")"),"")</f>
        <v/>
      </c>
      <c r="AA383" s="33" t="str">
        <f>IFERROR(__xludf.DUMMYFUNCTION("IF(AA$1="""","""",REGEXMATCH(LOWER($E383),XLOOKUP(AA$1,Metadata!$A$2:$A1000,Metadata!$B$2:$B1000)))"),"")</f>
        <v/>
      </c>
    </row>
    <row r="384">
      <c r="A384" s="33" t="str">
        <f>IFERROR(__xludf.DUMMYFUNCTION("""COMPUTED_VALUE"""),"Vanguard Diviner")</f>
        <v>Vanguard Diviner</v>
      </c>
      <c r="B384" s="33" t="str">
        <f t="array" ref="B384:I384">XLOOKUP($A384,Cards!$A$2:$A1000,Cards!$B$2:$I1000,"")</f>
        <v>Divine Mortal</v>
      </c>
      <c r="C384" s="33">
        <v>3.0</v>
      </c>
      <c r="D384" s="33" t="s">
        <v>134</v>
      </c>
      <c r="E384" s="33" t="s">
        <v>1985</v>
      </c>
      <c r="F384" s="33" t="s">
        <v>2804</v>
      </c>
      <c r="G384" s="33" t="s">
        <v>62</v>
      </c>
      <c r="H384" s="33"/>
      <c r="I384" s="33" t="e">
        <v>#REF!</v>
      </c>
      <c r="J384" s="33">
        <f>IFERROR(__xludf.DUMMYFUNCTION("LEN(REGEXREPLACE(XLOOKUP($A384,Cards!$A$2:$A1000,Cards!$H$2:$H1000,""""),"",\s"",""""))"),0.0)</f>
        <v>0</v>
      </c>
      <c r="K384" s="33" t="str">
        <f t="shared" si="1"/>
        <v>  Mortal             </v>
      </c>
      <c r="L384" s="33" t="str">
        <f>IFERROR(__xludf.DUMMYFUNCTION("IF(IF(L$1="""","""",REGEXMATCH(LOWER($E384),XLOOKUP(L$1,Metadata!$A$2:$A1000,Metadata!$B$2:$B1000))),L$1,"""")"),"")</f>
        <v/>
      </c>
      <c r="M384" s="33" t="str">
        <f>IFERROR(__xludf.DUMMYFUNCTION("IF(IF(M$1="""","""",REGEXMATCH(LOWER($E384),XLOOKUP(M$1,Metadata!$A$2:$A1000,Metadata!$B$2:$B1000))),M$1,"""")"),"")</f>
        <v/>
      </c>
      <c r="N384" s="33" t="str">
        <f>IFERROR(__xludf.DUMMYFUNCTION("IF(IF(N$1="""","""",REGEXMATCH(LOWER($E384),XLOOKUP(N$1,Metadata!$A$2:$A1000,Metadata!$B$2:$B1000))),N$1,"""")"),"Mortal")</f>
        <v>Mortal</v>
      </c>
      <c r="O384" s="33" t="str">
        <f>IFERROR(__xludf.DUMMYFUNCTION("IF(IF(O$1="""","""",REGEXMATCH(LOWER($E384),XLOOKUP(O$1,Metadata!$A$2:$A1000,Metadata!$B$2:$B1000))),O$1,"""")"),"")</f>
        <v/>
      </c>
      <c r="P384" s="33" t="str">
        <f>IFERROR(__xludf.DUMMYFUNCTION("IF(IF(P$1="""","""",REGEXMATCH(LOWER($E384),XLOOKUP(P$1,Metadata!$A$2:$A1000,Metadata!$B$2:$B1000))),P$1,"""")"),"")</f>
        <v/>
      </c>
      <c r="Q384" s="33" t="str">
        <f>IFERROR(__xludf.DUMMYFUNCTION("IF(IF(Q$1="""","""",REGEXMATCH(LOWER($E384),XLOOKUP(Q$1,Metadata!$A$2:$A1000,Metadata!$B$2:$B1000))),Q$1,"""")"),"")</f>
        <v/>
      </c>
      <c r="R384" s="33" t="str">
        <f>IFERROR(__xludf.DUMMYFUNCTION("IF(IF(R$1="""","""",REGEXMATCH(LOWER($E384),XLOOKUP(R$1,Metadata!$A$2:$A1000,Metadata!$B$2:$B1000))),R$1,"""")"),"")</f>
        <v/>
      </c>
      <c r="S384" s="33" t="str">
        <f>IFERROR(__xludf.DUMMYFUNCTION("IF(IF(S$1="""","""",REGEXMATCH(LOWER($E384),XLOOKUP(S$1,Metadata!$A$2:$A1000,Metadata!$B$2:$B1000))),S$1,"""")"),"")</f>
        <v/>
      </c>
      <c r="T384" s="33" t="str">
        <f>IFERROR(__xludf.DUMMYFUNCTION("IF(IF(T$1="""","""",REGEXMATCH(LOWER($E384),XLOOKUP(T$1,Metadata!$A$2:$A1000,Metadata!$B$2:$B1000))),T$1,"""")"),"")</f>
        <v/>
      </c>
      <c r="U384" s="33" t="str">
        <f>IFERROR(__xludf.DUMMYFUNCTION("IF(IF(U$1="""","""",REGEXMATCH(LOWER($E384),XLOOKUP(U$1,Metadata!$A$2:$A1000,Metadata!$B$2:$B1000))),U$1,"""")"),"")</f>
        <v/>
      </c>
      <c r="V384" s="33" t="str">
        <f>IFERROR(__xludf.DUMMYFUNCTION("IF(IF(V$1="""","""",REGEXMATCH(LOWER($E384),XLOOKUP(V$1,Metadata!$A$2:$A1000,Metadata!$B$2:$B1000))),V$1,"""")"),"")</f>
        <v/>
      </c>
      <c r="W384" s="33" t="str">
        <f>IFERROR(__xludf.DUMMYFUNCTION("IF(IF(W$1="""","""",REGEXMATCH(LOWER($E384),XLOOKUP(W$1,Metadata!$A$2:$A1000,Metadata!$B$2:$B1000))),W$1,"""")"),"")</f>
        <v/>
      </c>
      <c r="X384" s="33" t="str">
        <f>IFERROR(__xludf.DUMMYFUNCTION("IF(IF(X$1="""","""",REGEXMATCH(LOWER($E384),XLOOKUP(X$1,Metadata!$A$2:$A1000,Metadata!$B$2:$B1000))),X$1,"""")"),"")</f>
        <v/>
      </c>
      <c r="Y384" s="33" t="str">
        <f>IFERROR(__xludf.DUMMYFUNCTION("IF(IF(Y$1="""","""",REGEXMATCH(LOWER($E384),XLOOKUP(Y$1,Metadata!$A$2:$A1000,Metadata!$B$2:$B1000))),Y$1,"""")"),"")</f>
        <v/>
      </c>
      <c r="Z384" s="33" t="str">
        <f>IFERROR(__xludf.DUMMYFUNCTION("IF(IF(Z$1="""","""",REGEXMATCH(LOWER($E384),XLOOKUP(Z$1,Metadata!$A$2:$A1000,Metadata!$B$2:$B1000))),Z$1,"""")"),"")</f>
        <v/>
      </c>
      <c r="AA384" s="33" t="str">
        <f>IFERROR(__xludf.DUMMYFUNCTION("IF(AA$1="""","""",REGEXMATCH(LOWER($E384),XLOOKUP(AA$1,Metadata!$A$2:$A1000,Metadata!$B$2:$B1000)))"),"")</f>
        <v/>
      </c>
    </row>
    <row r="385">
      <c r="A385" s="33"/>
      <c r="B385" s="33" t="str">
        <f t="array" ref="B385">XLOOKUP($A385,Cards!$A$2:$A1000,Cards!$B$2:$I1000,"")</f>
        <v/>
      </c>
      <c r="C385" s="33"/>
      <c r="D385" s="33"/>
      <c r="E385" s="33"/>
      <c r="F385" s="33"/>
      <c r="G385" s="33"/>
      <c r="H385" s="33"/>
      <c r="I385" s="33"/>
      <c r="J385" s="33">
        <f>IFERROR(__xludf.DUMMYFUNCTION("LEN(REGEXREPLACE(XLOOKUP($A385,Cards!$A$2:$A1000,Cards!$H$2:$H1000,""""),"",\s"",""""))"),0.0)</f>
        <v>0</v>
      </c>
      <c r="K385" s="33" t="str">
        <f t="shared" si="1"/>
        <v>               </v>
      </c>
      <c r="L385" s="33" t="str">
        <f>IFERROR(__xludf.DUMMYFUNCTION("IF(IF(L$1="""","""",REGEXMATCH(LOWER($E385),XLOOKUP(L$1,Metadata!$A$2:$A1000,Metadata!$B$2:$B1000))),L$1,"""")"),"")</f>
        <v/>
      </c>
      <c r="M385" s="33" t="str">
        <f>IFERROR(__xludf.DUMMYFUNCTION("IF(IF(M$1="""","""",REGEXMATCH(LOWER($E385),XLOOKUP(M$1,Metadata!$A$2:$A1000,Metadata!$B$2:$B1000))),M$1,"""")"),"")</f>
        <v/>
      </c>
      <c r="N385" s="33" t="str">
        <f>IFERROR(__xludf.DUMMYFUNCTION("IF(IF(N$1="""","""",REGEXMATCH(LOWER($E385),XLOOKUP(N$1,Metadata!$A$2:$A1000,Metadata!$B$2:$B1000))),N$1,"""")"),"")</f>
        <v/>
      </c>
      <c r="O385" s="33" t="str">
        <f>IFERROR(__xludf.DUMMYFUNCTION("IF(IF(O$1="""","""",REGEXMATCH(LOWER($E385),XLOOKUP(O$1,Metadata!$A$2:$A1000,Metadata!$B$2:$B1000))),O$1,"""")"),"")</f>
        <v/>
      </c>
      <c r="P385" s="33" t="str">
        <f>IFERROR(__xludf.DUMMYFUNCTION("IF(IF(P$1="""","""",REGEXMATCH(LOWER($E385),XLOOKUP(P$1,Metadata!$A$2:$A1000,Metadata!$B$2:$B1000))),P$1,"""")"),"")</f>
        <v/>
      </c>
      <c r="Q385" s="33" t="str">
        <f>IFERROR(__xludf.DUMMYFUNCTION("IF(IF(Q$1="""","""",REGEXMATCH(LOWER($E385),XLOOKUP(Q$1,Metadata!$A$2:$A1000,Metadata!$B$2:$B1000))),Q$1,"""")"),"")</f>
        <v/>
      </c>
      <c r="R385" s="33" t="str">
        <f>IFERROR(__xludf.DUMMYFUNCTION("IF(IF(R$1="""","""",REGEXMATCH(LOWER($E385),XLOOKUP(R$1,Metadata!$A$2:$A1000,Metadata!$B$2:$B1000))),R$1,"""")"),"")</f>
        <v/>
      </c>
      <c r="S385" s="33" t="str">
        <f>IFERROR(__xludf.DUMMYFUNCTION("IF(IF(S$1="""","""",REGEXMATCH(LOWER($E385),XLOOKUP(S$1,Metadata!$A$2:$A1000,Metadata!$B$2:$B1000))),S$1,"""")"),"")</f>
        <v/>
      </c>
      <c r="T385" s="33" t="str">
        <f>IFERROR(__xludf.DUMMYFUNCTION("IF(IF(T$1="""","""",REGEXMATCH(LOWER($E385),XLOOKUP(T$1,Metadata!$A$2:$A1000,Metadata!$B$2:$B1000))),T$1,"""")"),"")</f>
        <v/>
      </c>
      <c r="U385" s="33" t="str">
        <f>IFERROR(__xludf.DUMMYFUNCTION("IF(IF(U$1="""","""",REGEXMATCH(LOWER($E385),XLOOKUP(U$1,Metadata!$A$2:$A1000,Metadata!$B$2:$B1000))),U$1,"""")"),"")</f>
        <v/>
      </c>
      <c r="V385" s="33" t="str">
        <f>IFERROR(__xludf.DUMMYFUNCTION("IF(IF(V$1="""","""",REGEXMATCH(LOWER($E385),XLOOKUP(V$1,Metadata!$A$2:$A1000,Metadata!$B$2:$B1000))),V$1,"""")"),"")</f>
        <v/>
      </c>
      <c r="W385" s="33" t="str">
        <f>IFERROR(__xludf.DUMMYFUNCTION("IF(IF(W$1="""","""",REGEXMATCH(LOWER($E385),XLOOKUP(W$1,Metadata!$A$2:$A1000,Metadata!$B$2:$B1000))),W$1,"""")"),"")</f>
        <v/>
      </c>
      <c r="X385" s="33" t="str">
        <f>IFERROR(__xludf.DUMMYFUNCTION("IF(IF(X$1="""","""",REGEXMATCH(LOWER($E385),XLOOKUP(X$1,Metadata!$A$2:$A1000,Metadata!$B$2:$B1000))),X$1,"""")"),"")</f>
        <v/>
      </c>
      <c r="Y385" s="33" t="str">
        <f>IFERROR(__xludf.DUMMYFUNCTION("IF(IF(Y$1="""","""",REGEXMATCH(LOWER($E385),XLOOKUP(Y$1,Metadata!$A$2:$A1000,Metadata!$B$2:$B1000))),Y$1,"""")"),"")</f>
        <v/>
      </c>
      <c r="Z385" s="33" t="str">
        <f>IFERROR(__xludf.DUMMYFUNCTION("IF(IF(Z$1="""","""",REGEXMATCH(LOWER($E385),XLOOKUP(Z$1,Metadata!$A$2:$A1000,Metadata!$B$2:$B1000))),Z$1,"""")"),"")</f>
        <v/>
      </c>
      <c r="AA385" s="33" t="str">
        <f>IFERROR(__xludf.DUMMYFUNCTION("IF(AA$1="""","""",REGEXMATCH(LOWER($E385),XLOOKUP(AA$1,Metadata!$A$2:$A1000,Metadata!$B$2:$B1000)))"),"")</f>
        <v/>
      </c>
    </row>
    <row r="386">
      <c r="A386" s="33" t="str">
        <f>IFERROR(__xludf.DUMMYFUNCTION("""COMPUTED_VALUE"""),"Behemoth Guider")</f>
        <v>Behemoth Guider</v>
      </c>
      <c r="B386" s="33" t="str">
        <f t="array" ref="B386:I386">XLOOKUP($A386,Cards!$A$2:$A1000,Cards!$B$2:$I1000,"")</f>
        <v>Nature</v>
      </c>
      <c r="C386" s="33">
        <v>3.0</v>
      </c>
      <c r="D386" s="33" t="s">
        <v>37</v>
      </c>
      <c r="E386" s="33" t="s">
        <v>1989</v>
      </c>
      <c r="F386" s="33"/>
      <c r="G386" s="33">
        <v>1.0</v>
      </c>
      <c r="H386" s="33" t="s">
        <v>1583</v>
      </c>
      <c r="I386" s="33" t="s">
        <v>26</v>
      </c>
      <c r="J386" s="33">
        <f>IFERROR(__xludf.DUMMYFUNCTION("LEN(REGEXREPLACE(XLOOKUP($A386,Cards!$A$2:$A1000,Cards!$H$2:$H1000,""""),"",\s"",""""))"),3.0)</f>
        <v>3</v>
      </c>
      <c r="K386" s="33" t="str">
        <f t="shared" si="1"/>
        <v>               </v>
      </c>
      <c r="L386" s="33" t="str">
        <f>IFERROR(__xludf.DUMMYFUNCTION("IF(IF(L$1="""","""",REGEXMATCH(LOWER($E386),XLOOKUP(L$1,Metadata!$A$2:$A1000,Metadata!$B$2:$B1000))),L$1,"""")"),"")</f>
        <v/>
      </c>
      <c r="M386" s="33" t="str">
        <f>IFERROR(__xludf.DUMMYFUNCTION("IF(IF(M$1="""","""",REGEXMATCH(LOWER($E386),XLOOKUP(M$1,Metadata!$A$2:$A1000,Metadata!$B$2:$B1000))),M$1,"""")"),"")</f>
        <v/>
      </c>
      <c r="N386" s="33" t="str">
        <f>IFERROR(__xludf.DUMMYFUNCTION("IF(IF(N$1="""","""",REGEXMATCH(LOWER($E386),XLOOKUP(N$1,Metadata!$A$2:$A1000,Metadata!$B$2:$B1000))),N$1,"""")"),"")</f>
        <v/>
      </c>
      <c r="O386" s="33" t="str">
        <f>IFERROR(__xludf.DUMMYFUNCTION("IF(IF(O$1="""","""",REGEXMATCH(LOWER($E386),XLOOKUP(O$1,Metadata!$A$2:$A1000,Metadata!$B$2:$B1000))),O$1,"""")"),"")</f>
        <v/>
      </c>
      <c r="P386" s="33" t="str">
        <f>IFERROR(__xludf.DUMMYFUNCTION("IF(IF(P$1="""","""",REGEXMATCH(LOWER($E386),XLOOKUP(P$1,Metadata!$A$2:$A1000,Metadata!$B$2:$B1000))),P$1,"""")"),"")</f>
        <v/>
      </c>
      <c r="Q386" s="33" t="str">
        <f>IFERROR(__xludf.DUMMYFUNCTION("IF(IF(Q$1="""","""",REGEXMATCH(LOWER($E386),XLOOKUP(Q$1,Metadata!$A$2:$A1000,Metadata!$B$2:$B1000))),Q$1,"""")"),"")</f>
        <v/>
      </c>
      <c r="R386" s="33" t="str">
        <f>IFERROR(__xludf.DUMMYFUNCTION("IF(IF(R$1="""","""",REGEXMATCH(LOWER($E386),XLOOKUP(R$1,Metadata!$A$2:$A1000,Metadata!$B$2:$B1000))),R$1,"""")"),"")</f>
        <v/>
      </c>
      <c r="S386" s="33" t="str">
        <f>IFERROR(__xludf.DUMMYFUNCTION("IF(IF(S$1="""","""",REGEXMATCH(LOWER($E386),XLOOKUP(S$1,Metadata!$A$2:$A1000,Metadata!$B$2:$B1000))),S$1,"""")"),"")</f>
        <v/>
      </c>
      <c r="T386" s="33" t="str">
        <f>IFERROR(__xludf.DUMMYFUNCTION("IF(IF(T$1="""","""",REGEXMATCH(LOWER($E386),XLOOKUP(T$1,Metadata!$A$2:$A1000,Metadata!$B$2:$B1000))),T$1,"""")"),"")</f>
        <v/>
      </c>
      <c r="U386" s="33" t="str">
        <f>IFERROR(__xludf.DUMMYFUNCTION("IF(IF(U$1="""","""",REGEXMATCH(LOWER($E386),XLOOKUP(U$1,Metadata!$A$2:$A1000,Metadata!$B$2:$B1000))),U$1,"""")"),"")</f>
        <v/>
      </c>
      <c r="V386" s="33" t="str">
        <f>IFERROR(__xludf.DUMMYFUNCTION("IF(IF(V$1="""","""",REGEXMATCH(LOWER($E386),XLOOKUP(V$1,Metadata!$A$2:$A1000,Metadata!$B$2:$B1000))),V$1,"""")"),"")</f>
        <v/>
      </c>
      <c r="W386" s="33" t="str">
        <f>IFERROR(__xludf.DUMMYFUNCTION("IF(IF(W$1="""","""",REGEXMATCH(LOWER($E386),XLOOKUP(W$1,Metadata!$A$2:$A1000,Metadata!$B$2:$B1000))),W$1,"""")"),"")</f>
        <v/>
      </c>
      <c r="X386" s="33" t="str">
        <f>IFERROR(__xludf.DUMMYFUNCTION("IF(IF(X$1="""","""",REGEXMATCH(LOWER($E386),XLOOKUP(X$1,Metadata!$A$2:$A1000,Metadata!$B$2:$B1000))),X$1,"""")"),"")</f>
        <v/>
      </c>
      <c r="Y386" s="33" t="str">
        <f>IFERROR(__xludf.DUMMYFUNCTION("IF(IF(Y$1="""","""",REGEXMATCH(LOWER($E386),XLOOKUP(Y$1,Metadata!$A$2:$A1000,Metadata!$B$2:$B1000))),Y$1,"""")"),"")</f>
        <v/>
      </c>
      <c r="Z386" s="33" t="str">
        <f>IFERROR(__xludf.DUMMYFUNCTION("IF(IF(Z$1="""","""",REGEXMATCH(LOWER($E386),XLOOKUP(Z$1,Metadata!$A$2:$A1000,Metadata!$B$2:$B1000))),Z$1,"""")"),"")</f>
        <v/>
      </c>
      <c r="AA386" s="33" t="str">
        <f>IFERROR(__xludf.DUMMYFUNCTION("IF(AA$1="""","""",REGEXMATCH(LOWER($E386),XLOOKUP(AA$1,Metadata!$A$2:$A1000,Metadata!$B$2:$B1000)))"),"")</f>
        <v/>
      </c>
    </row>
    <row r="387">
      <c r="A387" s="33" t="str">
        <f>IFERROR(__xludf.DUMMYFUNCTION("""COMPUTED_VALUE"""),"The Yesterknight")</f>
        <v>The Yesterknight</v>
      </c>
      <c r="B387" s="33" t="str">
        <f t="array" ref="B387:I387">XLOOKUP($A387,Cards!$A$2:$A1000,Cards!$B$2:$I1000,"")</f>
        <v>Mortal</v>
      </c>
      <c r="C387" s="33">
        <v>3.0</v>
      </c>
      <c r="D387" s="33" t="s">
        <v>645</v>
      </c>
      <c r="E387" s="33" t="s">
        <v>1992</v>
      </c>
      <c r="F387" s="33"/>
      <c r="G387" s="33"/>
      <c r="H387" s="33"/>
      <c r="I387" s="33"/>
      <c r="J387" s="33">
        <f>IFERROR(__xludf.DUMMYFUNCTION("LEN(REGEXREPLACE(XLOOKUP($A387,Cards!$A$2:$A1000,Cards!$H$2:$H1000,""""),"",\s"",""""))"),0.0)</f>
        <v>0</v>
      </c>
      <c r="K387" s="33" t="str">
        <f t="shared" si="1"/>
        <v>               </v>
      </c>
      <c r="L387" s="33" t="str">
        <f>IFERROR(__xludf.DUMMYFUNCTION("IF(IF(L$1="""","""",REGEXMATCH(LOWER($E387),XLOOKUP(L$1,Metadata!$A$2:$A1000,Metadata!$B$2:$B1000))),L$1,"""")"),"")</f>
        <v/>
      </c>
      <c r="M387" s="33" t="str">
        <f>IFERROR(__xludf.DUMMYFUNCTION("IF(IF(M$1="""","""",REGEXMATCH(LOWER($E387),XLOOKUP(M$1,Metadata!$A$2:$A1000,Metadata!$B$2:$B1000))),M$1,"""")"),"")</f>
        <v/>
      </c>
      <c r="N387" s="33" t="str">
        <f>IFERROR(__xludf.DUMMYFUNCTION("IF(IF(N$1="""","""",REGEXMATCH(LOWER($E387),XLOOKUP(N$1,Metadata!$A$2:$A1000,Metadata!$B$2:$B1000))),N$1,"""")"),"")</f>
        <v/>
      </c>
      <c r="O387" s="33" t="str">
        <f>IFERROR(__xludf.DUMMYFUNCTION("IF(IF(O$1="""","""",REGEXMATCH(LOWER($E387),XLOOKUP(O$1,Metadata!$A$2:$A1000,Metadata!$B$2:$B1000))),O$1,"""")"),"")</f>
        <v/>
      </c>
      <c r="P387" s="33" t="str">
        <f>IFERROR(__xludf.DUMMYFUNCTION("IF(IF(P$1="""","""",REGEXMATCH(LOWER($E387),XLOOKUP(P$1,Metadata!$A$2:$A1000,Metadata!$B$2:$B1000))),P$1,"""")"),"")</f>
        <v/>
      </c>
      <c r="Q387" s="33" t="str">
        <f>IFERROR(__xludf.DUMMYFUNCTION("IF(IF(Q$1="""","""",REGEXMATCH(LOWER($E387),XLOOKUP(Q$1,Metadata!$A$2:$A1000,Metadata!$B$2:$B1000))),Q$1,"""")"),"")</f>
        <v/>
      </c>
      <c r="R387" s="33" t="str">
        <f>IFERROR(__xludf.DUMMYFUNCTION("IF(IF(R$1="""","""",REGEXMATCH(LOWER($E387),XLOOKUP(R$1,Metadata!$A$2:$A1000,Metadata!$B$2:$B1000))),R$1,"""")"),"")</f>
        <v/>
      </c>
      <c r="S387" s="33" t="str">
        <f>IFERROR(__xludf.DUMMYFUNCTION("IF(IF(S$1="""","""",REGEXMATCH(LOWER($E387),XLOOKUP(S$1,Metadata!$A$2:$A1000,Metadata!$B$2:$B1000))),S$1,"""")"),"")</f>
        <v/>
      </c>
      <c r="T387" s="33" t="str">
        <f>IFERROR(__xludf.DUMMYFUNCTION("IF(IF(T$1="""","""",REGEXMATCH(LOWER($E387),XLOOKUP(T$1,Metadata!$A$2:$A1000,Metadata!$B$2:$B1000))),T$1,"""")"),"")</f>
        <v/>
      </c>
      <c r="U387" s="33" t="str">
        <f>IFERROR(__xludf.DUMMYFUNCTION("IF(IF(U$1="""","""",REGEXMATCH(LOWER($E387),XLOOKUP(U$1,Metadata!$A$2:$A1000,Metadata!$B$2:$B1000))),U$1,"""")"),"")</f>
        <v/>
      </c>
      <c r="V387" s="33" t="str">
        <f>IFERROR(__xludf.DUMMYFUNCTION("IF(IF(V$1="""","""",REGEXMATCH(LOWER($E387),XLOOKUP(V$1,Metadata!$A$2:$A1000,Metadata!$B$2:$B1000))),V$1,"""")"),"")</f>
        <v/>
      </c>
      <c r="W387" s="33" t="str">
        <f>IFERROR(__xludf.DUMMYFUNCTION("IF(IF(W$1="""","""",REGEXMATCH(LOWER($E387),XLOOKUP(W$1,Metadata!$A$2:$A1000,Metadata!$B$2:$B1000))),W$1,"""")"),"")</f>
        <v/>
      </c>
      <c r="X387" s="33" t="str">
        <f>IFERROR(__xludf.DUMMYFUNCTION("IF(IF(X$1="""","""",REGEXMATCH(LOWER($E387),XLOOKUP(X$1,Metadata!$A$2:$A1000,Metadata!$B$2:$B1000))),X$1,"""")"),"")</f>
        <v/>
      </c>
      <c r="Y387" s="33" t="str">
        <f>IFERROR(__xludf.DUMMYFUNCTION("IF(IF(Y$1="""","""",REGEXMATCH(LOWER($E387),XLOOKUP(Y$1,Metadata!$A$2:$A1000,Metadata!$B$2:$B1000))),Y$1,"""")"),"")</f>
        <v/>
      </c>
      <c r="Z387" s="33" t="str">
        <f>IFERROR(__xludf.DUMMYFUNCTION("IF(IF(Z$1="""","""",REGEXMATCH(LOWER($E387),XLOOKUP(Z$1,Metadata!$A$2:$A1000,Metadata!$B$2:$B1000))),Z$1,"""")"),"")</f>
        <v/>
      </c>
      <c r="AA387" s="33" t="str">
        <f>IFERROR(__xludf.DUMMYFUNCTION("IF(AA$1="""","""",REGEXMATCH(LOWER($E387),XLOOKUP(AA$1,Metadata!$A$2:$A1000,Metadata!$B$2:$B1000)))"),"")</f>
        <v/>
      </c>
    </row>
    <row r="388">
      <c r="A388" s="33" t="str">
        <f>IFERROR(__xludf.DUMMYFUNCTION("""COMPUTED_VALUE"""),"Young Alchemist")</f>
        <v>Young Alchemist</v>
      </c>
      <c r="B388" s="33" t="str">
        <f t="array" ref="B388:I388">XLOOKUP($A388,Cards!$A$2:$A1000,Cards!$B$2:$I1000,"")</f>
        <v>Mortal</v>
      </c>
      <c r="C388" s="33">
        <v>3.0</v>
      </c>
      <c r="D388" s="33" t="s">
        <v>294</v>
      </c>
      <c r="E388" s="33"/>
      <c r="F388" s="33" t="s">
        <v>2801</v>
      </c>
      <c r="G388" s="33" t="s">
        <v>26</v>
      </c>
      <c r="H388" s="33"/>
      <c r="I388" s="33" t="s">
        <v>2801</v>
      </c>
      <c r="J388" s="33">
        <f>IFERROR(__xludf.DUMMYFUNCTION("LEN(REGEXREPLACE(XLOOKUP($A388,Cards!$A$2:$A1000,Cards!$H$2:$H1000,""""),"",\s"",""""))"),0.0)</f>
        <v>0</v>
      </c>
      <c r="K388" s="33" t="str">
        <f t="shared" si="1"/>
        <v>               </v>
      </c>
      <c r="L388" s="33" t="str">
        <f>IFERROR(__xludf.DUMMYFUNCTION("IF(IF(L$1="""","""",REGEXMATCH(LOWER($E388),XLOOKUP(L$1,Metadata!$A$2:$A1000,Metadata!$B$2:$B1000))),L$1,"""")"),"")</f>
        <v/>
      </c>
      <c r="M388" s="33" t="str">
        <f>IFERROR(__xludf.DUMMYFUNCTION("IF(IF(M$1="""","""",REGEXMATCH(LOWER($E388),XLOOKUP(M$1,Metadata!$A$2:$A1000,Metadata!$B$2:$B1000))),M$1,"""")"),"")</f>
        <v/>
      </c>
      <c r="N388" s="33" t="str">
        <f>IFERROR(__xludf.DUMMYFUNCTION("IF(IF(N$1="""","""",REGEXMATCH(LOWER($E388),XLOOKUP(N$1,Metadata!$A$2:$A1000,Metadata!$B$2:$B1000))),N$1,"""")"),"")</f>
        <v/>
      </c>
      <c r="O388" s="33" t="str">
        <f>IFERROR(__xludf.DUMMYFUNCTION("IF(IF(O$1="""","""",REGEXMATCH(LOWER($E388),XLOOKUP(O$1,Metadata!$A$2:$A1000,Metadata!$B$2:$B1000))),O$1,"""")"),"")</f>
        <v/>
      </c>
      <c r="P388" s="33" t="str">
        <f>IFERROR(__xludf.DUMMYFUNCTION("IF(IF(P$1="""","""",REGEXMATCH(LOWER($E388),XLOOKUP(P$1,Metadata!$A$2:$A1000,Metadata!$B$2:$B1000))),P$1,"""")"),"")</f>
        <v/>
      </c>
      <c r="Q388" s="33" t="str">
        <f>IFERROR(__xludf.DUMMYFUNCTION("IF(IF(Q$1="""","""",REGEXMATCH(LOWER($E388),XLOOKUP(Q$1,Metadata!$A$2:$A1000,Metadata!$B$2:$B1000))),Q$1,"""")"),"")</f>
        <v/>
      </c>
      <c r="R388" s="33" t="str">
        <f>IFERROR(__xludf.DUMMYFUNCTION("IF(IF(R$1="""","""",REGEXMATCH(LOWER($E388),XLOOKUP(R$1,Metadata!$A$2:$A1000,Metadata!$B$2:$B1000))),R$1,"""")"),"")</f>
        <v/>
      </c>
      <c r="S388" s="33" t="str">
        <f>IFERROR(__xludf.DUMMYFUNCTION("IF(IF(S$1="""","""",REGEXMATCH(LOWER($E388),XLOOKUP(S$1,Metadata!$A$2:$A1000,Metadata!$B$2:$B1000))),S$1,"""")"),"")</f>
        <v/>
      </c>
      <c r="T388" s="33" t="str">
        <f>IFERROR(__xludf.DUMMYFUNCTION("IF(IF(T$1="""","""",REGEXMATCH(LOWER($E388),XLOOKUP(T$1,Metadata!$A$2:$A1000,Metadata!$B$2:$B1000))),T$1,"""")"),"")</f>
        <v/>
      </c>
      <c r="U388" s="33" t="str">
        <f>IFERROR(__xludf.DUMMYFUNCTION("IF(IF(U$1="""","""",REGEXMATCH(LOWER($E388),XLOOKUP(U$1,Metadata!$A$2:$A1000,Metadata!$B$2:$B1000))),U$1,"""")"),"")</f>
        <v/>
      </c>
      <c r="V388" s="33" t="str">
        <f>IFERROR(__xludf.DUMMYFUNCTION("IF(IF(V$1="""","""",REGEXMATCH(LOWER($E388),XLOOKUP(V$1,Metadata!$A$2:$A1000,Metadata!$B$2:$B1000))),V$1,"""")"),"")</f>
        <v/>
      </c>
      <c r="W388" s="33" t="str">
        <f>IFERROR(__xludf.DUMMYFUNCTION("IF(IF(W$1="""","""",REGEXMATCH(LOWER($E388),XLOOKUP(W$1,Metadata!$A$2:$A1000,Metadata!$B$2:$B1000))),W$1,"""")"),"")</f>
        <v/>
      </c>
      <c r="X388" s="33" t="str">
        <f>IFERROR(__xludf.DUMMYFUNCTION("IF(IF(X$1="""","""",REGEXMATCH(LOWER($E388),XLOOKUP(X$1,Metadata!$A$2:$A1000,Metadata!$B$2:$B1000))),X$1,"""")"),"")</f>
        <v/>
      </c>
      <c r="Y388" s="33" t="str">
        <f>IFERROR(__xludf.DUMMYFUNCTION("IF(IF(Y$1="""","""",REGEXMATCH(LOWER($E388),XLOOKUP(Y$1,Metadata!$A$2:$A1000,Metadata!$B$2:$B1000))),Y$1,"""")"),"")</f>
        <v/>
      </c>
      <c r="Z388" s="33" t="str">
        <f>IFERROR(__xludf.DUMMYFUNCTION("IF(IF(Z$1="""","""",REGEXMATCH(LOWER($E388),XLOOKUP(Z$1,Metadata!$A$2:$A1000,Metadata!$B$2:$B1000))),Z$1,"""")"),"")</f>
        <v/>
      </c>
      <c r="AA388" s="33" t="str">
        <f>IFERROR(__xludf.DUMMYFUNCTION("IF(AA$1="""","""",REGEXMATCH(LOWER($E388),XLOOKUP(AA$1,Metadata!$A$2:$A1000,Metadata!$B$2:$B1000)))"),"")</f>
        <v/>
      </c>
    </row>
    <row r="389">
      <c r="A389" s="33" t="str">
        <f>IFERROR(__xludf.DUMMYFUNCTION("""COMPUTED_VALUE"""),"Mirrorkin")</f>
        <v>Mirrorkin</v>
      </c>
      <c r="B389" s="33" t="str">
        <f t="array" ref="B389:I389">XLOOKUP($A389,Cards!$A$2:$A1000,Cards!$B$2:$I1000,"")</f>
        <v/>
      </c>
      <c r="C389" s="33">
        <v>3.0</v>
      </c>
      <c r="D389" s="33"/>
      <c r="E389" s="33" t="s">
        <v>1995</v>
      </c>
      <c r="F389" s="33"/>
      <c r="G389" s="33"/>
      <c r="H389" s="33"/>
      <c r="I389" s="33"/>
      <c r="J389" s="33">
        <f>IFERROR(__xludf.DUMMYFUNCTION("LEN(REGEXREPLACE(XLOOKUP($A389,Cards!$A$2:$A1000,Cards!$H$2:$H1000,""""),"",\s"",""""))"),0.0)</f>
        <v>0</v>
      </c>
      <c r="K389" s="33" t="str">
        <f t="shared" si="1"/>
        <v>     Unearth       Ambush   </v>
      </c>
      <c r="L389" s="33" t="str">
        <f>IFERROR(__xludf.DUMMYFUNCTION("IF(IF(L$1="""","""",REGEXMATCH(LOWER($E389),XLOOKUP(L$1,Metadata!$A$2:$A1000,Metadata!$B$2:$B1000))),L$1,"""")"),"")</f>
        <v/>
      </c>
      <c r="M389" s="33" t="str">
        <f>IFERROR(__xludf.DUMMYFUNCTION("IF(IF(M$1="""","""",REGEXMATCH(LOWER($E389),XLOOKUP(M$1,Metadata!$A$2:$A1000,Metadata!$B$2:$B1000))),M$1,"""")"),"")</f>
        <v/>
      </c>
      <c r="N389" s="33" t="str">
        <f>IFERROR(__xludf.DUMMYFUNCTION("IF(IF(N$1="""","""",REGEXMATCH(LOWER($E389),XLOOKUP(N$1,Metadata!$A$2:$A1000,Metadata!$B$2:$B1000))),N$1,"""")"),"")</f>
        <v/>
      </c>
      <c r="O389" s="33" t="str">
        <f>IFERROR(__xludf.DUMMYFUNCTION("IF(IF(O$1="""","""",REGEXMATCH(LOWER($E389),XLOOKUP(O$1,Metadata!$A$2:$A1000,Metadata!$B$2:$B1000))),O$1,"""")"),"")</f>
        <v/>
      </c>
      <c r="P389" s="33" t="str">
        <f>IFERROR(__xludf.DUMMYFUNCTION("IF(IF(P$1="""","""",REGEXMATCH(LOWER($E389),XLOOKUP(P$1,Metadata!$A$2:$A1000,Metadata!$B$2:$B1000))),P$1,"""")"),"")</f>
        <v/>
      </c>
      <c r="Q389" s="33" t="str">
        <f>IFERROR(__xludf.DUMMYFUNCTION("IF(IF(Q$1="""","""",REGEXMATCH(LOWER($E389),XLOOKUP(Q$1,Metadata!$A$2:$A1000,Metadata!$B$2:$B1000))),Q$1,"""")"),"Unearth")</f>
        <v>Unearth</v>
      </c>
      <c r="R389" s="33" t="str">
        <f>IFERROR(__xludf.DUMMYFUNCTION("IF(IF(R$1="""","""",REGEXMATCH(LOWER($E389),XLOOKUP(R$1,Metadata!$A$2:$A1000,Metadata!$B$2:$B1000))),R$1,"""")"),"")</f>
        <v/>
      </c>
      <c r="S389" s="33" t="str">
        <f>IFERROR(__xludf.DUMMYFUNCTION("IF(IF(S$1="""","""",REGEXMATCH(LOWER($E389),XLOOKUP(S$1,Metadata!$A$2:$A1000,Metadata!$B$2:$B1000))),S$1,"""")"),"")</f>
        <v/>
      </c>
      <c r="T389" s="33" t="str">
        <f>IFERROR(__xludf.DUMMYFUNCTION("IF(IF(T$1="""","""",REGEXMATCH(LOWER($E389),XLOOKUP(T$1,Metadata!$A$2:$A1000,Metadata!$B$2:$B1000))),T$1,"""")"),"")</f>
        <v/>
      </c>
      <c r="U389" s="33" t="str">
        <f>IFERROR(__xludf.DUMMYFUNCTION("IF(IF(U$1="""","""",REGEXMATCH(LOWER($E389),XLOOKUP(U$1,Metadata!$A$2:$A1000,Metadata!$B$2:$B1000))),U$1,"""")"),"")</f>
        <v/>
      </c>
      <c r="V389" s="33" t="str">
        <f>IFERROR(__xludf.DUMMYFUNCTION("IF(IF(V$1="""","""",REGEXMATCH(LOWER($E389),XLOOKUP(V$1,Metadata!$A$2:$A1000,Metadata!$B$2:$B1000))),V$1,"""")"),"")</f>
        <v/>
      </c>
      <c r="W389" s="33" t="str">
        <f>IFERROR(__xludf.DUMMYFUNCTION("IF(IF(W$1="""","""",REGEXMATCH(LOWER($E389),XLOOKUP(W$1,Metadata!$A$2:$A1000,Metadata!$B$2:$B1000))),W$1,"""")"),"")</f>
        <v/>
      </c>
      <c r="X389" s="33" t="str">
        <f>IFERROR(__xludf.DUMMYFUNCTION("IF(IF(X$1="""","""",REGEXMATCH(LOWER($E389),XLOOKUP(X$1,Metadata!$A$2:$A1000,Metadata!$B$2:$B1000))),X$1,"""")"),"Ambush")</f>
        <v>Ambush</v>
      </c>
      <c r="Y389" s="33" t="str">
        <f>IFERROR(__xludf.DUMMYFUNCTION("IF(IF(Y$1="""","""",REGEXMATCH(LOWER($E389),XLOOKUP(Y$1,Metadata!$A$2:$A1000,Metadata!$B$2:$B1000))),Y$1,"""")"),"")</f>
        <v/>
      </c>
      <c r="Z389" s="33" t="str">
        <f>IFERROR(__xludf.DUMMYFUNCTION("IF(IF(Z$1="""","""",REGEXMATCH(LOWER($E389),XLOOKUP(Z$1,Metadata!$A$2:$A1000,Metadata!$B$2:$B1000))),Z$1,"""")"),"")</f>
        <v/>
      </c>
      <c r="AA389" s="33" t="str">
        <f>IFERROR(__xludf.DUMMYFUNCTION("IF(AA$1="""","""",REGEXMATCH(LOWER($E389),XLOOKUP(AA$1,Metadata!$A$2:$A1000,Metadata!$B$2:$B1000)))"),"")</f>
        <v/>
      </c>
    </row>
    <row r="390">
      <c r="A390" s="33" t="str">
        <f>IFERROR(__xludf.DUMMYFUNCTION("""COMPUTED_VALUE"""),"Ticking Tick")</f>
        <v>Ticking Tick</v>
      </c>
      <c r="B390" s="33" t="str">
        <f t="array" ref="B390:I390">XLOOKUP($A390,Cards!$A$2:$A1000,Cards!$B$2:$I1000,"")</f>
        <v/>
      </c>
      <c r="C390" s="33">
        <v>3.0</v>
      </c>
      <c r="D390" s="33" t="s">
        <v>2000</v>
      </c>
      <c r="E390" s="33" t="s">
        <v>2001</v>
      </c>
      <c r="F390" s="33"/>
      <c r="G390" s="33"/>
      <c r="H390" s="33"/>
      <c r="I390" s="33"/>
      <c r="J390" s="33">
        <f>IFERROR(__xludf.DUMMYFUNCTION("LEN(REGEXREPLACE(XLOOKUP($A390,Cards!$A$2:$A1000,Cards!$H$2:$H1000,""""),"",\s"",""""))"),0.0)</f>
        <v>0</v>
      </c>
      <c r="K390" s="33" t="str">
        <f t="shared" si="1"/>
        <v>       Control     Ambush   </v>
      </c>
      <c r="L390" s="33" t="str">
        <f>IFERROR(__xludf.DUMMYFUNCTION("IF(IF(L$1="""","""",REGEXMATCH(LOWER($E390),XLOOKUP(L$1,Metadata!$A$2:$A1000,Metadata!$B$2:$B1000))),L$1,"""")"),"")</f>
        <v/>
      </c>
      <c r="M390" s="33" t="str">
        <f>IFERROR(__xludf.DUMMYFUNCTION("IF(IF(M$1="""","""",REGEXMATCH(LOWER($E390),XLOOKUP(M$1,Metadata!$A$2:$A1000,Metadata!$B$2:$B1000))),M$1,"""")"),"")</f>
        <v/>
      </c>
      <c r="N390" s="33" t="str">
        <f>IFERROR(__xludf.DUMMYFUNCTION("IF(IF(N$1="""","""",REGEXMATCH(LOWER($E390),XLOOKUP(N$1,Metadata!$A$2:$A1000,Metadata!$B$2:$B1000))),N$1,"""")"),"")</f>
        <v/>
      </c>
      <c r="O390" s="33" t="str">
        <f>IFERROR(__xludf.DUMMYFUNCTION("IF(IF(O$1="""","""",REGEXMATCH(LOWER($E390),XLOOKUP(O$1,Metadata!$A$2:$A1000,Metadata!$B$2:$B1000))),O$1,"""")"),"")</f>
        <v/>
      </c>
      <c r="P390" s="33" t="str">
        <f>IFERROR(__xludf.DUMMYFUNCTION("IF(IF(P$1="""","""",REGEXMATCH(LOWER($E390),XLOOKUP(P$1,Metadata!$A$2:$A1000,Metadata!$B$2:$B1000))),P$1,"""")"),"")</f>
        <v/>
      </c>
      <c r="Q390" s="33" t="str">
        <f>IFERROR(__xludf.DUMMYFUNCTION("IF(IF(Q$1="""","""",REGEXMATCH(LOWER($E390),XLOOKUP(Q$1,Metadata!$A$2:$A1000,Metadata!$B$2:$B1000))),Q$1,"""")"),"")</f>
        <v/>
      </c>
      <c r="R390" s="33" t="str">
        <f>IFERROR(__xludf.DUMMYFUNCTION("IF(IF(R$1="""","""",REGEXMATCH(LOWER($E390),XLOOKUP(R$1,Metadata!$A$2:$A1000,Metadata!$B$2:$B1000))),R$1,"""")"),"")</f>
        <v/>
      </c>
      <c r="S390" s="33" t="str">
        <f>IFERROR(__xludf.DUMMYFUNCTION("IF(IF(S$1="""","""",REGEXMATCH(LOWER($E390),XLOOKUP(S$1,Metadata!$A$2:$A1000,Metadata!$B$2:$B1000))),S$1,"""")"),"Control")</f>
        <v>Control</v>
      </c>
      <c r="T390" s="33" t="str">
        <f>IFERROR(__xludf.DUMMYFUNCTION("IF(IF(T$1="""","""",REGEXMATCH(LOWER($E390),XLOOKUP(T$1,Metadata!$A$2:$A1000,Metadata!$B$2:$B1000))),T$1,"""")"),"")</f>
        <v/>
      </c>
      <c r="U390" s="33" t="str">
        <f>IFERROR(__xludf.DUMMYFUNCTION("IF(IF(U$1="""","""",REGEXMATCH(LOWER($E390),XLOOKUP(U$1,Metadata!$A$2:$A1000,Metadata!$B$2:$B1000))),U$1,"""")"),"")</f>
        <v/>
      </c>
      <c r="V390" s="33" t="str">
        <f>IFERROR(__xludf.DUMMYFUNCTION("IF(IF(V$1="""","""",REGEXMATCH(LOWER($E390),XLOOKUP(V$1,Metadata!$A$2:$A1000,Metadata!$B$2:$B1000))),V$1,"""")"),"")</f>
        <v/>
      </c>
      <c r="W390" s="33" t="str">
        <f>IFERROR(__xludf.DUMMYFUNCTION("IF(IF(W$1="""","""",REGEXMATCH(LOWER($E390),XLOOKUP(W$1,Metadata!$A$2:$A1000,Metadata!$B$2:$B1000))),W$1,"""")"),"")</f>
        <v/>
      </c>
      <c r="X390" s="33" t="str">
        <f>IFERROR(__xludf.DUMMYFUNCTION("IF(IF(X$1="""","""",REGEXMATCH(LOWER($E390),XLOOKUP(X$1,Metadata!$A$2:$A1000,Metadata!$B$2:$B1000))),X$1,"""")"),"Ambush")</f>
        <v>Ambush</v>
      </c>
      <c r="Y390" s="33" t="str">
        <f>IFERROR(__xludf.DUMMYFUNCTION("IF(IF(Y$1="""","""",REGEXMATCH(LOWER($E390),XLOOKUP(Y$1,Metadata!$A$2:$A1000,Metadata!$B$2:$B1000))),Y$1,"""")"),"")</f>
        <v/>
      </c>
      <c r="Z390" s="33" t="str">
        <f>IFERROR(__xludf.DUMMYFUNCTION("IF(IF(Z$1="""","""",REGEXMATCH(LOWER($E390),XLOOKUP(Z$1,Metadata!$A$2:$A1000,Metadata!$B$2:$B1000))),Z$1,"""")"),"")</f>
        <v/>
      </c>
      <c r="AA390" s="33" t="str">
        <f>IFERROR(__xludf.DUMMYFUNCTION("IF(AA$1="""","""",REGEXMATCH(LOWER($E390),XLOOKUP(AA$1,Metadata!$A$2:$A1000,Metadata!$B$2:$B1000)))"),"")</f>
        <v/>
      </c>
    </row>
    <row r="391">
      <c r="A391" s="33" t="str">
        <f>IFERROR(__xludf.DUMMYFUNCTION("""COMPUTED_VALUE"""),"Blue Sucker")</f>
        <v>Blue Sucker</v>
      </c>
      <c r="B391" s="33" t="str">
        <f t="array" ref="B391:I391">XLOOKUP($A391,Cards!$A$2:$A1000,Cards!$B$2:$I1000,"")</f>
        <v/>
      </c>
      <c r="C391" s="33">
        <v>3.0</v>
      </c>
      <c r="D391" s="33" t="s">
        <v>2004</v>
      </c>
      <c r="E391" s="33" t="s">
        <v>2005</v>
      </c>
      <c r="F391" s="33"/>
      <c r="G391" s="33"/>
      <c r="H391" s="33"/>
      <c r="I391" s="33"/>
      <c r="J391" s="33">
        <f>IFERROR(__xludf.DUMMYFUNCTION("LEN(REGEXREPLACE(XLOOKUP($A391,Cards!$A$2:$A1000,Cards!$H$2:$H1000,""""),"",\s"",""""))"),0.0)</f>
        <v>0</v>
      </c>
      <c r="K391" s="33" t="str">
        <f t="shared" si="1"/>
        <v>  Mortal     Control   Empty-Crystal  Ambush   </v>
      </c>
      <c r="L391" s="33" t="str">
        <f>IFERROR(__xludf.DUMMYFUNCTION("IF(IF(L$1="""","""",REGEXMATCH(LOWER($E391),XLOOKUP(L$1,Metadata!$A$2:$A1000,Metadata!$B$2:$B1000))),L$1,"""")"),"")</f>
        <v/>
      </c>
      <c r="M391" s="33" t="str">
        <f>IFERROR(__xludf.DUMMYFUNCTION("IF(IF(M$1="""","""",REGEXMATCH(LOWER($E391),XLOOKUP(M$1,Metadata!$A$2:$A1000,Metadata!$B$2:$B1000))),M$1,"""")"),"")</f>
        <v/>
      </c>
      <c r="N391" s="33" t="str">
        <f>IFERROR(__xludf.DUMMYFUNCTION("IF(IF(N$1="""","""",REGEXMATCH(LOWER($E391),XLOOKUP(N$1,Metadata!$A$2:$A1000,Metadata!$B$2:$B1000))),N$1,"""")"),"Mortal")</f>
        <v>Mortal</v>
      </c>
      <c r="O391" s="33" t="str">
        <f>IFERROR(__xludf.DUMMYFUNCTION("IF(IF(O$1="""","""",REGEXMATCH(LOWER($E391),XLOOKUP(O$1,Metadata!$A$2:$A1000,Metadata!$B$2:$B1000))),O$1,"""")"),"")</f>
        <v/>
      </c>
      <c r="P391" s="33" t="str">
        <f>IFERROR(__xludf.DUMMYFUNCTION("IF(IF(P$1="""","""",REGEXMATCH(LOWER($E391),XLOOKUP(P$1,Metadata!$A$2:$A1000,Metadata!$B$2:$B1000))),P$1,"""")"),"")</f>
        <v/>
      </c>
      <c r="Q391" s="33" t="str">
        <f>IFERROR(__xludf.DUMMYFUNCTION("IF(IF(Q$1="""","""",REGEXMATCH(LOWER($E391),XLOOKUP(Q$1,Metadata!$A$2:$A1000,Metadata!$B$2:$B1000))),Q$1,"""")"),"")</f>
        <v/>
      </c>
      <c r="R391" s="33" t="str">
        <f>IFERROR(__xludf.DUMMYFUNCTION("IF(IF(R$1="""","""",REGEXMATCH(LOWER($E391),XLOOKUP(R$1,Metadata!$A$2:$A1000,Metadata!$B$2:$B1000))),R$1,"""")"),"")</f>
        <v/>
      </c>
      <c r="S391" s="33" t="str">
        <f>IFERROR(__xludf.DUMMYFUNCTION("IF(IF(S$1="""","""",REGEXMATCH(LOWER($E391),XLOOKUP(S$1,Metadata!$A$2:$A1000,Metadata!$B$2:$B1000))),S$1,"""")"),"Control")</f>
        <v>Control</v>
      </c>
      <c r="T391" s="33" t="str">
        <f>IFERROR(__xludf.DUMMYFUNCTION("IF(IF(T$1="""","""",REGEXMATCH(LOWER($E391),XLOOKUP(T$1,Metadata!$A$2:$A1000,Metadata!$B$2:$B1000))),T$1,"""")"),"")</f>
        <v/>
      </c>
      <c r="U391" s="33" t="str">
        <f>IFERROR(__xludf.DUMMYFUNCTION("IF(IF(U$1="""","""",REGEXMATCH(LOWER($E391),XLOOKUP(U$1,Metadata!$A$2:$A1000,Metadata!$B$2:$B1000))),U$1,"""")"),"")</f>
        <v/>
      </c>
      <c r="V391" s="33" t="str">
        <f>IFERROR(__xludf.DUMMYFUNCTION("IF(IF(V$1="""","""",REGEXMATCH(LOWER($E391),XLOOKUP(V$1,Metadata!$A$2:$A1000,Metadata!$B$2:$B1000))),V$1,"""")"),"Empty-Crystal")</f>
        <v>Empty-Crystal</v>
      </c>
      <c r="W391" s="33" t="str">
        <f>IFERROR(__xludf.DUMMYFUNCTION("IF(IF(W$1="""","""",REGEXMATCH(LOWER($E391),XLOOKUP(W$1,Metadata!$A$2:$A1000,Metadata!$B$2:$B1000))),W$1,"""")"),"")</f>
        <v/>
      </c>
      <c r="X391" s="33" t="str">
        <f>IFERROR(__xludf.DUMMYFUNCTION("IF(IF(X$1="""","""",REGEXMATCH(LOWER($E391),XLOOKUP(X$1,Metadata!$A$2:$A1000,Metadata!$B$2:$B1000))),X$1,"""")"),"Ambush")</f>
        <v>Ambush</v>
      </c>
      <c r="Y391" s="33" t="str">
        <f>IFERROR(__xludf.DUMMYFUNCTION("IF(IF(Y$1="""","""",REGEXMATCH(LOWER($E391),XLOOKUP(Y$1,Metadata!$A$2:$A1000,Metadata!$B$2:$B1000))),Y$1,"""")"),"")</f>
        <v/>
      </c>
      <c r="Z391" s="33" t="str">
        <f>IFERROR(__xludf.DUMMYFUNCTION("IF(IF(Z$1="""","""",REGEXMATCH(LOWER($E391),XLOOKUP(Z$1,Metadata!$A$2:$A1000,Metadata!$B$2:$B1000))),Z$1,"""")"),"")</f>
        <v/>
      </c>
      <c r="AA391" s="33" t="str">
        <f>IFERROR(__xludf.DUMMYFUNCTION("IF(AA$1="""","""",REGEXMATCH(LOWER($E391),XLOOKUP(AA$1,Metadata!$A$2:$A1000,Metadata!$B$2:$B1000)))"),"")</f>
        <v/>
      </c>
    </row>
    <row r="392">
      <c r="A392" s="33" t="str">
        <f>IFERROR(__xludf.DUMMYFUNCTION("""COMPUTED_VALUE"""),"Green Sucker")</f>
        <v>Green Sucker</v>
      </c>
      <c r="B392" s="33" t="str">
        <f t="array" ref="B392:I392">XLOOKUP($A392,Cards!$A$2:$A1000,Cards!$B$2:$I1000,"")</f>
        <v/>
      </c>
      <c r="C392" s="33">
        <v>3.0</v>
      </c>
      <c r="D392" s="33" t="s">
        <v>2004</v>
      </c>
      <c r="E392" s="33" t="s">
        <v>2007</v>
      </c>
      <c r="F392" s="33"/>
      <c r="G392" s="33"/>
      <c r="H392" s="33"/>
      <c r="I392" s="33"/>
      <c r="J392" s="33">
        <f>IFERROR(__xludf.DUMMYFUNCTION("LEN(REGEXREPLACE(XLOOKUP($A392,Cards!$A$2:$A1000,Cards!$H$2:$H1000,""""),"",\s"",""""))"),0.0)</f>
        <v>0</v>
      </c>
      <c r="K392" s="33" t="str">
        <f t="shared" si="1"/>
        <v>   Nature    Control   Empty-Crystal  Ambush   </v>
      </c>
      <c r="L392" s="33" t="str">
        <f>IFERROR(__xludf.DUMMYFUNCTION("IF(IF(L$1="""","""",REGEXMATCH(LOWER($E392),XLOOKUP(L$1,Metadata!$A$2:$A1000,Metadata!$B$2:$B1000))),L$1,"""")"),"")</f>
        <v/>
      </c>
      <c r="M392" s="33" t="str">
        <f>IFERROR(__xludf.DUMMYFUNCTION("IF(IF(M$1="""","""",REGEXMATCH(LOWER($E392),XLOOKUP(M$1,Metadata!$A$2:$A1000,Metadata!$B$2:$B1000))),M$1,"""")"),"")</f>
        <v/>
      </c>
      <c r="N392" s="33" t="str">
        <f>IFERROR(__xludf.DUMMYFUNCTION("IF(IF(N$1="""","""",REGEXMATCH(LOWER($E392),XLOOKUP(N$1,Metadata!$A$2:$A1000,Metadata!$B$2:$B1000))),N$1,"""")"),"")</f>
        <v/>
      </c>
      <c r="O392" s="33" t="str">
        <f>IFERROR(__xludf.DUMMYFUNCTION("IF(IF(O$1="""","""",REGEXMATCH(LOWER($E392),XLOOKUP(O$1,Metadata!$A$2:$A1000,Metadata!$B$2:$B1000))),O$1,"""")"),"Nature")</f>
        <v>Nature</v>
      </c>
      <c r="P392" s="33" t="str">
        <f>IFERROR(__xludf.DUMMYFUNCTION("IF(IF(P$1="""","""",REGEXMATCH(LOWER($E392),XLOOKUP(P$1,Metadata!$A$2:$A1000,Metadata!$B$2:$B1000))),P$1,"""")"),"")</f>
        <v/>
      </c>
      <c r="Q392" s="33" t="str">
        <f>IFERROR(__xludf.DUMMYFUNCTION("IF(IF(Q$1="""","""",REGEXMATCH(LOWER($E392),XLOOKUP(Q$1,Metadata!$A$2:$A1000,Metadata!$B$2:$B1000))),Q$1,"""")"),"")</f>
        <v/>
      </c>
      <c r="R392" s="33" t="str">
        <f>IFERROR(__xludf.DUMMYFUNCTION("IF(IF(R$1="""","""",REGEXMATCH(LOWER($E392),XLOOKUP(R$1,Metadata!$A$2:$A1000,Metadata!$B$2:$B1000))),R$1,"""")"),"")</f>
        <v/>
      </c>
      <c r="S392" s="33" t="str">
        <f>IFERROR(__xludf.DUMMYFUNCTION("IF(IF(S$1="""","""",REGEXMATCH(LOWER($E392),XLOOKUP(S$1,Metadata!$A$2:$A1000,Metadata!$B$2:$B1000))),S$1,"""")"),"Control")</f>
        <v>Control</v>
      </c>
      <c r="T392" s="33" t="str">
        <f>IFERROR(__xludf.DUMMYFUNCTION("IF(IF(T$1="""","""",REGEXMATCH(LOWER($E392),XLOOKUP(T$1,Metadata!$A$2:$A1000,Metadata!$B$2:$B1000))),T$1,"""")"),"")</f>
        <v/>
      </c>
      <c r="U392" s="33" t="str">
        <f>IFERROR(__xludf.DUMMYFUNCTION("IF(IF(U$1="""","""",REGEXMATCH(LOWER($E392),XLOOKUP(U$1,Metadata!$A$2:$A1000,Metadata!$B$2:$B1000))),U$1,"""")"),"")</f>
        <v/>
      </c>
      <c r="V392" s="33" t="str">
        <f>IFERROR(__xludf.DUMMYFUNCTION("IF(IF(V$1="""","""",REGEXMATCH(LOWER($E392),XLOOKUP(V$1,Metadata!$A$2:$A1000,Metadata!$B$2:$B1000))),V$1,"""")"),"Empty-Crystal")</f>
        <v>Empty-Crystal</v>
      </c>
      <c r="W392" s="33" t="str">
        <f>IFERROR(__xludf.DUMMYFUNCTION("IF(IF(W$1="""","""",REGEXMATCH(LOWER($E392),XLOOKUP(W$1,Metadata!$A$2:$A1000,Metadata!$B$2:$B1000))),W$1,"""")"),"")</f>
        <v/>
      </c>
      <c r="X392" s="33" t="str">
        <f>IFERROR(__xludf.DUMMYFUNCTION("IF(IF(X$1="""","""",REGEXMATCH(LOWER($E392),XLOOKUP(X$1,Metadata!$A$2:$A1000,Metadata!$B$2:$B1000))),X$1,"""")"),"Ambush")</f>
        <v>Ambush</v>
      </c>
      <c r="Y392" s="33" t="str">
        <f>IFERROR(__xludf.DUMMYFUNCTION("IF(IF(Y$1="""","""",REGEXMATCH(LOWER($E392),XLOOKUP(Y$1,Metadata!$A$2:$A1000,Metadata!$B$2:$B1000))),Y$1,"""")"),"")</f>
        <v/>
      </c>
      <c r="Z392" s="33" t="str">
        <f>IFERROR(__xludf.DUMMYFUNCTION("IF(IF(Z$1="""","""",REGEXMATCH(LOWER($E392),XLOOKUP(Z$1,Metadata!$A$2:$A1000,Metadata!$B$2:$B1000))),Z$1,"""")"),"")</f>
        <v/>
      </c>
      <c r="AA392" s="33" t="str">
        <f>IFERROR(__xludf.DUMMYFUNCTION("IF(AA$1="""","""",REGEXMATCH(LOWER($E392),XLOOKUP(AA$1,Metadata!$A$2:$A1000,Metadata!$B$2:$B1000)))"),"")</f>
        <v/>
      </c>
    </row>
    <row r="393">
      <c r="A393" s="33" t="str">
        <f>IFERROR(__xludf.DUMMYFUNCTION("""COMPUTED_VALUE"""),"Yellow Sucker")</f>
        <v>Yellow Sucker</v>
      </c>
      <c r="B393" s="33" t="str">
        <f t="array" ref="B393:I393">XLOOKUP($A393,Cards!$A$2:$A1000,Cards!$B$2:$I1000,"")</f>
        <v/>
      </c>
      <c r="C393" s="33">
        <v>3.0</v>
      </c>
      <c r="D393" s="33" t="s">
        <v>2004</v>
      </c>
      <c r="E393" s="33" t="s">
        <v>2009</v>
      </c>
      <c r="F393" s="33"/>
      <c r="G393" s="33"/>
      <c r="H393" s="33"/>
      <c r="I393" s="33"/>
      <c r="J393" s="33">
        <f>IFERROR(__xludf.DUMMYFUNCTION("LEN(REGEXREPLACE(XLOOKUP($A393,Cards!$A$2:$A1000,Cards!$H$2:$H1000,""""),"",\s"",""""))"),0.0)</f>
        <v>0</v>
      </c>
      <c r="K393" s="33" t="str">
        <f t="shared" si="1"/>
        <v>Divine       Control   Empty-Crystal  Ambush   </v>
      </c>
      <c r="L393" s="33" t="str">
        <f>IFERROR(__xludf.DUMMYFUNCTION("IF(IF(L$1="""","""",REGEXMATCH(LOWER($E393),XLOOKUP(L$1,Metadata!$A$2:$A1000,Metadata!$B$2:$B1000))),L$1,"""")"),"Divine")</f>
        <v>Divine</v>
      </c>
      <c r="M393" s="33" t="str">
        <f>IFERROR(__xludf.DUMMYFUNCTION("IF(IF(M$1="""","""",REGEXMATCH(LOWER($E393),XLOOKUP(M$1,Metadata!$A$2:$A1000,Metadata!$B$2:$B1000))),M$1,"""")"),"")</f>
        <v/>
      </c>
      <c r="N393" s="33" t="str">
        <f>IFERROR(__xludf.DUMMYFUNCTION("IF(IF(N$1="""","""",REGEXMATCH(LOWER($E393),XLOOKUP(N$1,Metadata!$A$2:$A1000,Metadata!$B$2:$B1000))),N$1,"""")"),"")</f>
        <v/>
      </c>
      <c r="O393" s="33" t="str">
        <f>IFERROR(__xludf.DUMMYFUNCTION("IF(IF(O$1="""","""",REGEXMATCH(LOWER($E393),XLOOKUP(O$1,Metadata!$A$2:$A1000,Metadata!$B$2:$B1000))),O$1,"""")"),"")</f>
        <v/>
      </c>
      <c r="P393" s="33" t="str">
        <f>IFERROR(__xludf.DUMMYFUNCTION("IF(IF(P$1="""","""",REGEXMATCH(LOWER($E393),XLOOKUP(P$1,Metadata!$A$2:$A1000,Metadata!$B$2:$B1000))),P$1,"""")"),"")</f>
        <v/>
      </c>
      <c r="Q393" s="33" t="str">
        <f>IFERROR(__xludf.DUMMYFUNCTION("IF(IF(Q$1="""","""",REGEXMATCH(LOWER($E393),XLOOKUP(Q$1,Metadata!$A$2:$A1000,Metadata!$B$2:$B1000))),Q$1,"""")"),"")</f>
        <v/>
      </c>
      <c r="R393" s="33" t="str">
        <f>IFERROR(__xludf.DUMMYFUNCTION("IF(IF(R$1="""","""",REGEXMATCH(LOWER($E393),XLOOKUP(R$1,Metadata!$A$2:$A1000,Metadata!$B$2:$B1000))),R$1,"""")"),"")</f>
        <v/>
      </c>
      <c r="S393" s="33" t="str">
        <f>IFERROR(__xludf.DUMMYFUNCTION("IF(IF(S$1="""","""",REGEXMATCH(LOWER($E393),XLOOKUP(S$1,Metadata!$A$2:$A1000,Metadata!$B$2:$B1000))),S$1,"""")"),"Control")</f>
        <v>Control</v>
      </c>
      <c r="T393" s="33" t="str">
        <f>IFERROR(__xludf.DUMMYFUNCTION("IF(IF(T$1="""","""",REGEXMATCH(LOWER($E393),XLOOKUP(T$1,Metadata!$A$2:$A1000,Metadata!$B$2:$B1000))),T$1,"""")"),"")</f>
        <v/>
      </c>
      <c r="U393" s="33" t="str">
        <f>IFERROR(__xludf.DUMMYFUNCTION("IF(IF(U$1="""","""",REGEXMATCH(LOWER($E393),XLOOKUP(U$1,Metadata!$A$2:$A1000,Metadata!$B$2:$B1000))),U$1,"""")"),"")</f>
        <v/>
      </c>
      <c r="V393" s="33" t="str">
        <f>IFERROR(__xludf.DUMMYFUNCTION("IF(IF(V$1="""","""",REGEXMATCH(LOWER($E393),XLOOKUP(V$1,Metadata!$A$2:$A1000,Metadata!$B$2:$B1000))),V$1,"""")"),"Empty-Crystal")</f>
        <v>Empty-Crystal</v>
      </c>
      <c r="W393" s="33" t="str">
        <f>IFERROR(__xludf.DUMMYFUNCTION("IF(IF(W$1="""","""",REGEXMATCH(LOWER($E393),XLOOKUP(W$1,Metadata!$A$2:$A1000,Metadata!$B$2:$B1000))),W$1,"""")"),"")</f>
        <v/>
      </c>
      <c r="X393" s="33" t="str">
        <f>IFERROR(__xludf.DUMMYFUNCTION("IF(IF(X$1="""","""",REGEXMATCH(LOWER($E393),XLOOKUP(X$1,Metadata!$A$2:$A1000,Metadata!$B$2:$B1000))),X$1,"""")"),"Ambush")</f>
        <v>Ambush</v>
      </c>
      <c r="Y393" s="33" t="str">
        <f>IFERROR(__xludf.DUMMYFUNCTION("IF(IF(Y$1="""","""",REGEXMATCH(LOWER($E393),XLOOKUP(Y$1,Metadata!$A$2:$A1000,Metadata!$B$2:$B1000))),Y$1,"""")"),"")</f>
        <v/>
      </c>
      <c r="Z393" s="33" t="str">
        <f>IFERROR(__xludf.DUMMYFUNCTION("IF(IF(Z$1="""","""",REGEXMATCH(LOWER($E393),XLOOKUP(Z$1,Metadata!$A$2:$A1000,Metadata!$B$2:$B1000))),Z$1,"""")"),"")</f>
        <v/>
      </c>
      <c r="AA393" s="33" t="str">
        <f>IFERROR(__xludf.DUMMYFUNCTION("IF(AA$1="""","""",REGEXMATCH(LOWER($E393),XLOOKUP(AA$1,Metadata!$A$2:$A1000,Metadata!$B$2:$B1000)))"),"")</f>
        <v/>
      </c>
    </row>
    <row r="394">
      <c r="A394" s="33" t="str">
        <f>IFERROR(__xludf.DUMMYFUNCTION("""COMPUTED_VALUE"""),"Purple Sucker")</f>
        <v>Purple Sucker</v>
      </c>
      <c r="B394" s="33" t="str">
        <f t="array" ref="B394:I394">XLOOKUP($A394,Cards!$A$2:$A1000,Cards!$B$2:$I1000,"")</f>
        <v/>
      </c>
      <c r="C394" s="33">
        <v>3.0</v>
      </c>
      <c r="D394" s="33" t="s">
        <v>2004</v>
      </c>
      <c r="E394" s="33" t="s">
        <v>2011</v>
      </c>
      <c r="F394" s="33"/>
      <c r="G394" s="33"/>
      <c r="H394" s="33"/>
      <c r="I394" s="33"/>
      <c r="J394" s="33">
        <f>IFERROR(__xludf.DUMMYFUNCTION("LEN(REGEXREPLACE(XLOOKUP($A394,Cards!$A$2:$A1000,Cards!$H$2:$H1000,""""),"",\s"",""""))"),0.0)</f>
        <v>0</v>
      </c>
      <c r="K394" s="33" t="str">
        <f t="shared" si="1"/>
        <v>    Void   Control   Empty-Crystal  Ambush   </v>
      </c>
      <c r="L394" s="33" t="str">
        <f>IFERROR(__xludf.DUMMYFUNCTION("IF(IF(L$1="""","""",REGEXMATCH(LOWER($E394),XLOOKUP(L$1,Metadata!$A$2:$A1000,Metadata!$B$2:$B1000))),L$1,"""")"),"")</f>
        <v/>
      </c>
      <c r="M394" s="33" t="str">
        <f>IFERROR(__xludf.DUMMYFUNCTION("IF(IF(M$1="""","""",REGEXMATCH(LOWER($E394),XLOOKUP(M$1,Metadata!$A$2:$A1000,Metadata!$B$2:$B1000))),M$1,"""")"),"")</f>
        <v/>
      </c>
      <c r="N394" s="33" t="str">
        <f>IFERROR(__xludf.DUMMYFUNCTION("IF(IF(N$1="""","""",REGEXMATCH(LOWER($E394),XLOOKUP(N$1,Metadata!$A$2:$A1000,Metadata!$B$2:$B1000))),N$1,"""")"),"")</f>
        <v/>
      </c>
      <c r="O394" s="33" t="str">
        <f>IFERROR(__xludf.DUMMYFUNCTION("IF(IF(O$1="""","""",REGEXMATCH(LOWER($E394),XLOOKUP(O$1,Metadata!$A$2:$A1000,Metadata!$B$2:$B1000))),O$1,"""")"),"")</f>
        <v/>
      </c>
      <c r="P394" s="33" t="str">
        <f>IFERROR(__xludf.DUMMYFUNCTION("IF(IF(P$1="""","""",REGEXMATCH(LOWER($E394),XLOOKUP(P$1,Metadata!$A$2:$A1000,Metadata!$B$2:$B1000))),P$1,"""")"),"Void")</f>
        <v>Void</v>
      </c>
      <c r="Q394" s="33" t="str">
        <f>IFERROR(__xludf.DUMMYFUNCTION("IF(IF(Q$1="""","""",REGEXMATCH(LOWER($E394),XLOOKUP(Q$1,Metadata!$A$2:$A1000,Metadata!$B$2:$B1000))),Q$1,"""")"),"")</f>
        <v/>
      </c>
      <c r="R394" s="33" t="str">
        <f>IFERROR(__xludf.DUMMYFUNCTION("IF(IF(R$1="""","""",REGEXMATCH(LOWER($E394),XLOOKUP(R$1,Metadata!$A$2:$A1000,Metadata!$B$2:$B1000))),R$1,"""")"),"")</f>
        <v/>
      </c>
      <c r="S394" s="33" t="str">
        <f>IFERROR(__xludf.DUMMYFUNCTION("IF(IF(S$1="""","""",REGEXMATCH(LOWER($E394),XLOOKUP(S$1,Metadata!$A$2:$A1000,Metadata!$B$2:$B1000))),S$1,"""")"),"Control")</f>
        <v>Control</v>
      </c>
      <c r="T394" s="33" t="str">
        <f>IFERROR(__xludf.DUMMYFUNCTION("IF(IF(T$1="""","""",REGEXMATCH(LOWER($E394),XLOOKUP(T$1,Metadata!$A$2:$A1000,Metadata!$B$2:$B1000))),T$1,"""")"),"")</f>
        <v/>
      </c>
      <c r="U394" s="33" t="str">
        <f>IFERROR(__xludf.DUMMYFUNCTION("IF(IF(U$1="""","""",REGEXMATCH(LOWER($E394),XLOOKUP(U$1,Metadata!$A$2:$A1000,Metadata!$B$2:$B1000))),U$1,"""")"),"")</f>
        <v/>
      </c>
      <c r="V394" s="33" t="str">
        <f>IFERROR(__xludf.DUMMYFUNCTION("IF(IF(V$1="""","""",REGEXMATCH(LOWER($E394),XLOOKUP(V$1,Metadata!$A$2:$A1000,Metadata!$B$2:$B1000))),V$1,"""")"),"Empty-Crystal")</f>
        <v>Empty-Crystal</v>
      </c>
      <c r="W394" s="33" t="str">
        <f>IFERROR(__xludf.DUMMYFUNCTION("IF(IF(W$1="""","""",REGEXMATCH(LOWER($E394),XLOOKUP(W$1,Metadata!$A$2:$A1000,Metadata!$B$2:$B1000))),W$1,"""")"),"")</f>
        <v/>
      </c>
      <c r="X394" s="33" t="str">
        <f>IFERROR(__xludf.DUMMYFUNCTION("IF(IF(X$1="""","""",REGEXMATCH(LOWER($E394),XLOOKUP(X$1,Metadata!$A$2:$A1000,Metadata!$B$2:$B1000))),X$1,"""")"),"Ambush")</f>
        <v>Ambush</v>
      </c>
      <c r="Y394" s="33" t="str">
        <f>IFERROR(__xludf.DUMMYFUNCTION("IF(IF(Y$1="""","""",REGEXMATCH(LOWER($E394),XLOOKUP(Y$1,Metadata!$A$2:$A1000,Metadata!$B$2:$B1000))),Y$1,"""")"),"")</f>
        <v/>
      </c>
      <c r="Z394" s="33" t="str">
        <f>IFERROR(__xludf.DUMMYFUNCTION("IF(IF(Z$1="""","""",REGEXMATCH(LOWER($E394),XLOOKUP(Z$1,Metadata!$A$2:$A1000,Metadata!$B$2:$B1000))),Z$1,"""")"),"")</f>
        <v/>
      </c>
      <c r="AA394" s="33" t="str">
        <f>IFERROR(__xludf.DUMMYFUNCTION("IF(AA$1="""","""",REGEXMATCH(LOWER($E394),XLOOKUP(AA$1,Metadata!$A$2:$A1000,Metadata!$B$2:$B1000)))"),"")</f>
        <v/>
      </c>
    </row>
    <row r="395">
      <c r="A395" s="33" t="str">
        <f>IFERROR(__xludf.DUMMYFUNCTION("""COMPUTED_VALUE"""),"Red Sucker")</f>
        <v>Red Sucker</v>
      </c>
      <c r="B395" s="33" t="str">
        <f t="array" ref="B395:I395">XLOOKUP($A395,Cards!$A$2:$A1000,Cards!$B$2:$I1000,"")</f>
        <v/>
      </c>
      <c r="C395" s="33">
        <v>3.0</v>
      </c>
      <c r="D395" s="33" t="s">
        <v>2004</v>
      </c>
      <c r="E395" s="33" t="s">
        <v>2013</v>
      </c>
      <c r="F395" s="33"/>
      <c r="G395" s="33"/>
      <c r="H395" s="33"/>
      <c r="I395" s="33"/>
      <c r="J395" s="33">
        <f>IFERROR(__xludf.DUMMYFUNCTION("LEN(REGEXREPLACE(XLOOKUP($A395,Cards!$A$2:$A1000,Cards!$H$2:$H1000,""""),"",\s"",""""))"),0.0)</f>
        <v>0</v>
      </c>
      <c r="K395" s="33" t="str">
        <f t="shared" si="1"/>
        <v> Elemental      Control   Empty-Crystal  Ambush   </v>
      </c>
      <c r="L395" s="33" t="str">
        <f>IFERROR(__xludf.DUMMYFUNCTION("IF(IF(L$1="""","""",REGEXMATCH(LOWER($E395),XLOOKUP(L$1,Metadata!$A$2:$A1000,Metadata!$B$2:$B1000))),L$1,"""")"),"")</f>
        <v/>
      </c>
      <c r="M395" s="33" t="str">
        <f>IFERROR(__xludf.DUMMYFUNCTION("IF(IF(M$1="""","""",REGEXMATCH(LOWER($E395),XLOOKUP(M$1,Metadata!$A$2:$A1000,Metadata!$B$2:$B1000))),M$1,"""")"),"Elemental")</f>
        <v>Elemental</v>
      </c>
      <c r="N395" s="33" t="str">
        <f>IFERROR(__xludf.DUMMYFUNCTION("IF(IF(N$1="""","""",REGEXMATCH(LOWER($E395),XLOOKUP(N$1,Metadata!$A$2:$A1000,Metadata!$B$2:$B1000))),N$1,"""")"),"")</f>
        <v/>
      </c>
      <c r="O395" s="33" t="str">
        <f>IFERROR(__xludf.DUMMYFUNCTION("IF(IF(O$1="""","""",REGEXMATCH(LOWER($E395),XLOOKUP(O$1,Metadata!$A$2:$A1000,Metadata!$B$2:$B1000))),O$1,"""")"),"")</f>
        <v/>
      </c>
      <c r="P395" s="33" t="str">
        <f>IFERROR(__xludf.DUMMYFUNCTION("IF(IF(P$1="""","""",REGEXMATCH(LOWER($E395),XLOOKUP(P$1,Metadata!$A$2:$A1000,Metadata!$B$2:$B1000))),P$1,"""")"),"")</f>
        <v/>
      </c>
      <c r="Q395" s="33" t="str">
        <f>IFERROR(__xludf.DUMMYFUNCTION("IF(IF(Q$1="""","""",REGEXMATCH(LOWER($E395),XLOOKUP(Q$1,Metadata!$A$2:$A1000,Metadata!$B$2:$B1000))),Q$1,"""")"),"")</f>
        <v/>
      </c>
      <c r="R395" s="33" t="str">
        <f>IFERROR(__xludf.DUMMYFUNCTION("IF(IF(R$1="""","""",REGEXMATCH(LOWER($E395),XLOOKUP(R$1,Metadata!$A$2:$A1000,Metadata!$B$2:$B1000))),R$1,"""")"),"")</f>
        <v/>
      </c>
      <c r="S395" s="33" t="str">
        <f>IFERROR(__xludf.DUMMYFUNCTION("IF(IF(S$1="""","""",REGEXMATCH(LOWER($E395),XLOOKUP(S$1,Metadata!$A$2:$A1000,Metadata!$B$2:$B1000))),S$1,"""")"),"Control")</f>
        <v>Control</v>
      </c>
      <c r="T395" s="33" t="str">
        <f>IFERROR(__xludf.DUMMYFUNCTION("IF(IF(T$1="""","""",REGEXMATCH(LOWER($E395),XLOOKUP(T$1,Metadata!$A$2:$A1000,Metadata!$B$2:$B1000))),T$1,"""")"),"")</f>
        <v/>
      </c>
      <c r="U395" s="33" t="str">
        <f>IFERROR(__xludf.DUMMYFUNCTION("IF(IF(U$1="""","""",REGEXMATCH(LOWER($E395),XLOOKUP(U$1,Metadata!$A$2:$A1000,Metadata!$B$2:$B1000))),U$1,"""")"),"")</f>
        <v/>
      </c>
      <c r="V395" s="33" t="str">
        <f>IFERROR(__xludf.DUMMYFUNCTION("IF(IF(V$1="""","""",REGEXMATCH(LOWER($E395),XLOOKUP(V$1,Metadata!$A$2:$A1000,Metadata!$B$2:$B1000))),V$1,"""")"),"Empty-Crystal")</f>
        <v>Empty-Crystal</v>
      </c>
      <c r="W395" s="33" t="str">
        <f>IFERROR(__xludf.DUMMYFUNCTION("IF(IF(W$1="""","""",REGEXMATCH(LOWER($E395),XLOOKUP(W$1,Metadata!$A$2:$A1000,Metadata!$B$2:$B1000))),W$1,"""")"),"")</f>
        <v/>
      </c>
      <c r="X395" s="33" t="str">
        <f>IFERROR(__xludf.DUMMYFUNCTION("IF(IF(X$1="""","""",REGEXMATCH(LOWER($E395),XLOOKUP(X$1,Metadata!$A$2:$A1000,Metadata!$B$2:$B1000))),X$1,"""")"),"Ambush")</f>
        <v>Ambush</v>
      </c>
      <c r="Y395" s="33" t="str">
        <f>IFERROR(__xludf.DUMMYFUNCTION("IF(IF(Y$1="""","""",REGEXMATCH(LOWER($E395),XLOOKUP(Y$1,Metadata!$A$2:$A1000,Metadata!$B$2:$B1000))),Y$1,"""")"),"")</f>
        <v/>
      </c>
      <c r="Z395" s="33" t="str">
        <f>IFERROR(__xludf.DUMMYFUNCTION("IF(IF(Z$1="""","""",REGEXMATCH(LOWER($E395),XLOOKUP(Z$1,Metadata!$A$2:$A1000,Metadata!$B$2:$B1000))),Z$1,"""")"),"")</f>
        <v/>
      </c>
      <c r="AA395" s="33" t="str">
        <f>IFERROR(__xludf.DUMMYFUNCTION("IF(AA$1="""","""",REGEXMATCH(LOWER($E395),XLOOKUP(AA$1,Metadata!$A$2:$A1000,Metadata!$B$2:$B1000)))"),"")</f>
        <v/>
      </c>
    </row>
    <row r="396">
      <c r="A396" s="33" t="str">
        <f>IFERROR(__xludf.DUMMYFUNCTION("""COMPUTED_VALUE"""),"Twilight Conduit")</f>
        <v>Twilight Conduit</v>
      </c>
      <c r="B396" s="33" t="str">
        <f t="array" ref="B396:I396">XLOOKUP($A396,Cards!$A$2:$A1000,Cards!$B$2:$I1000,"")</f>
        <v>Divine Void</v>
      </c>
      <c r="C396" s="33">
        <v>3.0</v>
      </c>
      <c r="D396" s="33"/>
      <c r="E396" s="33" t="s">
        <v>2015</v>
      </c>
      <c r="F396" s="33"/>
      <c r="G396" s="33"/>
      <c r="H396" s="33" t="s">
        <v>422</v>
      </c>
      <c r="I396" s="33" t="s">
        <v>62</v>
      </c>
      <c r="J396" s="33">
        <f>IFERROR(__xludf.DUMMYFUNCTION("LEN(REGEXREPLACE(XLOOKUP($A396,Cards!$A$2:$A1000,Cards!$H$2:$H1000,""""),"",\s"",""""))"),3.0)</f>
        <v>3</v>
      </c>
      <c r="K396" s="33" t="str">
        <f t="shared" si="1"/>
        <v>               </v>
      </c>
      <c r="L396" s="33" t="str">
        <f>IFERROR(__xludf.DUMMYFUNCTION("IF(IF(L$1="""","""",REGEXMATCH(LOWER($E396),XLOOKUP(L$1,Metadata!$A$2:$A1000,Metadata!$B$2:$B1000))),L$1,"""")"),"")</f>
        <v/>
      </c>
      <c r="M396" s="33" t="str">
        <f>IFERROR(__xludf.DUMMYFUNCTION("IF(IF(M$1="""","""",REGEXMATCH(LOWER($E396),XLOOKUP(M$1,Metadata!$A$2:$A1000,Metadata!$B$2:$B1000))),M$1,"""")"),"")</f>
        <v/>
      </c>
      <c r="N396" s="33" t="str">
        <f>IFERROR(__xludf.DUMMYFUNCTION("IF(IF(N$1="""","""",REGEXMATCH(LOWER($E396),XLOOKUP(N$1,Metadata!$A$2:$A1000,Metadata!$B$2:$B1000))),N$1,"""")"),"")</f>
        <v/>
      </c>
      <c r="O396" s="33" t="str">
        <f>IFERROR(__xludf.DUMMYFUNCTION("IF(IF(O$1="""","""",REGEXMATCH(LOWER($E396),XLOOKUP(O$1,Metadata!$A$2:$A1000,Metadata!$B$2:$B1000))),O$1,"""")"),"")</f>
        <v/>
      </c>
      <c r="P396" s="33" t="str">
        <f>IFERROR(__xludf.DUMMYFUNCTION("IF(IF(P$1="""","""",REGEXMATCH(LOWER($E396),XLOOKUP(P$1,Metadata!$A$2:$A1000,Metadata!$B$2:$B1000))),P$1,"""")"),"")</f>
        <v/>
      </c>
      <c r="Q396" s="33" t="str">
        <f>IFERROR(__xludf.DUMMYFUNCTION("IF(IF(Q$1="""","""",REGEXMATCH(LOWER($E396),XLOOKUP(Q$1,Metadata!$A$2:$A1000,Metadata!$B$2:$B1000))),Q$1,"""")"),"")</f>
        <v/>
      </c>
      <c r="R396" s="33" t="str">
        <f>IFERROR(__xludf.DUMMYFUNCTION("IF(IF(R$1="""","""",REGEXMATCH(LOWER($E396),XLOOKUP(R$1,Metadata!$A$2:$A1000,Metadata!$B$2:$B1000))),R$1,"""")"),"")</f>
        <v/>
      </c>
      <c r="S396" s="33" t="str">
        <f>IFERROR(__xludf.DUMMYFUNCTION("IF(IF(S$1="""","""",REGEXMATCH(LOWER($E396),XLOOKUP(S$1,Metadata!$A$2:$A1000,Metadata!$B$2:$B1000))),S$1,"""")"),"")</f>
        <v/>
      </c>
      <c r="T396" s="33" t="str">
        <f>IFERROR(__xludf.DUMMYFUNCTION("IF(IF(T$1="""","""",REGEXMATCH(LOWER($E396),XLOOKUP(T$1,Metadata!$A$2:$A1000,Metadata!$B$2:$B1000))),T$1,"""")"),"")</f>
        <v/>
      </c>
      <c r="U396" s="33" t="str">
        <f>IFERROR(__xludf.DUMMYFUNCTION("IF(IF(U$1="""","""",REGEXMATCH(LOWER($E396),XLOOKUP(U$1,Metadata!$A$2:$A1000,Metadata!$B$2:$B1000))),U$1,"""")"),"")</f>
        <v/>
      </c>
      <c r="V396" s="33" t="str">
        <f>IFERROR(__xludf.DUMMYFUNCTION("IF(IF(V$1="""","""",REGEXMATCH(LOWER($E396),XLOOKUP(V$1,Metadata!$A$2:$A1000,Metadata!$B$2:$B1000))),V$1,"""")"),"")</f>
        <v/>
      </c>
      <c r="W396" s="33" t="str">
        <f>IFERROR(__xludf.DUMMYFUNCTION("IF(IF(W$1="""","""",REGEXMATCH(LOWER($E396),XLOOKUP(W$1,Metadata!$A$2:$A1000,Metadata!$B$2:$B1000))),W$1,"""")"),"")</f>
        <v/>
      </c>
      <c r="X396" s="33" t="str">
        <f>IFERROR(__xludf.DUMMYFUNCTION("IF(IF(X$1="""","""",REGEXMATCH(LOWER($E396),XLOOKUP(X$1,Metadata!$A$2:$A1000,Metadata!$B$2:$B1000))),X$1,"""")"),"")</f>
        <v/>
      </c>
      <c r="Y396" s="33" t="str">
        <f>IFERROR(__xludf.DUMMYFUNCTION("IF(IF(Y$1="""","""",REGEXMATCH(LOWER($E396),XLOOKUP(Y$1,Metadata!$A$2:$A1000,Metadata!$B$2:$B1000))),Y$1,"""")"),"")</f>
        <v/>
      </c>
      <c r="Z396" s="33" t="str">
        <f>IFERROR(__xludf.DUMMYFUNCTION("IF(IF(Z$1="""","""",REGEXMATCH(LOWER($E396),XLOOKUP(Z$1,Metadata!$A$2:$A1000,Metadata!$B$2:$B1000))),Z$1,"""")"),"")</f>
        <v/>
      </c>
      <c r="AA396" s="33" t="str">
        <f>IFERROR(__xludf.DUMMYFUNCTION("IF(AA$1="""","""",REGEXMATCH(LOWER($E396),XLOOKUP(AA$1,Metadata!$A$2:$A1000,Metadata!$B$2:$B1000)))"),"")</f>
        <v/>
      </c>
    </row>
    <row r="397">
      <c r="A397" s="33" t="str">
        <f>IFERROR(__xludf.DUMMYFUNCTION("""COMPUTED_VALUE"""),"Shaman of the Scale")</f>
        <v>Shaman of the Scale</v>
      </c>
      <c r="B397" s="33" t="str">
        <f t="array" ref="B397:I397">XLOOKUP($A397,Cards!$A$2:$A1000,Cards!$B$2:$I1000,"")</f>
        <v>Elemental</v>
      </c>
      <c r="C397" s="33">
        <v>3.0</v>
      </c>
      <c r="D397" s="33"/>
      <c r="E397" s="33" t="s">
        <v>2018</v>
      </c>
      <c r="F397" s="33"/>
      <c r="G397" s="33"/>
      <c r="H397" s="33"/>
      <c r="I397" s="33"/>
      <c r="J397" s="33">
        <f>IFERROR(__xludf.DUMMYFUNCTION("LEN(REGEXREPLACE(XLOOKUP($A397,Cards!$A$2:$A1000,Cards!$H$2:$H1000,""""),"",\s"",""""))"),0.0)</f>
        <v>0</v>
      </c>
      <c r="K397" s="33" t="str">
        <f t="shared" si="1"/>
        <v>         Aggro      </v>
      </c>
      <c r="L397" s="33" t="str">
        <f>IFERROR(__xludf.DUMMYFUNCTION("IF(IF(L$1="""","""",REGEXMATCH(LOWER($E397),XLOOKUP(L$1,Metadata!$A$2:$A1000,Metadata!$B$2:$B1000))),L$1,"""")"),"")</f>
        <v/>
      </c>
      <c r="M397" s="33" t="str">
        <f>IFERROR(__xludf.DUMMYFUNCTION("IF(IF(M$1="""","""",REGEXMATCH(LOWER($E397),XLOOKUP(M$1,Metadata!$A$2:$A1000,Metadata!$B$2:$B1000))),M$1,"""")"),"")</f>
        <v/>
      </c>
      <c r="N397" s="33" t="str">
        <f>IFERROR(__xludf.DUMMYFUNCTION("IF(IF(N$1="""","""",REGEXMATCH(LOWER($E397),XLOOKUP(N$1,Metadata!$A$2:$A1000,Metadata!$B$2:$B1000))),N$1,"""")"),"")</f>
        <v/>
      </c>
      <c r="O397" s="33" t="str">
        <f>IFERROR(__xludf.DUMMYFUNCTION("IF(IF(O$1="""","""",REGEXMATCH(LOWER($E397),XLOOKUP(O$1,Metadata!$A$2:$A1000,Metadata!$B$2:$B1000))),O$1,"""")"),"")</f>
        <v/>
      </c>
      <c r="P397" s="33" t="str">
        <f>IFERROR(__xludf.DUMMYFUNCTION("IF(IF(P$1="""","""",REGEXMATCH(LOWER($E397),XLOOKUP(P$1,Metadata!$A$2:$A1000,Metadata!$B$2:$B1000))),P$1,"""")"),"")</f>
        <v/>
      </c>
      <c r="Q397" s="33" t="str">
        <f>IFERROR(__xludf.DUMMYFUNCTION("IF(IF(Q$1="""","""",REGEXMATCH(LOWER($E397),XLOOKUP(Q$1,Metadata!$A$2:$A1000,Metadata!$B$2:$B1000))),Q$1,"""")"),"")</f>
        <v/>
      </c>
      <c r="R397" s="33" t="str">
        <f>IFERROR(__xludf.DUMMYFUNCTION("IF(IF(R$1="""","""",REGEXMATCH(LOWER($E397),XLOOKUP(R$1,Metadata!$A$2:$A1000,Metadata!$B$2:$B1000))),R$1,"""")"),"")</f>
        <v/>
      </c>
      <c r="S397" s="33" t="str">
        <f>IFERROR(__xludf.DUMMYFUNCTION("IF(IF(S$1="""","""",REGEXMATCH(LOWER($E397),XLOOKUP(S$1,Metadata!$A$2:$A1000,Metadata!$B$2:$B1000))),S$1,"""")"),"")</f>
        <v/>
      </c>
      <c r="T397" s="33" t="str">
        <f>IFERROR(__xludf.DUMMYFUNCTION("IF(IF(T$1="""","""",REGEXMATCH(LOWER($E397),XLOOKUP(T$1,Metadata!$A$2:$A1000,Metadata!$B$2:$B1000))),T$1,"""")"),"")</f>
        <v/>
      </c>
      <c r="U397" s="33" t="str">
        <f>IFERROR(__xludf.DUMMYFUNCTION("IF(IF(U$1="""","""",REGEXMATCH(LOWER($E397),XLOOKUP(U$1,Metadata!$A$2:$A1000,Metadata!$B$2:$B1000))),U$1,"""")"),"Aggro")</f>
        <v>Aggro</v>
      </c>
      <c r="V397" s="33" t="str">
        <f>IFERROR(__xludf.DUMMYFUNCTION("IF(IF(V$1="""","""",REGEXMATCH(LOWER($E397),XLOOKUP(V$1,Metadata!$A$2:$A1000,Metadata!$B$2:$B1000))),V$1,"""")"),"")</f>
        <v/>
      </c>
      <c r="W397" s="33" t="str">
        <f>IFERROR(__xludf.DUMMYFUNCTION("IF(IF(W$1="""","""",REGEXMATCH(LOWER($E397),XLOOKUP(W$1,Metadata!$A$2:$A1000,Metadata!$B$2:$B1000))),W$1,"""")"),"")</f>
        <v/>
      </c>
      <c r="X397" s="33" t="str">
        <f>IFERROR(__xludf.DUMMYFUNCTION("IF(IF(X$1="""","""",REGEXMATCH(LOWER($E397),XLOOKUP(X$1,Metadata!$A$2:$A1000,Metadata!$B$2:$B1000))),X$1,"""")"),"")</f>
        <v/>
      </c>
      <c r="Y397" s="33" t="str">
        <f>IFERROR(__xludf.DUMMYFUNCTION("IF(IF(Y$1="""","""",REGEXMATCH(LOWER($E397),XLOOKUP(Y$1,Metadata!$A$2:$A1000,Metadata!$B$2:$B1000))),Y$1,"""")"),"")</f>
        <v/>
      </c>
      <c r="Z397" s="33" t="str">
        <f>IFERROR(__xludf.DUMMYFUNCTION("IF(IF(Z$1="""","""",REGEXMATCH(LOWER($E397),XLOOKUP(Z$1,Metadata!$A$2:$A1000,Metadata!$B$2:$B1000))),Z$1,"""")"),"")</f>
        <v/>
      </c>
      <c r="AA397" s="33" t="str">
        <f>IFERROR(__xludf.DUMMYFUNCTION("IF(AA$1="""","""",REGEXMATCH(LOWER($E397),XLOOKUP(AA$1,Metadata!$A$2:$A1000,Metadata!$B$2:$B1000)))"),"")</f>
        <v/>
      </c>
    </row>
    <row r="398">
      <c r="A398" s="33" t="str">
        <f>IFERROR(__xludf.DUMMYFUNCTION("""COMPUTED_VALUE"""),"Nethersilk Moth")</f>
        <v>Nethersilk Moth</v>
      </c>
      <c r="B398" s="33" t="str">
        <f t="array" ref="B398:I398">XLOOKUP($A398,Cards!$A$2:$A1000,Cards!$B$2:$I1000,"")</f>
        <v>Void</v>
      </c>
      <c r="C398" s="33">
        <v>1.0</v>
      </c>
      <c r="D398" s="33" t="s">
        <v>1641</v>
      </c>
      <c r="E398" s="33" t="s">
        <v>2020</v>
      </c>
      <c r="F398" s="33" t="s">
        <v>2021</v>
      </c>
      <c r="G398" s="33">
        <v>1.0</v>
      </c>
      <c r="H398" s="33" t="s">
        <v>1688</v>
      </c>
      <c r="I398" s="33" t="s">
        <v>26</v>
      </c>
      <c r="J398" s="33">
        <f>IFERROR(__xludf.DUMMYFUNCTION("LEN(REGEXREPLACE(XLOOKUP($A398,Cards!$A$2:$A1000,Cards!$H$2:$H1000,""""),"",\s"",""""))"),2.0)</f>
        <v>2</v>
      </c>
      <c r="K398" s="33" t="str">
        <f t="shared" si="1"/>
        <v>    Void           </v>
      </c>
      <c r="L398" s="33" t="str">
        <f>IFERROR(__xludf.DUMMYFUNCTION("IF(IF(L$1="""","""",REGEXMATCH(LOWER($E398),XLOOKUP(L$1,Metadata!$A$2:$A1000,Metadata!$B$2:$B1000))),L$1,"""")"),"")</f>
        <v/>
      </c>
      <c r="M398" s="33" t="str">
        <f>IFERROR(__xludf.DUMMYFUNCTION("IF(IF(M$1="""","""",REGEXMATCH(LOWER($E398),XLOOKUP(M$1,Metadata!$A$2:$A1000,Metadata!$B$2:$B1000))),M$1,"""")"),"")</f>
        <v/>
      </c>
      <c r="N398" s="33" t="str">
        <f>IFERROR(__xludf.DUMMYFUNCTION("IF(IF(N$1="""","""",REGEXMATCH(LOWER($E398),XLOOKUP(N$1,Metadata!$A$2:$A1000,Metadata!$B$2:$B1000))),N$1,"""")"),"")</f>
        <v/>
      </c>
      <c r="O398" s="33" t="str">
        <f>IFERROR(__xludf.DUMMYFUNCTION("IF(IF(O$1="""","""",REGEXMATCH(LOWER($E398),XLOOKUP(O$1,Metadata!$A$2:$A1000,Metadata!$B$2:$B1000))),O$1,"""")"),"")</f>
        <v/>
      </c>
      <c r="P398" s="33" t="str">
        <f>IFERROR(__xludf.DUMMYFUNCTION("IF(IF(P$1="""","""",REGEXMATCH(LOWER($E398),XLOOKUP(P$1,Metadata!$A$2:$A1000,Metadata!$B$2:$B1000))),P$1,"""")"),"Void")</f>
        <v>Void</v>
      </c>
      <c r="Q398" s="33" t="str">
        <f>IFERROR(__xludf.DUMMYFUNCTION("IF(IF(Q$1="""","""",REGEXMATCH(LOWER($E398),XLOOKUP(Q$1,Metadata!$A$2:$A1000,Metadata!$B$2:$B1000))),Q$1,"""")"),"")</f>
        <v/>
      </c>
      <c r="R398" s="33" t="str">
        <f>IFERROR(__xludf.DUMMYFUNCTION("IF(IF(R$1="""","""",REGEXMATCH(LOWER($E398),XLOOKUP(R$1,Metadata!$A$2:$A1000,Metadata!$B$2:$B1000))),R$1,"""")"),"")</f>
        <v/>
      </c>
      <c r="S398" s="33" t="str">
        <f>IFERROR(__xludf.DUMMYFUNCTION("IF(IF(S$1="""","""",REGEXMATCH(LOWER($E398),XLOOKUP(S$1,Metadata!$A$2:$A1000,Metadata!$B$2:$B1000))),S$1,"""")"),"")</f>
        <v/>
      </c>
      <c r="T398" s="33" t="str">
        <f>IFERROR(__xludf.DUMMYFUNCTION("IF(IF(T$1="""","""",REGEXMATCH(LOWER($E398),XLOOKUP(T$1,Metadata!$A$2:$A1000,Metadata!$B$2:$B1000))),T$1,"""")"),"")</f>
        <v/>
      </c>
      <c r="U398" s="33" t="str">
        <f>IFERROR(__xludf.DUMMYFUNCTION("IF(IF(U$1="""","""",REGEXMATCH(LOWER($E398),XLOOKUP(U$1,Metadata!$A$2:$A1000,Metadata!$B$2:$B1000))),U$1,"""")"),"")</f>
        <v/>
      </c>
      <c r="V398" s="33" t="str">
        <f>IFERROR(__xludf.DUMMYFUNCTION("IF(IF(V$1="""","""",REGEXMATCH(LOWER($E398),XLOOKUP(V$1,Metadata!$A$2:$A1000,Metadata!$B$2:$B1000))),V$1,"""")"),"")</f>
        <v/>
      </c>
      <c r="W398" s="33" t="str">
        <f>IFERROR(__xludf.DUMMYFUNCTION("IF(IF(W$1="""","""",REGEXMATCH(LOWER($E398),XLOOKUP(W$1,Metadata!$A$2:$A1000,Metadata!$B$2:$B1000))),W$1,"""")"),"")</f>
        <v/>
      </c>
      <c r="X398" s="33" t="str">
        <f>IFERROR(__xludf.DUMMYFUNCTION("IF(IF(X$1="""","""",REGEXMATCH(LOWER($E398),XLOOKUP(X$1,Metadata!$A$2:$A1000,Metadata!$B$2:$B1000))),X$1,"""")"),"")</f>
        <v/>
      </c>
      <c r="Y398" s="33" t="str">
        <f>IFERROR(__xludf.DUMMYFUNCTION("IF(IF(Y$1="""","""",REGEXMATCH(LOWER($E398),XLOOKUP(Y$1,Metadata!$A$2:$A1000,Metadata!$B$2:$B1000))),Y$1,"""")"),"")</f>
        <v/>
      </c>
      <c r="Z398" s="33" t="str">
        <f>IFERROR(__xludf.DUMMYFUNCTION("IF(IF(Z$1="""","""",REGEXMATCH(LOWER($E398),XLOOKUP(Z$1,Metadata!$A$2:$A1000,Metadata!$B$2:$B1000))),Z$1,"""")"),"")</f>
        <v/>
      </c>
      <c r="AA398" s="33" t="str">
        <f>IFERROR(__xludf.DUMMYFUNCTION("IF(AA$1="""","""",REGEXMATCH(LOWER($E398),XLOOKUP(AA$1,Metadata!$A$2:$A1000,Metadata!$B$2:$B1000)))"),"")</f>
        <v/>
      </c>
    </row>
    <row r="399">
      <c r="A399" s="33" t="str">
        <f>IFERROR(__xludf.DUMMYFUNCTION("""COMPUTED_VALUE"""),"Nightmare Penguin")</f>
        <v>Nightmare Penguin</v>
      </c>
      <c r="B399" s="33" t="str">
        <f t="array" ref="B399:I399">XLOOKUP($A399,Cards!$A$2:$A1000,Cards!$B$2:$I1000,"")</f>
        <v>Void</v>
      </c>
      <c r="C399" s="33">
        <v>1.0</v>
      </c>
      <c r="D399" s="33" t="s">
        <v>927</v>
      </c>
      <c r="E399" s="33" t="s">
        <v>584</v>
      </c>
      <c r="F399" s="33" t="s">
        <v>2023</v>
      </c>
      <c r="G399" s="33">
        <v>3.0</v>
      </c>
      <c r="H399" s="33" t="s">
        <v>1684</v>
      </c>
      <c r="I399" s="33" t="s">
        <v>26</v>
      </c>
      <c r="J399" s="33">
        <f>IFERROR(__xludf.DUMMYFUNCTION("LEN(REGEXREPLACE(XLOOKUP($A399,Cards!$A$2:$A1000,Cards!$H$2:$H1000,""""),"",\s"",""""))"),3.0)</f>
        <v>3</v>
      </c>
      <c r="K399" s="33" t="str">
        <f t="shared" si="1"/>
        <v>               </v>
      </c>
      <c r="L399" s="33" t="str">
        <f>IFERROR(__xludf.DUMMYFUNCTION("IF(IF(L$1="""","""",REGEXMATCH(LOWER($E399),XLOOKUP(L$1,Metadata!$A$2:$A1000,Metadata!$B$2:$B1000))),L$1,"""")"),"")</f>
        <v/>
      </c>
      <c r="M399" s="33" t="str">
        <f>IFERROR(__xludf.DUMMYFUNCTION("IF(IF(M$1="""","""",REGEXMATCH(LOWER($E399),XLOOKUP(M$1,Metadata!$A$2:$A1000,Metadata!$B$2:$B1000))),M$1,"""")"),"")</f>
        <v/>
      </c>
      <c r="N399" s="33" t="str">
        <f>IFERROR(__xludf.DUMMYFUNCTION("IF(IF(N$1="""","""",REGEXMATCH(LOWER($E399),XLOOKUP(N$1,Metadata!$A$2:$A1000,Metadata!$B$2:$B1000))),N$1,"""")"),"")</f>
        <v/>
      </c>
      <c r="O399" s="33" t="str">
        <f>IFERROR(__xludf.DUMMYFUNCTION("IF(IF(O$1="""","""",REGEXMATCH(LOWER($E399),XLOOKUP(O$1,Metadata!$A$2:$A1000,Metadata!$B$2:$B1000))),O$1,"""")"),"")</f>
        <v/>
      </c>
      <c r="P399" s="33" t="str">
        <f>IFERROR(__xludf.DUMMYFUNCTION("IF(IF(P$1="""","""",REGEXMATCH(LOWER($E399),XLOOKUP(P$1,Metadata!$A$2:$A1000,Metadata!$B$2:$B1000))),P$1,"""")"),"")</f>
        <v/>
      </c>
      <c r="Q399" s="33" t="str">
        <f>IFERROR(__xludf.DUMMYFUNCTION("IF(IF(Q$1="""","""",REGEXMATCH(LOWER($E399),XLOOKUP(Q$1,Metadata!$A$2:$A1000,Metadata!$B$2:$B1000))),Q$1,"""")"),"")</f>
        <v/>
      </c>
      <c r="R399" s="33" t="str">
        <f>IFERROR(__xludf.DUMMYFUNCTION("IF(IF(R$1="""","""",REGEXMATCH(LOWER($E399),XLOOKUP(R$1,Metadata!$A$2:$A1000,Metadata!$B$2:$B1000))),R$1,"""")"),"")</f>
        <v/>
      </c>
      <c r="S399" s="33" t="str">
        <f>IFERROR(__xludf.DUMMYFUNCTION("IF(IF(S$1="""","""",REGEXMATCH(LOWER($E399),XLOOKUP(S$1,Metadata!$A$2:$A1000,Metadata!$B$2:$B1000))),S$1,"""")"),"")</f>
        <v/>
      </c>
      <c r="T399" s="33" t="str">
        <f>IFERROR(__xludf.DUMMYFUNCTION("IF(IF(T$1="""","""",REGEXMATCH(LOWER($E399),XLOOKUP(T$1,Metadata!$A$2:$A1000,Metadata!$B$2:$B1000))),T$1,"""")"),"")</f>
        <v/>
      </c>
      <c r="U399" s="33" t="str">
        <f>IFERROR(__xludf.DUMMYFUNCTION("IF(IF(U$1="""","""",REGEXMATCH(LOWER($E399),XLOOKUP(U$1,Metadata!$A$2:$A1000,Metadata!$B$2:$B1000))),U$1,"""")"),"")</f>
        <v/>
      </c>
      <c r="V399" s="33" t="str">
        <f>IFERROR(__xludf.DUMMYFUNCTION("IF(IF(V$1="""","""",REGEXMATCH(LOWER($E399),XLOOKUP(V$1,Metadata!$A$2:$A1000,Metadata!$B$2:$B1000))),V$1,"""")"),"")</f>
        <v/>
      </c>
      <c r="W399" s="33" t="str">
        <f>IFERROR(__xludf.DUMMYFUNCTION("IF(IF(W$1="""","""",REGEXMATCH(LOWER($E399),XLOOKUP(W$1,Metadata!$A$2:$A1000,Metadata!$B$2:$B1000))),W$1,"""")"),"")</f>
        <v/>
      </c>
      <c r="X399" s="33" t="str">
        <f>IFERROR(__xludf.DUMMYFUNCTION("IF(IF(X$1="""","""",REGEXMATCH(LOWER($E399),XLOOKUP(X$1,Metadata!$A$2:$A1000,Metadata!$B$2:$B1000))),X$1,"""")"),"")</f>
        <v/>
      </c>
      <c r="Y399" s="33" t="str">
        <f>IFERROR(__xludf.DUMMYFUNCTION("IF(IF(Y$1="""","""",REGEXMATCH(LOWER($E399),XLOOKUP(Y$1,Metadata!$A$2:$A1000,Metadata!$B$2:$B1000))),Y$1,"""")"),"")</f>
        <v/>
      </c>
      <c r="Z399" s="33" t="str">
        <f>IFERROR(__xludf.DUMMYFUNCTION("IF(IF(Z$1="""","""",REGEXMATCH(LOWER($E399),XLOOKUP(Z$1,Metadata!$A$2:$A1000,Metadata!$B$2:$B1000))),Z$1,"""")"),"")</f>
        <v/>
      </c>
      <c r="AA399" s="33" t="str">
        <f>IFERROR(__xludf.DUMMYFUNCTION("IF(AA$1="""","""",REGEXMATCH(LOWER($E399),XLOOKUP(AA$1,Metadata!$A$2:$A1000,Metadata!$B$2:$B1000)))"),"")</f>
        <v/>
      </c>
    </row>
    <row r="400">
      <c r="A400" s="33" t="str">
        <f>IFERROR(__xludf.DUMMYFUNCTION("""COMPUTED_VALUE"""),"Possessed Vermin Brood")</f>
        <v>Possessed Vermin Brood</v>
      </c>
      <c r="B400" s="33" t="str">
        <f t="array" ref="B400:I400">XLOOKUP($A400,Cards!$A$2:$A1000,Cards!$B$2:$I1000,"")</f>
        <v>Void</v>
      </c>
      <c r="C400" s="33">
        <v>1.0</v>
      </c>
      <c r="D400" s="33" t="s">
        <v>927</v>
      </c>
      <c r="E400" s="33" t="s">
        <v>2025</v>
      </c>
      <c r="F400" s="33" t="s">
        <v>2026</v>
      </c>
      <c r="G400" s="33">
        <v>4.0</v>
      </c>
      <c r="H400" s="33" t="s">
        <v>1734</v>
      </c>
      <c r="I400" s="33" t="s">
        <v>26</v>
      </c>
      <c r="J400" s="33">
        <f>IFERROR(__xludf.DUMMYFUNCTION("LEN(REGEXREPLACE(XLOOKUP($A400,Cards!$A$2:$A1000,Cards!$H$2:$H1000,""""),"",\s"",""""))"),4.0)</f>
        <v>4</v>
      </c>
      <c r="K400" s="33" t="str">
        <f t="shared" si="1"/>
        <v>     Unearth       Ambush   </v>
      </c>
      <c r="L400" s="33" t="str">
        <f>IFERROR(__xludf.DUMMYFUNCTION("IF(IF(L$1="""","""",REGEXMATCH(LOWER($E400),XLOOKUP(L$1,Metadata!$A$2:$A1000,Metadata!$B$2:$B1000))),L$1,"""")"),"")</f>
        <v/>
      </c>
      <c r="M400" s="33" t="str">
        <f>IFERROR(__xludf.DUMMYFUNCTION("IF(IF(M$1="""","""",REGEXMATCH(LOWER($E400),XLOOKUP(M$1,Metadata!$A$2:$A1000,Metadata!$B$2:$B1000))),M$1,"""")"),"")</f>
        <v/>
      </c>
      <c r="N400" s="33" t="str">
        <f>IFERROR(__xludf.DUMMYFUNCTION("IF(IF(N$1="""","""",REGEXMATCH(LOWER($E400),XLOOKUP(N$1,Metadata!$A$2:$A1000,Metadata!$B$2:$B1000))),N$1,"""")"),"")</f>
        <v/>
      </c>
      <c r="O400" s="33" t="str">
        <f>IFERROR(__xludf.DUMMYFUNCTION("IF(IF(O$1="""","""",REGEXMATCH(LOWER($E400),XLOOKUP(O$1,Metadata!$A$2:$A1000,Metadata!$B$2:$B1000))),O$1,"""")"),"")</f>
        <v/>
      </c>
      <c r="P400" s="33" t="str">
        <f>IFERROR(__xludf.DUMMYFUNCTION("IF(IF(P$1="""","""",REGEXMATCH(LOWER($E400),XLOOKUP(P$1,Metadata!$A$2:$A1000,Metadata!$B$2:$B1000))),P$1,"""")"),"")</f>
        <v/>
      </c>
      <c r="Q400" s="33" t="str">
        <f>IFERROR(__xludf.DUMMYFUNCTION("IF(IF(Q$1="""","""",REGEXMATCH(LOWER($E400),XLOOKUP(Q$1,Metadata!$A$2:$A1000,Metadata!$B$2:$B1000))),Q$1,"""")"),"Unearth")</f>
        <v>Unearth</v>
      </c>
      <c r="R400" s="33" t="str">
        <f>IFERROR(__xludf.DUMMYFUNCTION("IF(IF(R$1="""","""",REGEXMATCH(LOWER($E400),XLOOKUP(R$1,Metadata!$A$2:$A1000,Metadata!$B$2:$B1000))),R$1,"""")"),"")</f>
        <v/>
      </c>
      <c r="S400" s="33" t="str">
        <f>IFERROR(__xludf.DUMMYFUNCTION("IF(IF(S$1="""","""",REGEXMATCH(LOWER($E400),XLOOKUP(S$1,Metadata!$A$2:$A1000,Metadata!$B$2:$B1000))),S$1,"""")"),"")</f>
        <v/>
      </c>
      <c r="T400" s="33" t="str">
        <f>IFERROR(__xludf.DUMMYFUNCTION("IF(IF(T$1="""","""",REGEXMATCH(LOWER($E400),XLOOKUP(T$1,Metadata!$A$2:$A1000,Metadata!$B$2:$B1000))),T$1,"""")"),"")</f>
        <v/>
      </c>
      <c r="U400" s="33" t="str">
        <f>IFERROR(__xludf.DUMMYFUNCTION("IF(IF(U$1="""","""",REGEXMATCH(LOWER($E400),XLOOKUP(U$1,Metadata!$A$2:$A1000,Metadata!$B$2:$B1000))),U$1,"""")"),"")</f>
        <v/>
      </c>
      <c r="V400" s="33" t="str">
        <f>IFERROR(__xludf.DUMMYFUNCTION("IF(IF(V$1="""","""",REGEXMATCH(LOWER($E400),XLOOKUP(V$1,Metadata!$A$2:$A1000,Metadata!$B$2:$B1000))),V$1,"""")"),"")</f>
        <v/>
      </c>
      <c r="W400" s="33" t="str">
        <f>IFERROR(__xludf.DUMMYFUNCTION("IF(IF(W$1="""","""",REGEXMATCH(LOWER($E400),XLOOKUP(W$1,Metadata!$A$2:$A1000,Metadata!$B$2:$B1000))),W$1,"""")"),"")</f>
        <v/>
      </c>
      <c r="X400" s="33" t="str">
        <f>IFERROR(__xludf.DUMMYFUNCTION("IF(IF(X$1="""","""",REGEXMATCH(LOWER($E400),XLOOKUP(X$1,Metadata!$A$2:$A1000,Metadata!$B$2:$B1000))),X$1,"""")"),"Ambush")</f>
        <v>Ambush</v>
      </c>
      <c r="Y400" s="33" t="str">
        <f>IFERROR(__xludf.DUMMYFUNCTION("IF(IF(Y$1="""","""",REGEXMATCH(LOWER($E400),XLOOKUP(Y$1,Metadata!$A$2:$A1000,Metadata!$B$2:$B1000))),Y$1,"""")"),"")</f>
        <v/>
      </c>
      <c r="Z400" s="33" t="str">
        <f>IFERROR(__xludf.DUMMYFUNCTION("IF(IF(Z$1="""","""",REGEXMATCH(LOWER($E400),XLOOKUP(Z$1,Metadata!$A$2:$A1000,Metadata!$B$2:$B1000))),Z$1,"""")"),"")</f>
        <v/>
      </c>
      <c r="AA400" s="33" t="str">
        <f>IFERROR(__xludf.DUMMYFUNCTION("IF(AA$1="""","""",REGEXMATCH(LOWER($E400),XLOOKUP(AA$1,Metadata!$A$2:$A1000,Metadata!$B$2:$B1000)))"),"")</f>
        <v/>
      </c>
    </row>
    <row r="401">
      <c r="A401" s="33" t="str">
        <f>IFERROR(__xludf.DUMMYFUNCTION("""COMPUTED_VALUE"""),"Shadowsting Scorpion")</f>
        <v>Shadowsting Scorpion</v>
      </c>
      <c r="B401" s="33" t="str">
        <f t="array" ref="B401:I401">XLOOKUP($A401,Cards!$A$2:$A1000,Cards!$B$2:$I1000,"")</f>
        <v>Void</v>
      </c>
      <c r="C401" s="33">
        <v>1.0</v>
      </c>
      <c r="D401" s="33" t="s">
        <v>1671</v>
      </c>
      <c r="E401" s="33" t="s">
        <v>2028</v>
      </c>
      <c r="F401" s="33" t="s">
        <v>2029</v>
      </c>
      <c r="G401" s="33">
        <v>4.0</v>
      </c>
      <c r="H401" s="33" t="s">
        <v>1734</v>
      </c>
      <c r="I401" s="33" t="s">
        <v>26</v>
      </c>
      <c r="J401" s="33">
        <f>IFERROR(__xludf.DUMMYFUNCTION("LEN(REGEXREPLACE(XLOOKUP($A401,Cards!$A$2:$A1000,Cards!$H$2:$H1000,""""),"",\s"",""""))"),4.0)</f>
        <v>4</v>
      </c>
      <c r="K401" s="33" t="str">
        <f t="shared" si="1"/>
        <v>     Unearth       Ambush   </v>
      </c>
      <c r="L401" s="33" t="str">
        <f>IFERROR(__xludf.DUMMYFUNCTION("IF(IF(L$1="""","""",REGEXMATCH(LOWER($E401),XLOOKUP(L$1,Metadata!$A$2:$A1000,Metadata!$B$2:$B1000))),L$1,"""")"),"")</f>
        <v/>
      </c>
      <c r="M401" s="33" t="str">
        <f>IFERROR(__xludf.DUMMYFUNCTION("IF(IF(M$1="""","""",REGEXMATCH(LOWER($E401),XLOOKUP(M$1,Metadata!$A$2:$A1000,Metadata!$B$2:$B1000))),M$1,"""")"),"")</f>
        <v/>
      </c>
      <c r="N401" s="33" t="str">
        <f>IFERROR(__xludf.DUMMYFUNCTION("IF(IF(N$1="""","""",REGEXMATCH(LOWER($E401),XLOOKUP(N$1,Metadata!$A$2:$A1000,Metadata!$B$2:$B1000))),N$1,"""")"),"")</f>
        <v/>
      </c>
      <c r="O401" s="33" t="str">
        <f>IFERROR(__xludf.DUMMYFUNCTION("IF(IF(O$1="""","""",REGEXMATCH(LOWER($E401),XLOOKUP(O$1,Metadata!$A$2:$A1000,Metadata!$B$2:$B1000))),O$1,"""")"),"")</f>
        <v/>
      </c>
      <c r="P401" s="33" t="str">
        <f>IFERROR(__xludf.DUMMYFUNCTION("IF(IF(P$1="""","""",REGEXMATCH(LOWER($E401),XLOOKUP(P$1,Metadata!$A$2:$A1000,Metadata!$B$2:$B1000))),P$1,"""")"),"")</f>
        <v/>
      </c>
      <c r="Q401" s="33" t="str">
        <f>IFERROR(__xludf.DUMMYFUNCTION("IF(IF(Q$1="""","""",REGEXMATCH(LOWER($E401),XLOOKUP(Q$1,Metadata!$A$2:$A1000,Metadata!$B$2:$B1000))),Q$1,"""")"),"Unearth")</f>
        <v>Unearth</v>
      </c>
      <c r="R401" s="33" t="str">
        <f>IFERROR(__xludf.DUMMYFUNCTION("IF(IF(R$1="""","""",REGEXMATCH(LOWER($E401),XLOOKUP(R$1,Metadata!$A$2:$A1000,Metadata!$B$2:$B1000))),R$1,"""")"),"")</f>
        <v/>
      </c>
      <c r="S401" s="33" t="str">
        <f>IFERROR(__xludf.DUMMYFUNCTION("IF(IF(S$1="""","""",REGEXMATCH(LOWER($E401),XLOOKUP(S$1,Metadata!$A$2:$A1000,Metadata!$B$2:$B1000))),S$1,"""")"),"")</f>
        <v/>
      </c>
      <c r="T401" s="33" t="str">
        <f>IFERROR(__xludf.DUMMYFUNCTION("IF(IF(T$1="""","""",REGEXMATCH(LOWER($E401),XLOOKUP(T$1,Metadata!$A$2:$A1000,Metadata!$B$2:$B1000))),T$1,"""")"),"")</f>
        <v/>
      </c>
      <c r="U401" s="33" t="str">
        <f>IFERROR(__xludf.DUMMYFUNCTION("IF(IF(U$1="""","""",REGEXMATCH(LOWER($E401),XLOOKUP(U$1,Metadata!$A$2:$A1000,Metadata!$B$2:$B1000))),U$1,"""")"),"")</f>
        <v/>
      </c>
      <c r="V401" s="33" t="str">
        <f>IFERROR(__xludf.DUMMYFUNCTION("IF(IF(V$1="""","""",REGEXMATCH(LOWER($E401),XLOOKUP(V$1,Metadata!$A$2:$A1000,Metadata!$B$2:$B1000))),V$1,"""")"),"")</f>
        <v/>
      </c>
      <c r="W401" s="33" t="str">
        <f>IFERROR(__xludf.DUMMYFUNCTION("IF(IF(W$1="""","""",REGEXMATCH(LOWER($E401),XLOOKUP(W$1,Metadata!$A$2:$A1000,Metadata!$B$2:$B1000))),W$1,"""")"),"")</f>
        <v/>
      </c>
      <c r="X401" s="33" t="str">
        <f>IFERROR(__xludf.DUMMYFUNCTION("IF(IF(X$1="""","""",REGEXMATCH(LOWER($E401),XLOOKUP(X$1,Metadata!$A$2:$A1000,Metadata!$B$2:$B1000))),X$1,"""")"),"Ambush")</f>
        <v>Ambush</v>
      </c>
      <c r="Y401" s="33" t="str">
        <f>IFERROR(__xludf.DUMMYFUNCTION("IF(IF(Y$1="""","""",REGEXMATCH(LOWER($E401),XLOOKUP(Y$1,Metadata!$A$2:$A1000,Metadata!$B$2:$B1000))),Y$1,"""")"),"")</f>
        <v/>
      </c>
      <c r="Z401" s="33" t="str">
        <f>IFERROR(__xludf.DUMMYFUNCTION("IF(IF(Z$1="""","""",REGEXMATCH(LOWER($E401),XLOOKUP(Z$1,Metadata!$A$2:$A1000,Metadata!$B$2:$B1000))),Z$1,"""")"),"")</f>
        <v/>
      </c>
      <c r="AA401" s="33" t="str">
        <f>IFERROR(__xludf.DUMMYFUNCTION("IF(AA$1="""","""",REGEXMATCH(LOWER($E401),XLOOKUP(AA$1,Metadata!$A$2:$A1000,Metadata!$B$2:$B1000)))"),"")</f>
        <v/>
      </c>
    </row>
    <row r="402">
      <c r="A402" s="33" t="str">
        <f>IFERROR(__xludf.DUMMYFUNCTION("""COMPUTED_VALUE"""),"Shiverskull")</f>
        <v>Shiverskull</v>
      </c>
      <c r="B402" s="33" t="str">
        <f t="array" ref="B402:I402">XLOOKUP($A402,Cards!$A$2:$A1000,Cards!$B$2:$I1000,"")</f>
        <v>Void</v>
      </c>
      <c r="C402" s="33">
        <v>1.0</v>
      </c>
      <c r="D402" s="33" t="s">
        <v>180</v>
      </c>
      <c r="E402" s="33" t="s">
        <v>2031</v>
      </c>
      <c r="F402" s="33" t="s">
        <v>2032</v>
      </c>
      <c r="G402" s="33">
        <v>5.0</v>
      </c>
      <c r="H402" s="33" t="s">
        <v>1674</v>
      </c>
      <c r="I402" s="33" t="s">
        <v>62</v>
      </c>
      <c r="J402" s="33">
        <f>IFERROR(__xludf.DUMMYFUNCTION("LEN(REGEXREPLACE(XLOOKUP($A402,Cards!$A$2:$A1000,Cards!$H$2:$H1000,""""),"",\s"",""""))"),5.0)</f>
        <v>5</v>
      </c>
      <c r="K402" s="33" t="str">
        <f t="shared" si="1"/>
        <v>    Void           </v>
      </c>
      <c r="L402" s="33" t="str">
        <f>IFERROR(__xludf.DUMMYFUNCTION("IF(IF(L$1="""","""",REGEXMATCH(LOWER($E402),XLOOKUP(L$1,Metadata!$A$2:$A1000,Metadata!$B$2:$B1000))),L$1,"""")"),"")</f>
        <v/>
      </c>
      <c r="M402" s="33" t="str">
        <f>IFERROR(__xludf.DUMMYFUNCTION("IF(IF(M$1="""","""",REGEXMATCH(LOWER($E402),XLOOKUP(M$1,Metadata!$A$2:$A1000,Metadata!$B$2:$B1000))),M$1,"""")"),"")</f>
        <v/>
      </c>
      <c r="N402" s="33" t="str">
        <f>IFERROR(__xludf.DUMMYFUNCTION("IF(IF(N$1="""","""",REGEXMATCH(LOWER($E402),XLOOKUP(N$1,Metadata!$A$2:$A1000,Metadata!$B$2:$B1000))),N$1,"""")"),"")</f>
        <v/>
      </c>
      <c r="O402" s="33" t="str">
        <f>IFERROR(__xludf.DUMMYFUNCTION("IF(IF(O$1="""","""",REGEXMATCH(LOWER($E402),XLOOKUP(O$1,Metadata!$A$2:$A1000,Metadata!$B$2:$B1000))),O$1,"""")"),"")</f>
        <v/>
      </c>
      <c r="P402" s="33" t="str">
        <f>IFERROR(__xludf.DUMMYFUNCTION("IF(IF(P$1="""","""",REGEXMATCH(LOWER($E402),XLOOKUP(P$1,Metadata!$A$2:$A1000,Metadata!$B$2:$B1000))),P$1,"""")"),"Void")</f>
        <v>Void</v>
      </c>
      <c r="Q402" s="33" t="str">
        <f>IFERROR(__xludf.DUMMYFUNCTION("IF(IF(Q$1="""","""",REGEXMATCH(LOWER($E402),XLOOKUP(Q$1,Metadata!$A$2:$A1000,Metadata!$B$2:$B1000))),Q$1,"""")"),"")</f>
        <v/>
      </c>
      <c r="R402" s="33" t="str">
        <f>IFERROR(__xludf.DUMMYFUNCTION("IF(IF(R$1="""","""",REGEXMATCH(LOWER($E402),XLOOKUP(R$1,Metadata!$A$2:$A1000,Metadata!$B$2:$B1000))),R$1,"""")"),"")</f>
        <v/>
      </c>
      <c r="S402" s="33" t="str">
        <f>IFERROR(__xludf.DUMMYFUNCTION("IF(IF(S$1="""","""",REGEXMATCH(LOWER($E402),XLOOKUP(S$1,Metadata!$A$2:$A1000,Metadata!$B$2:$B1000))),S$1,"""")"),"")</f>
        <v/>
      </c>
      <c r="T402" s="33" t="str">
        <f>IFERROR(__xludf.DUMMYFUNCTION("IF(IF(T$1="""","""",REGEXMATCH(LOWER($E402),XLOOKUP(T$1,Metadata!$A$2:$A1000,Metadata!$B$2:$B1000))),T$1,"""")"),"")</f>
        <v/>
      </c>
      <c r="U402" s="33" t="str">
        <f>IFERROR(__xludf.DUMMYFUNCTION("IF(IF(U$1="""","""",REGEXMATCH(LOWER($E402),XLOOKUP(U$1,Metadata!$A$2:$A1000,Metadata!$B$2:$B1000))),U$1,"""")"),"")</f>
        <v/>
      </c>
      <c r="V402" s="33" t="str">
        <f>IFERROR(__xludf.DUMMYFUNCTION("IF(IF(V$1="""","""",REGEXMATCH(LOWER($E402),XLOOKUP(V$1,Metadata!$A$2:$A1000,Metadata!$B$2:$B1000))),V$1,"""")"),"")</f>
        <v/>
      </c>
      <c r="W402" s="33" t="str">
        <f>IFERROR(__xludf.DUMMYFUNCTION("IF(IF(W$1="""","""",REGEXMATCH(LOWER($E402),XLOOKUP(W$1,Metadata!$A$2:$A1000,Metadata!$B$2:$B1000))),W$1,"""")"),"")</f>
        <v/>
      </c>
      <c r="X402" s="33" t="str">
        <f>IFERROR(__xludf.DUMMYFUNCTION("IF(IF(X$1="""","""",REGEXMATCH(LOWER($E402),XLOOKUP(X$1,Metadata!$A$2:$A1000,Metadata!$B$2:$B1000))),X$1,"""")"),"")</f>
        <v/>
      </c>
      <c r="Y402" s="33" t="str">
        <f>IFERROR(__xludf.DUMMYFUNCTION("IF(IF(Y$1="""","""",REGEXMATCH(LOWER($E402),XLOOKUP(Y$1,Metadata!$A$2:$A1000,Metadata!$B$2:$B1000))),Y$1,"""")"),"")</f>
        <v/>
      </c>
      <c r="Z402" s="33" t="str">
        <f>IFERROR(__xludf.DUMMYFUNCTION("IF(IF(Z$1="""","""",REGEXMATCH(LOWER($E402),XLOOKUP(Z$1,Metadata!$A$2:$A1000,Metadata!$B$2:$B1000))),Z$1,"""")"),"")</f>
        <v/>
      </c>
    </row>
    <row r="403">
      <c r="A403" s="33" t="str">
        <f>IFERROR(__xludf.DUMMYFUNCTION("""COMPUTED_VALUE"""),"Skull Crow")</f>
        <v>Skull Crow</v>
      </c>
      <c r="B403" s="33" t="str">
        <f t="array" ref="B403:I403">XLOOKUP($A403,Cards!$A$2:$A1000,Cards!$B$2:$I1000,"")</f>
        <v>Void</v>
      </c>
      <c r="C403" s="33">
        <v>1.0</v>
      </c>
      <c r="D403" s="33" t="s">
        <v>107</v>
      </c>
      <c r="E403" s="33" t="s">
        <v>2035</v>
      </c>
      <c r="F403" s="33" t="s">
        <v>2036</v>
      </c>
      <c r="G403" s="33">
        <v>1.0</v>
      </c>
      <c r="H403" s="33" t="s">
        <v>1684</v>
      </c>
      <c r="I403" s="33" t="s">
        <v>62</v>
      </c>
      <c r="J403" s="33">
        <f>IFERROR(__xludf.DUMMYFUNCTION("LEN(REGEXREPLACE(XLOOKUP($A403,Cards!$A$2:$A1000,Cards!$H$2:$H1000,""""),"",\s"",""""))"),3.0)</f>
        <v>3</v>
      </c>
      <c r="K403" s="33" t="str">
        <f t="shared" si="1"/>
        <v>               </v>
      </c>
      <c r="L403" s="33" t="str">
        <f>IFERROR(__xludf.DUMMYFUNCTION("IF(IF(L$1="""","""",REGEXMATCH(LOWER($E403),XLOOKUP(L$1,Metadata!$A$2:$A1000,Metadata!$B$2:$B1000))),L$1,"""")"),"")</f>
        <v/>
      </c>
      <c r="M403" s="33" t="str">
        <f>IFERROR(__xludf.DUMMYFUNCTION("IF(IF(M$1="""","""",REGEXMATCH(LOWER($E403),XLOOKUP(M$1,Metadata!$A$2:$A1000,Metadata!$B$2:$B1000))),M$1,"""")"),"")</f>
        <v/>
      </c>
      <c r="N403" s="33" t="str">
        <f>IFERROR(__xludf.DUMMYFUNCTION("IF(IF(N$1="""","""",REGEXMATCH(LOWER($E403),XLOOKUP(N$1,Metadata!$A$2:$A1000,Metadata!$B$2:$B1000))),N$1,"""")"),"")</f>
        <v/>
      </c>
      <c r="O403" s="33" t="str">
        <f>IFERROR(__xludf.DUMMYFUNCTION("IF(IF(O$1="""","""",REGEXMATCH(LOWER($E403),XLOOKUP(O$1,Metadata!$A$2:$A1000,Metadata!$B$2:$B1000))),O$1,"""")"),"")</f>
        <v/>
      </c>
      <c r="P403" s="33" t="str">
        <f>IFERROR(__xludf.DUMMYFUNCTION("IF(IF(P$1="""","""",REGEXMATCH(LOWER($E403),XLOOKUP(P$1,Metadata!$A$2:$A1000,Metadata!$B$2:$B1000))),P$1,"""")"),"")</f>
        <v/>
      </c>
      <c r="Q403" s="33" t="str">
        <f>IFERROR(__xludf.DUMMYFUNCTION("IF(IF(Q$1="""","""",REGEXMATCH(LOWER($E403),XLOOKUP(Q$1,Metadata!$A$2:$A1000,Metadata!$B$2:$B1000))),Q$1,"""")"),"")</f>
        <v/>
      </c>
      <c r="R403" s="33" t="str">
        <f>IFERROR(__xludf.DUMMYFUNCTION("IF(IF(R$1="""","""",REGEXMATCH(LOWER($E403),XLOOKUP(R$1,Metadata!$A$2:$A1000,Metadata!$B$2:$B1000))),R$1,"""")"),"")</f>
        <v/>
      </c>
      <c r="S403" s="33" t="str">
        <f>IFERROR(__xludf.DUMMYFUNCTION("IF(IF(S$1="""","""",REGEXMATCH(LOWER($E403),XLOOKUP(S$1,Metadata!$A$2:$A1000,Metadata!$B$2:$B1000))),S$1,"""")"),"")</f>
        <v/>
      </c>
      <c r="T403" s="33" t="str">
        <f>IFERROR(__xludf.DUMMYFUNCTION("IF(IF(T$1="""","""",REGEXMATCH(LOWER($E403),XLOOKUP(T$1,Metadata!$A$2:$A1000,Metadata!$B$2:$B1000))),T$1,"""")"),"")</f>
        <v/>
      </c>
      <c r="U403" s="33" t="str">
        <f>IFERROR(__xludf.DUMMYFUNCTION("IF(IF(U$1="""","""",REGEXMATCH(LOWER($E403),XLOOKUP(U$1,Metadata!$A$2:$A1000,Metadata!$B$2:$B1000))),U$1,"""")"),"")</f>
        <v/>
      </c>
      <c r="V403" s="33" t="str">
        <f>IFERROR(__xludf.DUMMYFUNCTION("IF(IF(V$1="""","""",REGEXMATCH(LOWER($E403),XLOOKUP(V$1,Metadata!$A$2:$A1000,Metadata!$B$2:$B1000))),V$1,"""")"),"")</f>
        <v/>
      </c>
      <c r="W403" s="33" t="str">
        <f>IFERROR(__xludf.DUMMYFUNCTION("IF(IF(W$1="""","""",REGEXMATCH(LOWER($E403),XLOOKUP(W$1,Metadata!$A$2:$A1000,Metadata!$B$2:$B1000))),W$1,"""")"),"")</f>
        <v/>
      </c>
      <c r="X403" s="33" t="str">
        <f>IFERROR(__xludf.DUMMYFUNCTION("IF(IF(X$1="""","""",REGEXMATCH(LOWER($E403),XLOOKUP(X$1,Metadata!$A$2:$A1000,Metadata!$B$2:$B1000))),X$1,"""")"),"")</f>
        <v/>
      </c>
      <c r="Y403" s="33" t="str">
        <f>IFERROR(__xludf.DUMMYFUNCTION("IF(IF(Y$1="""","""",REGEXMATCH(LOWER($E403),XLOOKUP(Y$1,Metadata!$A$2:$A1000,Metadata!$B$2:$B1000))),Y$1,"""")"),"")</f>
        <v/>
      </c>
      <c r="Z403" s="33" t="str">
        <f>IFERROR(__xludf.DUMMYFUNCTION("IF(IF(Z$1="""","""",REGEXMATCH(LOWER($E403),XLOOKUP(Z$1,Metadata!$A$2:$A1000,Metadata!$B$2:$B1000))),Z$1,"""")"),"")</f>
        <v/>
      </c>
    </row>
    <row r="404">
      <c r="A404" s="33" t="str">
        <f>IFERROR(__xludf.DUMMYFUNCTION("""COMPUTED_VALUE"""),"Symbiotic Crawler")</f>
        <v>Symbiotic Crawler</v>
      </c>
      <c r="B404" s="33" t="str">
        <f t="array" ref="B404:I404">XLOOKUP($A404,Cards!$A$2:$A1000,Cards!$B$2:$I1000,"")</f>
        <v>Void</v>
      </c>
      <c r="C404" s="33">
        <v>1.0</v>
      </c>
      <c r="D404" s="33" t="s">
        <v>2038</v>
      </c>
      <c r="E404" s="33" t="s">
        <v>2039</v>
      </c>
      <c r="F404" s="33" t="s">
        <v>2040</v>
      </c>
      <c r="G404" s="33">
        <v>2.0</v>
      </c>
      <c r="H404" s="33" t="s">
        <v>1688</v>
      </c>
      <c r="I404" s="33" t="s">
        <v>26</v>
      </c>
      <c r="J404" s="33">
        <f>IFERROR(__xludf.DUMMYFUNCTION("LEN(REGEXREPLACE(XLOOKUP($A404,Cards!$A$2:$A1000,Cards!$H$2:$H1000,""""),"",\s"",""""))"),2.0)</f>
        <v>2</v>
      </c>
      <c r="K404" s="33" t="str">
        <f t="shared" si="1"/>
        <v>    Void           </v>
      </c>
      <c r="L404" s="33" t="str">
        <f>IFERROR(__xludf.DUMMYFUNCTION("IF(IF(L$1="""","""",REGEXMATCH(LOWER($E404),XLOOKUP(L$1,Metadata!$A$2:$A1000,Metadata!$B$2:$B1000))),L$1,"""")"),"")</f>
        <v/>
      </c>
      <c r="M404" s="33" t="str">
        <f>IFERROR(__xludf.DUMMYFUNCTION("IF(IF(M$1="""","""",REGEXMATCH(LOWER($E404),XLOOKUP(M$1,Metadata!$A$2:$A1000,Metadata!$B$2:$B1000))),M$1,"""")"),"")</f>
        <v/>
      </c>
      <c r="N404" s="33" t="str">
        <f>IFERROR(__xludf.DUMMYFUNCTION("IF(IF(N$1="""","""",REGEXMATCH(LOWER($E404),XLOOKUP(N$1,Metadata!$A$2:$A1000,Metadata!$B$2:$B1000))),N$1,"""")"),"")</f>
        <v/>
      </c>
      <c r="O404" s="33" t="str">
        <f>IFERROR(__xludf.DUMMYFUNCTION("IF(IF(O$1="""","""",REGEXMATCH(LOWER($E404),XLOOKUP(O$1,Metadata!$A$2:$A1000,Metadata!$B$2:$B1000))),O$1,"""")"),"")</f>
        <v/>
      </c>
      <c r="P404" s="33" t="str">
        <f>IFERROR(__xludf.DUMMYFUNCTION("IF(IF(P$1="""","""",REGEXMATCH(LOWER($E404),XLOOKUP(P$1,Metadata!$A$2:$A1000,Metadata!$B$2:$B1000))),P$1,"""")"),"Void")</f>
        <v>Void</v>
      </c>
      <c r="Q404" s="33" t="str">
        <f>IFERROR(__xludf.DUMMYFUNCTION("IF(IF(Q$1="""","""",REGEXMATCH(LOWER($E404),XLOOKUP(Q$1,Metadata!$A$2:$A1000,Metadata!$B$2:$B1000))),Q$1,"""")"),"")</f>
        <v/>
      </c>
      <c r="R404" s="33" t="str">
        <f>IFERROR(__xludf.DUMMYFUNCTION("IF(IF(R$1="""","""",REGEXMATCH(LOWER($E404),XLOOKUP(R$1,Metadata!$A$2:$A1000,Metadata!$B$2:$B1000))),R$1,"""")"),"")</f>
        <v/>
      </c>
      <c r="S404" s="33" t="str">
        <f>IFERROR(__xludf.DUMMYFUNCTION("IF(IF(S$1="""","""",REGEXMATCH(LOWER($E404),XLOOKUP(S$1,Metadata!$A$2:$A1000,Metadata!$B$2:$B1000))),S$1,"""")"),"")</f>
        <v/>
      </c>
      <c r="T404" s="33" t="str">
        <f>IFERROR(__xludf.DUMMYFUNCTION("IF(IF(T$1="""","""",REGEXMATCH(LOWER($E404),XLOOKUP(T$1,Metadata!$A$2:$A1000,Metadata!$B$2:$B1000))),T$1,"""")"),"")</f>
        <v/>
      </c>
      <c r="U404" s="33" t="str">
        <f>IFERROR(__xludf.DUMMYFUNCTION("IF(IF(U$1="""","""",REGEXMATCH(LOWER($E404),XLOOKUP(U$1,Metadata!$A$2:$A1000,Metadata!$B$2:$B1000))),U$1,"""")"),"")</f>
        <v/>
      </c>
      <c r="V404" s="33" t="str">
        <f>IFERROR(__xludf.DUMMYFUNCTION("IF(IF(V$1="""","""",REGEXMATCH(LOWER($E404),XLOOKUP(V$1,Metadata!$A$2:$A1000,Metadata!$B$2:$B1000))),V$1,"""")"),"")</f>
        <v/>
      </c>
      <c r="W404" s="33" t="str">
        <f>IFERROR(__xludf.DUMMYFUNCTION("IF(IF(W$1="""","""",REGEXMATCH(LOWER($E404),XLOOKUP(W$1,Metadata!$A$2:$A1000,Metadata!$B$2:$B1000))),W$1,"""")"),"")</f>
        <v/>
      </c>
      <c r="X404" s="33" t="str">
        <f>IFERROR(__xludf.DUMMYFUNCTION("IF(IF(X$1="""","""",REGEXMATCH(LOWER($E404),XLOOKUP(X$1,Metadata!$A$2:$A1000,Metadata!$B$2:$B1000))),X$1,"""")"),"")</f>
        <v/>
      </c>
      <c r="Y404" s="33" t="str">
        <f>IFERROR(__xludf.DUMMYFUNCTION("IF(IF(Y$1="""","""",REGEXMATCH(LOWER($E404),XLOOKUP(Y$1,Metadata!$A$2:$A1000,Metadata!$B$2:$B1000))),Y$1,"""")"),"")</f>
        <v/>
      </c>
      <c r="Z404" s="33" t="str">
        <f>IFERROR(__xludf.DUMMYFUNCTION("IF(IF(Z$1="""","""",REGEXMATCH(LOWER($E404),XLOOKUP(Z$1,Metadata!$A$2:$A1000,Metadata!$B$2:$B1000))),Z$1,"""")"),"")</f>
        <v/>
      </c>
    </row>
    <row r="405">
      <c r="A405" s="33" t="str">
        <f>IFERROR(__xludf.DUMMYFUNCTION("""COMPUTED_VALUE"""),"Nightreaper")</f>
        <v>Nightreaper</v>
      </c>
      <c r="B405" s="33" t="str">
        <f t="array" ref="B405:I405">XLOOKUP($A405,Cards!$A$2:$A1000,Cards!$B$2:$I1000,"")</f>
        <v>Void</v>
      </c>
      <c r="C405" s="33">
        <v>1.0</v>
      </c>
      <c r="D405" s="33" t="s">
        <v>599</v>
      </c>
      <c r="E405" s="33" t="s">
        <v>2042</v>
      </c>
      <c r="F405" s="33" t="s">
        <v>2043</v>
      </c>
      <c r="G405" s="33">
        <v>10.0</v>
      </c>
      <c r="H405" s="33" t="s">
        <v>1734</v>
      </c>
      <c r="I405" s="33" t="s">
        <v>32</v>
      </c>
      <c r="J405" s="33">
        <f>IFERROR(__xludf.DUMMYFUNCTION("LEN(REGEXREPLACE(XLOOKUP($A405,Cards!$A$2:$A1000,Cards!$H$2:$H1000,""""),"",\s"",""""))"),4.0)</f>
        <v>4</v>
      </c>
      <c r="K405" s="33" t="str">
        <f t="shared" si="1"/>
        <v>       Control   Empty-Crystal  Ambush   </v>
      </c>
      <c r="L405" s="33" t="str">
        <f>IFERROR(__xludf.DUMMYFUNCTION("IF(IF(L$1="""","""",REGEXMATCH(LOWER($E405),XLOOKUP(L$1,Metadata!$A$2:$A1000,Metadata!$B$2:$B1000))),L$1,"""")"),"")</f>
        <v/>
      </c>
      <c r="M405" s="33" t="str">
        <f>IFERROR(__xludf.DUMMYFUNCTION("IF(IF(M$1="""","""",REGEXMATCH(LOWER($E405),XLOOKUP(M$1,Metadata!$A$2:$A1000,Metadata!$B$2:$B1000))),M$1,"""")"),"")</f>
        <v/>
      </c>
      <c r="N405" s="33" t="str">
        <f>IFERROR(__xludf.DUMMYFUNCTION("IF(IF(N$1="""","""",REGEXMATCH(LOWER($E405),XLOOKUP(N$1,Metadata!$A$2:$A1000,Metadata!$B$2:$B1000))),N$1,"""")"),"")</f>
        <v/>
      </c>
      <c r="O405" s="33" t="str">
        <f>IFERROR(__xludf.DUMMYFUNCTION("IF(IF(O$1="""","""",REGEXMATCH(LOWER($E405),XLOOKUP(O$1,Metadata!$A$2:$A1000,Metadata!$B$2:$B1000))),O$1,"""")"),"")</f>
        <v/>
      </c>
      <c r="P405" s="33" t="str">
        <f>IFERROR(__xludf.DUMMYFUNCTION("IF(IF(P$1="""","""",REGEXMATCH(LOWER($E405),XLOOKUP(P$1,Metadata!$A$2:$A1000,Metadata!$B$2:$B1000))),P$1,"""")"),"")</f>
        <v/>
      </c>
      <c r="Q405" s="33" t="str">
        <f>IFERROR(__xludf.DUMMYFUNCTION("IF(IF(Q$1="""","""",REGEXMATCH(LOWER($E405),XLOOKUP(Q$1,Metadata!$A$2:$A1000,Metadata!$B$2:$B1000))),Q$1,"""")"),"")</f>
        <v/>
      </c>
      <c r="R405" s="33" t="str">
        <f>IFERROR(__xludf.DUMMYFUNCTION("IF(IF(R$1="""","""",REGEXMATCH(LOWER($E405),XLOOKUP(R$1,Metadata!$A$2:$A1000,Metadata!$B$2:$B1000))),R$1,"""")"),"")</f>
        <v/>
      </c>
      <c r="S405" s="33" t="str">
        <f>IFERROR(__xludf.DUMMYFUNCTION("IF(IF(S$1="""","""",REGEXMATCH(LOWER($E405),XLOOKUP(S$1,Metadata!$A$2:$A1000,Metadata!$B$2:$B1000))),S$1,"""")"),"Control")</f>
        <v>Control</v>
      </c>
      <c r="T405" s="33" t="str">
        <f>IFERROR(__xludf.DUMMYFUNCTION("IF(IF(T$1="""","""",REGEXMATCH(LOWER($E405),XLOOKUP(T$1,Metadata!$A$2:$A1000,Metadata!$B$2:$B1000))),T$1,"""")"),"")</f>
        <v/>
      </c>
      <c r="U405" s="33" t="str">
        <f>IFERROR(__xludf.DUMMYFUNCTION("IF(IF(U$1="""","""",REGEXMATCH(LOWER($E405),XLOOKUP(U$1,Metadata!$A$2:$A1000,Metadata!$B$2:$B1000))),U$1,"""")"),"")</f>
        <v/>
      </c>
      <c r="V405" s="33" t="str">
        <f>IFERROR(__xludf.DUMMYFUNCTION("IF(IF(V$1="""","""",REGEXMATCH(LOWER($E405),XLOOKUP(V$1,Metadata!$A$2:$A1000,Metadata!$B$2:$B1000))),V$1,"""")"),"Empty-Crystal")</f>
        <v>Empty-Crystal</v>
      </c>
      <c r="W405" s="33" t="str">
        <f>IFERROR(__xludf.DUMMYFUNCTION("IF(IF(W$1="""","""",REGEXMATCH(LOWER($E405),XLOOKUP(W$1,Metadata!$A$2:$A1000,Metadata!$B$2:$B1000))),W$1,"""")"),"")</f>
        <v/>
      </c>
      <c r="X405" s="33" t="str">
        <f>IFERROR(__xludf.DUMMYFUNCTION("IF(IF(X$1="""","""",REGEXMATCH(LOWER($E405),XLOOKUP(X$1,Metadata!$A$2:$A1000,Metadata!$B$2:$B1000))),X$1,"""")"),"Ambush")</f>
        <v>Ambush</v>
      </c>
      <c r="Y405" s="33" t="str">
        <f>IFERROR(__xludf.DUMMYFUNCTION("IF(IF(Y$1="""","""",REGEXMATCH(LOWER($E405),XLOOKUP(Y$1,Metadata!$A$2:$A1000,Metadata!$B$2:$B1000))),Y$1,"""")"),"")</f>
        <v/>
      </c>
      <c r="Z405" s="33" t="str">
        <f>IFERROR(__xludf.DUMMYFUNCTION("IF(IF(Z$1="""","""",REGEXMATCH(LOWER($E405),XLOOKUP(Z$1,Metadata!$A$2:$A1000,Metadata!$B$2:$B1000))),Z$1,"""")"),"")</f>
        <v/>
      </c>
    </row>
    <row r="406">
      <c r="A406" s="33" t="str">
        <f>IFERROR(__xludf.DUMMYFUNCTION("""COMPUTED_VALUE"""),"The Forsaken King")</f>
        <v>The Forsaken King</v>
      </c>
      <c r="B406" s="33" t="str">
        <f t="array" ref="B406:I406">XLOOKUP($A406,Cards!$A$2:$A1000,Cards!$B$2:$I1000,"")</f>
        <v>Void</v>
      </c>
      <c r="C406" s="33">
        <v>1.0</v>
      </c>
      <c r="D406" s="33" t="s">
        <v>2045</v>
      </c>
      <c r="E406" s="33" t="s">
        <v>2046</v>
      </c>
      <c r="F406" s="33" t="s">
        <v>2047</v>
      </c>
      <c r="G406" s="33">
        <v>6.0</v>
      </c>
      <c r="H406" s="33" t="s">
        <v>1728</v>
      </c>
      <c r="I406" s="33" t="s">
        <v>32</v>
      </c>
      <c r="J406" s="33">
        <f>IFERROR(__xludf.DUMMYFUNCTION("LEN(REGEXREPLACE(XLOOKUP($A406,Cards!$A$2:$A1000,Cards!$H$2:$H1000,""""),"",\s"",""""))"),6.0)</f>
        <v>6</v>
      </c>
      <c r="K406" s="33" t="str">
        <f t="shared" si="1"/>
        <v>               </v>
      </c>
      <c r="L406" s="33" t="str">
        <f>IFERROR(__xludf.DUMMYFUNCTION("IF(IF(L$1="""","""",REGEXMATCH(LOWER($E406),XLOOKUP(L$1,Metadata!$A$2:$A1000,Metadata!$B$2:$B1000))),L$1,"""")"),"")</f>
        <v/>
      </c>
      <c r="M406" s="33" t="str">
        <f>IFERROR(__xludf.DUMMYFUNCTION("IF(IF(M$1="""","""",REGEXMATCH(LOWER($E406),XLOOKUP(M$1,Metadata!$A$2:$A1000,Metadata!$B$2:$B1000))),M$1,"""")"),"")</f>
        <v/>
      </c>
      <c r="N406" s="33" t="str">
        <f>IFERROR(__xludf.DUMMYFUNCTION("IF(IF(N$1="""","""",REGEXMATCH(LOWER($E406),XLOOKUP(N$1,Metadata!$A$2:$A1000,Metadata!$B$2:$B1000))),N$1,"""")"),"")</f>
        <v/>
      </c>
      <c r="O406" s="33" t="str">
        <f>IFERROR(__xludf.DUMMYFUNCTION("IF(IF(O$1="""","""",REGEXMATCH(LOWER($E406),XLOOKUP(O$1,Metadata!$A$2:$A1000,Metadata!$B$2:$B1000))),O$1,"""")"),"")</f>
        <v/>
      </c>
      <c r="P406" s="33" t="str">
        <f>IFERROR(__xludf.DUMMYFUNCTION("IF(IF(P$1="""","""",REGEXMATCH(LOWER($E406),XLOOKUP(P$1,Metadata!$A$2:$A1000,Metadata!$B$2:$B1000))),P$1,"""")"),"")</f>
        <v/>
      </c>
      <c r="Q406" s="33" t="str">
        <f>IFERROR(__xludf.DUMMYFUNCTION("IF(IF(Q$1="""","""",REGEXMATCH(LOWER($E406),XLOOKUP(Q$1,Metadata!$A$2:$A1000,Metadata!$B$2:$B1000))),Q$1,"""")"),"")</f>
        <v/>
      </c>
      <c r="R406" s="33" t="str">
        <f>IFERROR(__xludf.DUMMYFUNCTION("IF(IF(R$1="""","""",REGEXMATCH(LOWER($E406),XLOOKUP(R$1,Metadata!$A$2:$A1000,Metadata!$B$2:$B1000))),R$1,"""")"),"")</f>
        <v/>
      </c>
      <c r="S406" s="33" t="str">
        <f>IFERROR(__xludf.DUMMYFUNCTION("IF(IF(S$1="""","""",REGEXMATCH(LOWER($E406),XLOOKUP(S$1,Metadata!$A$2:$A1000,Metadata!$B$2:$B1000))),S$1,"""")"),"")</f>
        <v/>
      </c>
      <c r="T406" s="33" t="str">
        <f>IFERROR(__xludf.DUMMYFUNCTION("IF(IF(T$1="""","""",REGEXMATCH(LOWER($E406),XLOOKUP(T$1,Metadata!$A$2:$A1000,Metadata!$B$2:$B1000))),T$1,"""")"),"")</f>
        <v/>
      </c>
      <c r="U406" s="33" t="str">
        <f>IFERROR(__xludf.DUMMYFUNCTION("IF(IF(U$1="""","""",REGEXMATCH(LOWER($E406),XLOOKUP(U$1,Metadata!$A$2:$A1000,Metadata!$B$2:$B1000))),U$1,"""")"),"")</f>
        <v/>
      </c>
      <c r="V406" s="33" t="str">
        <f>IFERROR(__xludf.DUMMYFUNCTION("IF(IF(V$1="""","""",REGEXMATCH(LOWER($E406),XLOOKUP(V$1,Metadata!$A$2:$A1000,Metadata!$B$2:$B1000))),V$1,"""")"),"")</f>
        <v/>
      </c>
      <c r="W406" s="33" t="str">
        <f>IFERROR(__xludf.DUMMYFUNCTION("IF(IF(W$1="""","""",REGEXMATCH(LOWER($E406),XLOOKUP(W$1,Metadata!$A$2:$A1000,Metadata!$B$2:$B1000))),W$1,"""")"),"")</f>
        <v/>
      </c>
      <c r="X406" s="33" t="str">
        <f>IFERROR(__xludf.DUMMYFUNCTION("IF(IF(X$1="""","""",REGEXMATCH(LOWER($E406),XLOOKUP(X$1,Metadata!$A$2:$A1000,Metadata!$B$2:$B1000))),X$1,"""")"),"")</f>
        <v/>
      </c>
      <c r="Y406" s="33" t="str">
        <f>IFERROR(__xludf.DUMMYFUNCTION("IF(IF(Y$1="""","""",REGEXMATCH(LOWER($E406),XLOOKUP(Y$1,Metadata!$A$2:$A1000,Metadata!$B$2:$B1000))),Y$1,"""")"),"")</f>
        <v/>
      </c>
      <c r="Z406" s="33" t="str">
        <f>IFERROR(__xludf.DUMMYFUNCTION("IF(IF(Z$1="""","""",REGEXMATCH(LOWER($E406),XLOOKUP(Z$1,Metadata!$A$2:$A1000,Metadata!$B$2:$B1000))),Z$1,"""")"),"")</f>
        <v/>
      </c>
    </row>
    <row r="407">
      <c r="A407" s="33" t="str">
        <f>IFERROR(__xludf.DUMMYFUNCTION("""COMPUTED_VALUE"""),"Gorgon Serpentress")</f>
        <v>Gorgon Serpentress</v>
      </c>
      <c r="B407" s="33" t="str">
        <f t="array" ref="B407:I407">XLOOKUP($A407,Cards!$A$2:$A1000,Cards!$B$2:$I1000,"")</f>
        <v>Void</v>
      </c>
      <c r="C407" s="33">
        <v>1.0</v>
      </c>
      <c r="D407" s="33" t="s">
        <v>1828</v>
      </c>
      <c r="E407" s="33" t="s">
        <v>2049</v>
      </c>
      <c r="F407" s="33"/>
      <c r="G407" s="33">
        <v>6.0</v>
      </c>
      <c r="H407" s="33" t="s">
        <v>1679</v>
      </c>
      <c r="I407" s="33" t="s">
        <v>32</v>
      </c>
      <c r="J407" s="33">
        <f>IFERROR(__xludf.DUMMYFUNCTION("LEN(REGEXREPLACE(XLOOKUP($A407,Cards!$A$2:$A1000,Cards!$H$2:$H1000,""""),"",\s"",""""))"),7.0)</f>
        <v>7</v>
      </c>
      <c r="K407" s="33" t="str">
        <f t="shared" si="1"/>
        <v>      Ramp Control   Empty-Crystal  Ambush   </v>
      </c>
      <c r="L407" s="33" t="str">
        <f>IFERROR(__xludf.DUMMYFUNCTION("IF(IF(L$1="""","""",REGEXMATCH(LOWER($E407),XLOOKUP(L$1,Metadata!$A$2:$A1000,Metadata!$B$2:$B1000))),L$1,"""")"),"")</f>
        <v/>
      </c>
      <c r="M407" s="33" t="str">
        <f>IFERROR(__xludf.DUMMYFUNCTION("IF(IF(M$1="""","""",REGEXMATCH(LOWER($E407),XLOOKUP(M$1,Metadata!$A$2:$A1000,Metadata!$B$2:$B1000))),M$1,"""")"),"")</f>
        <v/>
      </c>
      <c r="N407" s="33" t="str">
        <f>IFERROR(__xludf.DUMMYFUNCTION("IF(IF(N$1="""","""",REGEXMATCH(LOWER($E407),XLOOKUP(N$1,Metadata!$A$2:$A1000,Metadata!$B$2:$B1000))),N$1,"""")"),"")</f>
        <v/>
      </c>
      <c r="O407" s="33" t="str">
        <f>IFERROR(__xludf.DUMMYFUNCTION("IF(IF(O$1="""","""",REGEXMATCH(LOWER($E407),XLOOKUP(O$1,Metadata!$A$2:$A1000,Metadata!$B$2:$B1000))),O$1,"""")"),"")</f>
        <v/>
      </c>
      <c r="P407" s="33" t="str">
        <f>IFERROR(__xludf.DUMMYFUNCTION("IF(IF(P$1="""","""",REGEXMATCH(LOWER($E407),XLOOKUP(P$1,Metadata!$A$2:$A1000,Metadata!$B$2:$B1000))),P$1,"""")"),"")</f>
        <v/>
      </c>
      <c r="Q407" s="33" t="str">
        <f>IFERROR(__xludf.DUMMYFUNCTION("IF(IF(Q$1="""","""",REGEXMATCH(LOWER($E407),XLOOKUP(Q$1,Metadata!$A$2:$A1000,Metadata!$B$2:$B1000))),Q$1,"""")"),"")</f>
        <v/>
      </c>
      <c r="R407" s="33" t="str">
        <f>IFERROR(__xludf.DUMMYFUNCTION("IF(IF(R$1="""","""",REGEXMATCH(LOWER($E407),XLOOKUP(R$1,Metadata!$A$2:$A1000,Metadata!$B$2:$B1000))),R$1,"""")"),"Ramp")</f>
        <v>Ramp</v>
      </c>
      <c r="S407" s="33" t="str">
        <f>IFERROR(__xludf.DUMMYFUNCTION("IF(IF(S$1="""","""",REGEXMATCH(LOWER($E407),XLOOKUP(S$1,Metadata!$A$2:$A1000,Metadata!$B$2:$B1000))),S$1,"""")"),"Control")</f>
        <v>Control</v>
      </c>
      <c r="T407" s="33" t="str">
        <f>IFERROR(__xludf.DUMMYFUNCTION("IF(IF(T$1="""","""",REGEXMATCH(LOWER($E407),XLOOKUP(T$1,Metadata!$A$2:$A1000,Metadata!$B$2:$B1000))),T$1,"""")"),"")</f>
        <v/>
      </c>
      <c r="U407" s="33" t="str">
        <f>IFERROR(__xludf.DUMMYFUNCTION("IF(IF(U$1="""","""",REGEXMATCH(LOWER($E407),XLOOKUP(U$1,Metadata!$A$2:$A1000,Metadata!$B$2:$B1000))),U$1,"""")"),"")</f>
        <v/>
      </c>
      <c r="V407" s="33" t="str">
        <f>IFERROR(__xludf.DUMMYFUNCTION("IF(IF(V$1="""","""",REGEXMATCH(LOWER($E407),XLOOKUP(V$1,Metadata!$A$2:$A1000,Metadata!$B$2:$B1000))),V$1,"""")"),"Empty-Crystal")</f>
        <v>Empty-Crystal</v>
      </c>
      <c r="W407" s="33" t="str">
        <f>IFERROR(__xludf.DUMMYFUNCTION("IF(IF(W$1="""","""",REGEXMATCH(LOWER($E407),XLOOKUP(W$1,Metadata!$A$2:$A1000,Metadata!$B$2:$B1000))),W$1,"""")"),"")</f>
        <v/>
      </c>
      <c r="X407" s="33" t="str">
        <f>IFERROR(__xludf.DUMMYFUNCTION("IF(IF(X$1="""","""",REGEXMATCH(LOWER($E407),XLOOKUP(X$1,Metadata!$A$2:$A1000,Metadata!$B$2:$B1000))),X$1,"""")"),"Ambush")</f>
        <v>Ambush</v>
      </c>
      <c r="Y407" s="33" t="str">
        <f>IFERROR(__xludf.DUMMYFUNCTION("IF(IF(Y$1="""","""",REGEXMATCH(LOWER($E407),XLOOKUP(Y$1,Metadata!$A$2:$A1000,Metadata!$B$2:$B1000))),Y$1,"""")"),"")</f>
        <v/>
      </c>
      <c r="Z407" s="33" t="str">
        <f>IFERROR(__xludf.DUMMYFUNCTION("IF(IF(Z$1="""","""",REGEXMATCH(LOWER($E407),XLOOKUP(Z$1,Metadata!$A$2:$A1000,Metadata!$B$2:$B1000))),Z$1,"""")"),"")</f>
        <v/>
      </c>
    </row>
    <row r="408">
      <c r="A408" s="33" t="str">
        <f>IFERROR(__xludf.DUMMYFUNCTION("""COMPUTED_VALUE"""),"Ill-Tempered Imp")</f>
        <v>Ill-Tempered Imp</v>
      </c>
      <c r="B408" s="33" t="str">
        <f t="array" ref="B408:I408">XLOOKUP($A408,Cards!$A$2:$A1000,Cards!$B$2:$I1000,"")</f>
        <v>Void</v>
      </c>
      <c r="C408" s="33">
        <v>1.0</v>
      </c>
      <c r="D408" s="33" t="s">
        <v>1389</v>
      </c>
      <c r="E408" s="33"/>
      <c r="F408" s="33" t="s">
        <v>2051</v>
      </c>
      <c r="G408" s="33">
        <v>1.0</v>
      </c>
      <c r="H408" s="33" t="s">
        <v>1666</v>
      </c>
      <c r="I408" s="33" t="s">
        <v>26</v>
      </c>
      <c r="J408" s="33">
        <f>IFERROR(__xludf.DUMMYFUNCTION("LEN(REGEXREPLACE(XLOOKUP($A408,Cards!$A$2:$A1000,Cards!$H$2:$H1000,""""),"",\s"",""""))"),1.0)</f>
        <v>1</v>
      </c>
      <c r="K408" s="33" t="str">
        <f t="shared" si="1"/>
        <v>               </v>
      </c>
      <c r="L408" s="33" t="str">
        <f>IFERROR(__xludf.DUMMYFUNCTION("IF(IF(L$1="""","""",REGEXMATCH(LOWER($E408),XLOOKUP(L$1,Metadata!$A$2:$A1000,Metadata!$B$2:$B1000))),L$1,"""")"),"")</f>
        <v/>
      </c>
      <c r="M408" s="33" t="str">
        <f>IFERROR(__xludf.DUMMYFUNCTION("IF(IF(M$1="""","""",REGEXMATCH(LOWER($E408),XLOOKUP(M$1,Metadata!$A$2:$A1000,Metadata!$B$2:$B1000))),M$1,"""")"),"")</f>
        <v/>
      </c>
      <c r="N408" s="33" t="str">
        <f>IFERROR(__xludf.DUMMYFUNCTION("IF(IF(N$1="""","""",REGEXMATCH(LOWER($E408),XLOOKUP(N$1,Metadata!$A$2:$A1000,Metadata!$B$2:$B1000))),N$1,"""")"),"")</f>
        <v/>
      </c>
      <c r="O408" s="33" t="str">
        <f>IFERROR(__xludf.DUMMYFUNCTION("IF(IF(O$1="""","""",REGEXMATCH(LOWER($E408),XLOOKUP(O$1,Metadata!$A$2:$A1000,Metadata!$B$2:$B1000))),O$1,"""")"),"")</f>
        <v/>
      </c>
      <c r="P408" s="33" t="str">
        <f>IFERROR(__xludf.DUMMYFUNCTION("IF(IF(P$1="""","""",REGEXMATCH(LOWER($E408),XLOOKUP(P$1,Metadata!$A$2:$A1000,Metadata!$B$2:$B1000))),P$1,"""")"),"")</f>
        <v/>
      </c>
      <c r="Q408" s="33" t="str">
        <f>IFERROR(__xludf.DUMMYFUNCTION("IF(IF(Q$1="""","""",REGEXMATCH(LOWER($E408),XLOOKUP(Q$1,Metadata!$A$2:$A1000,Metadata!$B$2:$B1000))),Q$1,"""")"),"")</f>
        <v/>
      </c>
      <c r="R408" s="33" t="str">
        <f>IFERROR(__xludf.DUMMYFUNCTION("IF(IF(R$1="""","""",REGEXMATCH(LOWER($E408),XLOOKUP(R$1,Metadata!$A$2:$A1000,Metadata!$B$2:$B1000))),R$1,"""")"),"")</f>
        <v/>
      </c>
      <c r="S408" s="33" t="str">
        <f>IFERROR(__xludf.DUMMYFUNCTION("IF(IF(S$1="""","""",REGEXMATCH(LOWER($E408),XLOOKUP(S$1,Metadata!$A$2:$A1000,Metadata!$B$2:$B1000))),S$1,"""")"),"")</f>
        <v/>
      </c>
      <c r="T408" s="33" t="str">
        <f>IFERROR(__xludf.DUMMYFUNCTION("IF(IF(T$1="""","""",REGEXMATCH(LOWER($E408),XLOOKUP(T$1,Metadata!$A$2:$A1000,Metadata!$B$2:$B1000))),T$1,"""")"),"")</f>
        <v/>
      </c>
      <c r="U408" s="33" t="str">
        <f>IFERROR(__xludf.DUMMYFUNCTION("IF(IF(U$1="""","""",REGEXMATCH(LOWER($E408),XLOOKUP(U$1,Metadata!$A$2:$A1000,Metadata!$B$2:$B1000))),U$1,"""")"),"")</f>
        <v/>
      </c>
      <c r="V408" s="33" t="str">
        <f>IFERROR(__xludf.DUMMYFUNCTION("IF(IF(V$1="""","""",REGEXMATCH(LOWER($E408),XLOOKUP(V$1,Metadata!$A$2:$A1000,Metadata!$B$2:$B1000))),V$1,"""")"),"")</f>
        <v/>
      </c>
      <c r="W408" s="33" t="str">
        <f>IFERROR(__xludf.DUMMYFUNCTION("IF(IF(W$1="""","""",REGEXMATCH(LOWER($E408),XLOOKUP(W$1,Metadata!$A$2:$A1000,Metadata!$B$2:$B1000))),W$1,"""")"),"")</f>
        <v/>
      </c>
      <c r="X408" s="33" t="str">
        <f>IFERROR(__xludf.DUMMYFUNCTION("IF(IF(X$1="""","""",REGEXMATCH(LOWER($E408),XLOOKUP(X$1,Metadata!$A$2:$A1000,Metadata!$B$2:$B1000))),X$1,"""")"),"")</f>
        <v/>
      </c>
      <c r="Y408" s="33" t="str">
        <f>IFERROR(__xludf.DUMMYFUNCTION("IF(IF(Y$1="""","""",REGEXMATCH(LOWER($E408),XLOOKUP(Y$1,Metadata!$A$2:$A1000,Metadata!$B$2:$B1000))),Y$1,"""")"),"")</f>
        <v/>
      </c>
      <c r="Z408" s="33" t="str">
        <f>IFERROR(__xludf.DUMMYFUNCTION("IF(IF(Z$1="""","""",REGEXMATCH(LOWER($E408),XLOOKUP(Z$1,Metadata!$A$2:$A1000,Metadata!$B$2:$B1000))),Z$1,"""")"),"")</f>
        <v/>
      </c>
    </row>
    <row r="409">
      <c r="A409" s="33" t="str">
        <f>IFERROR(__xludf.DUMMYFUNCTION("""COMPUTED_VALUE"""),"Nightbloom Owl")</f>
        <v>Nightbloom Owl</v>
      </c>
      <c r="B409" s="33" t="str">
        <f t="array" ref="B409:I409">XLOOKUP($A409,Cards!$A$2:$A1000,Cards!$B$2:$I1000,"")</f>
        <v>Void</v>
      </c>
      <c r="C409" s="33">
        <v>1.0</v>
      </c>
      <c r="D409" s="33" t="s">
        <v>1464</v>
      </c>
      <c r="E409" s="33"/>
      <c r="F409" s="33"/>
      <c r="G409" s="33">
        <v>2.0</v>
      </c>
      <c r="H409" s="33" t="s">
        <v>1688</v>
      </c>
      <c r="I409" s="33" t="s">
        <v>26</v>
      </c>
      <c r="J409" s="33">
        <f>IFERROR(__xludf.DUMMYFUNCTION("LEN(REGEXREPLACE(XLOOKUP($A409,Cards!$A$2:$A1000,Cards!$H$2:$H1000,""""),"",\s"",""""))"),2.0)</f>
        <v>2</v>
      </c>
      <c r="K409" s="33" t="str">
        <f t="shared" si="1"/>
        <v>               </v>
      </c>
      <c r="L409" s="33" t="str">
        <f>IFERROR(__xludf.DUMMYFUNCTION("IF(IF(L$1="""","""",REGEXMATCH(LOWER($E409),XLOOKUP(L$1,Metadata!$A$2:$A1000,Metadata!$B$2:$B1000))),L$1,"""")"),"")</f>
        <v/>
      </c>
      <c r="M409" s="33" t="str">
        <f>IFERROR(__xludf.DUMMYFUNCTION("IF(IF(M$1="""","""",REGEXMATCH(LOWER($E409),XLOOKUP(M$1,Metadata!$A$2:$A1000,Metadata!$B$2:$B1000))),M$1,"""")"),"")</f>
        <v/>
      </c>
      <c r="N409" s="33" t="str">
        <f>IFERROR(__xludf.DUMMYFUNCTION("IF(IF(N$1="""","""",REGEXMATCH(LOWER($E409),XLOOKUP(N$1,Metadata!$A$2:$A1000,Metadata!$B$2:$B1000))),N$1,"""")"),"")</f>
        <v/>
      </c>
      <c r="O409" s="33" t="str">
        <f>IFERROR(__xludf.DUMMYFUNCTION("IF(IF(O$1="""","""",REGEXMATCH(LOWER($E409),XLOOKUP(O$1,Metadata!$A$2:$A1000,Metadata!$B$2:$B1000))),O$1,"""")"),"")</f>
        <v/>
      </c>
      <c r="P409" s="33" t="str">
        <f>IFERROR(__xludf.DUMMYFUNCTION("IF(IF(P$1="""","""",REGEXMATCH(LOWER($E409),XLOOKUP(P$1,Metadata!$A$2:$A1000,Metadata!$B$2:$B1000))),P$1,"""")"),"")</f>
        <v/>
      </c>
      <c r="Q409" s="33" t="str">
        <f>IFERROR(__xludf.DUMMYFUNCTION("IF(IF(Q$1="""","""",REGEXMATCH(LOWER($E409),XLOOKUP(Q$1,Metadata!$A$2:$A1000,Metadata!$B$2:$B1000))),Q$1,"""")"),"")</f>
        <v/>
      </c>
      <c r="R409" s="33" t="str">
        <f>IFERROR(__xludf.DUMMYFUNCTION("IF(IF(R$1="""","""",REGEXMATCH(LOWER($E409),XLOOKUP(R$1,Metadata!$A$2:$A1000,Metadata!$B$2:$B1000))),R$1,"""")"),"")</f>
        <v/>
      </c>
      <c r="S409" s="33" t="str">
        <f>IFERROR(__xludf.DUMMYFUNCTION("IF(IF(S$1="""","""",REGEXMATCH(LOWER($E409),XLOOKUP(S$1,Metadata!$A$2:$A1000,Metadata!$B$2:$B1000))),S$1,"""")"),"")</f>
        <v/>
      </c>
      <c r="T409" s="33" t="str">
        <f>IFERROR(__xludf.DUMMYFUNCTION("IF(IF(T$1="""","""",REGEXMATCH(LOWER($E409),XLOOKUP(T$1,Metadata!$A$2:$A1000,Metadata!$B$2:$B1000))),T$1,"""")"),"")</f>
        <v/>
      </c>
      <c r="U409" s="33" t="str">
        <f>IFERROR(__xludf.DUMMYFUNCTION("IF(IF(U$1="""","""",REGEXMATCH(LOWER($E409),XLOOKUP(U$1,Metadata!$A$2:$A1000,Metadata!$B$2:$B1000))),U$1,"""")"),"")</f>
        <v/>
      </c>
      <c r="V409" s="33" t="str">
        <f>IFERROR(__xludf.DUMMYFUNCTION("IF(IF(V$1="""","""",REGEXMATCH(LOWER($E409),XLOOKUP(V$1,Metadata!$A$2:$A1000,Metadata!$B$2:$B1000))),V$1,"""")"),"")</f>
        <v/>
      </c>
      <c r="W409" s="33" t="str">
        <f>IFERROR(__xludf.DUMMYFUNCTION("IF(IF(W$1="""","""",REGEXMATCH(LOWER($E409),XLOOKUP(W$1,Metadata!$A$2:$A1000,Metadata!$B$2:$B1000))),W$1,"""")"),"")</f>
        <v/>
      </c>
      <c r="X409" s="33" t="str">
        <f>IFERROR(__xludf.DUMMYFUNCTION("IF(IF(X$1="""","""",REGEXMATCH(LOWER($E409),XLOOKUP(X$1,Metadata!$A$2:$A1000,Metadata!$B$2:$B1000))),X$1,"""")"),"")</f>
        <v/>
      </c>
      <c r="Y409" s="33" t="str">
        <f>IFERROR(__xludf.DUMMYFUNCTION("IF(IF(Y$1="""","""",REGEXMATCH(LOWER($E409),XLOOKUP(Y$1,Metadata!$A$2:$A1000,Metadata!$B$2:$B1000))),Y$1,"""")"),"")</f>
        <v/>
      </c>
      <c r="Z409" s="33" t="str">
        <f>IFERROR(__xludf.DUMMYFUNCTION("IF(IF(Z$1="""","""",REGEXMATCH(LOWER($E409),XLOOKUP(Z$1,Metadata!$A$2:$A1000,Metadata!$B$2:$B1000))),Z$1,"""")"),"")</f>
        <v/>
      </c>
    </row>
    <row r="410">
      <c r="A410" s="33" t="str">
        <f>IFERROR(__xludf.DUMMYFUNCTION("""COMPUTED_VALUE"""),"Shroom Behemoth")</f>
        <v>Shroom Behemoth</v>
      </c>
      <c r="B410" s="33" t="str">
        <f t="array" ref="B410:I410">XLOOKUP($A410,Cards!$A$2:$A1000,Cards!$B$2:$I1000,"")</f>
        <v>Void</v>
      </c>
      <c r="C410" s="33">
        <v>1.0</v>
      </c>
      <c r="D410" s="33" t="s">
        <v>1824</v>
      </c>
      <c r="E410" s="33"/>
      <c r="F410" s="33" t="s">
        <v>2054</v>
      </c>
      <c r="G410" s="33">
        <v>5.0</v>
      </c>
      <c r="H410" s="33" t="s">
        <v>1734</v>
      </c>
      <c r="I410" s="33" t="s">
        <v>26</v>
      </c>
      <c r="J410" s="33">
        <f>IFERROR(__xludf.DUMMYFUNCTION("LEN(REGEXREPLACE(XLOOKUP($A410,Cards!$A$2:$A1000,Cards!$H$2:$H1000,""""),"",\s"",""""))"),4.0)</f>
        <v>4</v>
      </c>
      <c r="K410" s="33" t="str">
        <f t="shared" si="1"/>
        <v>               </v>
      </c>
      <c r="L410" s="33" t="str">
        <f>IFERROR(__xludf.DUMMYFUNCTION("IF(IF(L$1="""","""",REGEXMATCH(LOWER($E410),XLOOKUP(L$1,Metadata!$A$2:$A1000,Metadata!$B$2:$B1000))),L$1,"""")"),"")</f>
        <v/>
      </c>
      <c r="M410" s="33" t="str">
        <f>IFERROR(__xludf.DUMMYFUNCTION("IF(IF(M$1="""","""",REGEXMATCH(LOWER($E410),XLOOKUP(M$1,Metadata!$A$2:$A1000,Metadata!$B$2:$B1000))),M$1,"""")"),"")</f>
        <v/>
      </c>
      <c r="N410" s="33" t="str">
        <f>IFERROR(__xludf.DUMMYFUNCTION("IF(IF(N$1="""","""",REGEXMATCH(LOWER($E410),XLOOKUP(N$1,Metadata!$A$2:$A1000,Metadata!$B$2:$B1000))),N$1,"""")"),"")</f>
        <v/>
      </c>
      <c r="O410" s="33" t="str">
        <f>IFERROR(__xludf.DUMMYFUNCTION("IF(IF(O$1="""","""",REGEXMATCH(LOWER($E410),XLOOKUP(O$1,Metadata!$A$2:$A1000,Metadata!$B$2:$B1000))),O$1,"""")"),"")</f>
        <v/>
      </c>
      <c r="P410" s="33" t="str">
        <f>IFERROR(__xludf.DUMMYFUNCTION("IF(IF(P$1="""","""",REGEXMATCH(LOWER($E410),XLOOKUP(P$1,Metadata!$A$2:$A1000,Metadata!$B$2:$B1000))),P$1,"""")"),"")</f>
        <v/>
      </c>
      <c r="Q410" s="33" t="str">
        <f>IFERROR(__xludf.DUMMYFUNCTION("IF(IF(Q$1="""","""",REGEXMATCH(LOWER($E410),XLOOKUP(Q$1,Metadata!$A$2:$A1000,Metadata!$B$2:$B1000))),Q$1,"""")"),"")</f>
        <v/>
      </c>
      <c r="R410" s="33" t="str">
        <f>IFERROR(__xludf.DUMMYFUNCTION("IF(IF(R$1="""","""",REGEXMATCH(LOWER($E410),XLOOKUP(R$1,Metadata!$A$2:$A1000,Metadata!$B$2:$B1000))),R$1,"""")"),"")</f>
        <v/>
      </c>
      <c r="S410" s="33" t="str">
        <f>IFERROR(__xludf.DUMMYFUNCTION("IF(IF(S$1="""","""",REGEXMATCH(LOWER($E410),XLOOKUP(S$1,Metadata!$A$2:$A1000,Metadata!$B$2:$B1000))),S$1,"""")"),"")</f>
        <v/>
      </c>
      <c r="T410" s="33" t="str">
        <f>IFERROR(__xludf.DUMMYFUNCTION("IF(IF(T$1="""","""",REGEXMATCH(LOWER($E410),XLOOKUP(T$1,Metadata!$A$2:$A1000,Metadata!$B$2:$B1000))),T$1,"""")"),"")</f>
        <v/>
      </c>
      <c r="U410" s="33" t="str">
        <f>IFERROR(__xludf.DUMMYFUNCTION("IF(IF(U$1="""","""",REGEXMATCH(LOWER($E410),XLOOKUP(U$1,Metadata!$A$2:$A1000,Metadata!$B$2:$B1000))),U$1,"""")"),"")</f>
        <v/>
      </c>
      <c r="V410" s="33" t="str">
        <f>IFERROR(__xludf.DUMMYFUNCTION("IF(IF(V$1="""","""",REGEXMATCH(LOWER($E410),XLOOKUP(V$1,Metadata!$A$2:$A1000,Metadata!$B$2:$B1000))),V$1,"""")"),"")</f>
        <v/>
      </c>
      <c r="W410" s="33" t="str">
        <f>IFERROR(__xludf.DUMMYFUNCTION("IF(IF(W$1="""","""",REGEXMATCH(LOWER($E410),XLOOKUP(W$1,Metadata!$A$2:$A1000,Metadata!$B$2:$B1000))),W$1,"""")"),"")</f>
        <v/>
      </c>
      <c r="X410" s="33" t="str">
        <f>IFERROR(__xludf.DUMMYFUNCTION("IF(IF(X$1="""","""",REGEXMATCH(LOWER($E410),XLOOKUP(X$1,Metadata!$A$2:$A1000,Metadata!$B$2:$B1000))),X$1,"""")"),"")</f>
        <v/>
      </c>
      <c r="Y410" s="33" t="str">
        <f>IFERROR(__xludf.DUMMYFUNCTION("IF(IF(Y$1="""","""",REGEXMATCH(LOWER($E410),XLOOKUP(Y$1,Metadata!$A$2:$A1000,Metadata!$B$2:$B1000))),Y$1,"""")"),"")</f>
        <v/>
      </c>
      <c r="Z410" s="33" t="str">
        <f>IFERROR(__xludf.DUMMYFUNCTION("IF(IF(Z$1="""","""",REGEXMATCH(LOWER($E410),XLOOKUP(Z$1,Metadata!$A$2:$A1000,Metadata!$B$2:$B1000))),Z$1,"""")"),"")</f>
        <v/>
      </c>
    </row>
    <row r="411">
      <c r="A411" s="33" t="str">
        <f>IFERROR(__xludf.DUMMYFUNCTION("""COMPUTED_VALUE"""),"Hellblade")</f>
        <v>Hellblade</v>
      </c>
      <c r="B411" s="33" t="str">
        <f t="array" ref="B411:I411">XLOOKUP($A411,Cards!$A$2:$A1000,Cards!$B$2:$I1000,"")</f>
        <v>Void</v>
      </c>
      <c r="C411" s="33">
        <v>1.0</v>
      </c>
      <c r="D411" s="33" t="s">
        <v>1676</v>
      </c>
      <c r="E411" s="33"/>
      <c r="F411" s="33" t="s">
        <v>2056</v>
      </c>
      <c r="G411" s="33">
        <v>6.0</v>
      </c>
      <c r="H411" s="33" t="s">
        <v>1674</v>
      </c>
      <c r="I411" s="33" t="s">
        <v>26</v>
      </c>
      <c r="J411" s="33">
        <f>IFERROR(__xludf.DUMMYFUNCTION("LEN(REGEXREPLACE(XLOOKUP($A411,Cards!$A$2:$A1000,Cards!$H$2:$H1000,""""),"",\s"",""""))"),5.0)</f>
        <v>5</v>
      </c>
      <c r="K411" s="33" t="str">
        <f t="shared" si="1"/>
        <v>               </v>
      </c>
      <c r="L411" s="33" t="str">
        <f>IFERROR(__xludf.DUMMYFUNCTION("IF(IF(L$1="""","""",REGEXMATCH(LOWER($E411),XLOOKUP(L$1,Metadata!$A$2:$A1000,Metadata!$B$2:$B1000))),L$1,"""")"),"")</f>
        <v/>
      </c>
      <c r="M411" s="33" t="str">
        <f>IFERROR(__xludf.DUMMYFUNCTION("IF(IF(M$1="""","""",REGEXMATCH(LOWER($E411),XLOOKUP(M$1,Metadata!$A$2:$A1000,Metadata!$B$2:$B1000))),M$1,"""")"),"")</f>
        <v/>
      </c>
      <c r="N411" s="33" t="str">
        <f>IFERROR(__xludf.DUMMYFUNCTION("IF(IF(N$1="""","""",REGEXMATCH(LOWER($E411),XLOOKUP(N$1,Metadata!$A$2:$A1000,Metadata!$B$2:$B1000))),N$1,"""")"),"")</f>
        <v/>
      </c>
      <c r="O411" s="33" t="str">
        <f>IFERROR(__xludf.DUMMYFUNCTION("IF(IF(O$1="""","""",REGEXMATCH(LOWER($E411),XLOOKUP(O$1,Metadata!$A$2:$A1000,Metadata!$B$2:$B1000))),O$1,"""")"),"")</f>
        <v/>
      </c>
      <c r="P411" s="33" t="str">
        <f>IFERROR(__xludf.DUMMYFUNCTION("IF(IF(P$1="""","""",REGEXMATCH(LOWER($E411),XLOOKUP(P$1,Metadata!$A$2:$A1000,Metadata!$B$2:$B1000))),P$1,"""")"),"")</f>
        <v/>
      </c>
      <c r="Q411" s="33" t="str">
        <f>IFERROR(__xludf.DUMMYFUNCTION("IF(IF(Q$1="""","""",REGEXMATCH(LOWER($E411),XLOOKUP(Q$1,Metadata!$A$2:$A1000,Metadata!$B$2:$B1000))),Q$1,"""")"),"")</f>
        <v/>
      </c>
      <c r="R411" s="33" t="str">
        <f>IFERROR(__xludf.DUMMYFUNCTION("IF(IF(R$1="""","""",REGEXMATCH(LOWER($E411),XLOOKUP(R$1,Metadata!$A$2:$A1000,Metadata!$B$2:$B1000))),R$1,"""")"),"")</f>
        <v/>
      </c>
      <c r="S411" s="33" t="str">
        <f>IFERROR(__xludf.DUMMYFUNCTION("IF(IF(S$1="""","""",REGEXMATCH(LOWER($E411),XLOOKUP(S$1,Metadata!$A$2:$A1000,Metadata!$B$2:$B1000))),S$1,"""")"),"")</f>
        <v/>
      </c>
      <c r="T411" s="33" t="str">
        <f>IFERROR(__xludf.DUMMYFUNCTION("IF(IF(T$1="""","""",REGEXMATCH(LOWER($E411),XLOOKUP(T$1,Metadata!$A$2:$A1000,Metadata!$B$2:$B1000))),T$1,"""")"),"")</f>
        <v/>
      </c>
      <c r="U411" s="33" t="str">
        <f>IFERROR(__xludf.DUMMYFUNCTION("IF(IF(U$1="""","""",REGEXMATCH(LOWER($E411),XLOOKUP(U$1,Metadata!$A$2:$A1000,Metadata!$B$2:$B1000))),U$1,"""")"),"")</f>
        <v/>
      </c>
      <c r="V411" s="33" t="str">
        <f>IFERROR(__xludf.DUMMYFUNCTION("IF(IF(V$1="""","""",REGEXMATCH(LOWER($E411),XLOOKUP(V$1,Metadata!$A$2:$A1000,Metadata!$B$2:$B1000))),V$1,"""")"),"")</f>
        <v/>
      </c>
      <c r="W411" s="33" t="str">
        <f>IFERROR(__xludf.DUMMYFUNCTION("IF(IF(W$1="""","""",REGEXMATCH(LOWER($E411),XLOOKUP(W$1,Metadata!$A$2:$A1000,Metadata!$B$2:$B1000))),W$1,"""")"),"")</f>
        <v/>
      </c>
      <c r="X411" s="33" t="str">
        <f>IFERROR(__xludf.DUMMYFUNCTION("IF(IF(X$1="""","""",REGEXMATCH(LOWER($E411),XLOOKUP(X$1,Metadata!$A$2:$A1000,Metadata!$B$2:$B1000))),X$1,"""")"),"")</f>
        <v/>
      </c>
      <c r="Y411" s="33" t="str">
        <f>IFERROR(__xludf.DUMMYFUNCTION("IF(IF(Y$1="""","""",REGEXMATCH(LOWER($E411),XLOOKUP(Y$1,Metadata!$A$2:$A1000,Metadata!$B$2:$B1000))),Y$1,"""")"),"")</f>
        <v/>
      </c>
      <c r="Z411" s="33" t="str">
        <f>IFERROR(__xludf.DUMMYFUNCTION("IF(IF(Z$1="""","""",REGEXMATCH(LOWER($E411),XLOOKUP(Z$1,Metadata!$A$2:$A1000,Metadata!$B$2:$B1000))),Z$1,"""")"),"")</f>
        <v/>
      </c>
    </row>
    <row r="412">
      <c r="A412" s="33" t="str">
        <f>IFERROR(__xludf.DUMMYFUNCTION("""COMPUTED_VALUE"""),"Eclipse Dragon")</f>
        <v>Eclipse Dragon</v>
      </c>
      <c r="B412" s="33" t="str">
        <f t="array" ref="B412:I412">XLOOKUP($A412,Cards!$A$2:$A1000,Cards!$B$2:$I1000,"")</f>
        <v>Void</v>
      </c>
      <c r="C412" s="33">
        <v>1.0</v>
      </c>
      <c r="D412" s="33" t="s">
        <v>245</v>
      </c>
      <c r="E412" s="33"/>
      <c r="F412" s="33" t="s">
        <v>2058</v>
      </c>
      <c r="G412" s="33">
        <v>4.0</v>
      </c>
      <c r="H412" s="33" t="s">
        <v>1785</v>
      </c>
      <c r="I412" s="33" t="s">
        <v>26</v>
      </c>
      <c r="J412" s="33">
        <f>IFERROR(__xludf.DUMMYFUNCTION("LEN(REGEXREPLACE(XLOOKUP($A412,Cards!$A$2:$A1000,Cards!$H$2:$H1000,""""),"",\s"",""""))"),4.0)</f>
        <v>4</v>
      </c>
      <c r="K412" s="33" t="str">
        <f t="shared" si="1"/>
        <v>               </v>
      </c>
      <c r="L412" s="33" t="str">
        <f>IFERROR(__xludf.DUMMYFUNCTION("IF(IF(L$1="""","""",REGEXMATCH(LOWER($E412),XLOOKUP(L$1,Metadata!$A$2:$A1000,Metadata!$B$2:$B1000))),L$1,"""")"),"")</f>
        <v/>
      </c>
      <c r="M412" s="33" t="str">
        <f>IFERROR(__xludf.DUMMYFUNCTION("IF(IF(M$1="""","""",REGEXMATCH(LOWER($E412),XLOOKUP(M$1,Metadata!$A$2:$A1000,Metadata!$B$2:$B1000))),M$1,"""")"),"")</f>
        <v/>
      </c>
      <c r="N412" s="33" t="str">
        <f>IFERROR(__xludf.DUMMYFUNCTION("IF(IF(N$1="""","""",REGEXMATCH(LOWER($E412),XLOOKUP(N$1,Metadata!$A$2:$A1000,Metadata!$B$2:$B1000))),N$1,"""")"),"")</f>
        <v/>
      </c>
      <c r="O412" s="33" t="str">
        <f>IFERROR(__xludf.DUMMYFUNCTION("IF(IF(O$1="""","""",REGEXMATCH(LOWER($E412),XLOOKUP(O$1,Metadata!$A$2:$A1000,Metadata!$B$2:$B1000))),O$1,"""")"),"")</f>
        <v/>
      </c>
      <c r="P412" s="33" t="str">
        <f>IFERROR(__xludf.DUMMYFUNCTION("IF(IF(P$1="""","""",REGEXMATCH(LOWER($E412),XLOOKUP(P$1,Metadata!$A$2:$A1000,Metadata!$B$2:$B1000))),P$1,"""")"),"")</f>
        <v/>
      </c>
      <c r="Q412" s="33" t="str">
        <f>IFERROR(__xludf.DUMMYFUNCTION("IF(IF(Q$1="""","""",REGEXMATCH(LOWER($E412),XLOOKUP(Q$1,Metadata!$A$2:$A1000,Metadata!$B$2:$B1000))),Q$1,"""")"),"")</f>
        <v/>
      </c>
      <c r="R412" s="33" t="str">
        <f>IFERROR(__xludf.DUMMYFUNCTION("IF(IF(R$1="""","""",REGEXMATCH(LOWER($E412),XLOOKUP(R$1,Metadata!$A$2:$A1000,Metadata!$B$2:$B1000))),R$1,"""")"),"")</f>
        <v/>
      </c>
      <c r="S412" s="33" t="str">
        <f>IFERROR(__xludf.DUMMYFUNCTION("IF(IF(S$1="""","""",REGEXMATCH(LOWER($E412),XLOOKUP(S$1,Metadata!$A$2:$A1000,Metadata!$B$2:$B1000))),S$1,"""")"),"")</f>
        <v/>
      </c>
      <c r="T412" s="33" t="str">
        <f>IFERROR(__xludf.DUMMYFUNCTION("IF(IF(T$1="""","""",REGEXMATCH(LOWER($E412),XLOOKUP(T$1,Metadata!$A$2:$A1000,Metadata!$B$2:$B1000))),T$1,"""")"),"")</f>
        <v/>
      </c>
      <c r="U412" s="33" t="str">
        <f>IFERROR(__xludf.DUMMYFUNCTION("IF(IF(U$1="""","""",REGEXMATCH(LOWER($E412),XLOOKUP(U$1,Metadata!$A$2:$A1000,Metadata!$B$2:$B1000))),U$1,"""")"),"")</f>
        <v/>
      </c>
      <c r="V412" s="33" t="str">
        <f>IFERROR(__xludf.DUMMYFUNCTION("IF(IF(V$1="""","""",REGEXMATCH(LOWER($E412),XLOOKUP(V$1,Metadata!$A$2:$A1000,Metadata!$B$2:$B1000))),V$1,"""")"),"")</f>
        <v/>
      </c>
      <c r="W412" s="33" t="str">
        <f>IFERROR(__xludf.DUMMYFUNCTION("IF(IF(W$1="""","""",REGEXMATCH(LOWER($E412),XLOOKUP(W$1,Metadata!$A$2:$A1000,Metadata!$B$2:$B1000))),W$1,"""")"),"")</f>
        <v/>
      </c>
      <c r="X412" s="33" t="str">
        <f>IFERROR(__xludf.DUMMYFUNCTION("IF(IF(X$1="""","""",REGEXMATCH(LOWER($E412),XLOOKUP(X$1,Metadata!$A$2:$A1000,Metadata!$B$2:$B1000))),X$1,"""")"),"")</f>
        <v/>
      </c>
      <c r="Y412" s="33" t="str">
        <f>IFERROR(__xludf.DUMMYFUNCTION("IF(IF(Y$1="""","""",REGEXMATCH(LOWER($E412),XLOOKUP(Y$1,Metadata!$A$2:$A1000,Metadata!$B$2:$B1000))),Y$1,"""")"),"")</f>
        <v/>
      </c>
      <c r="Z412" s="33" t="str">
        <f>IFERROR(__xludf.DUMMYFUNCTION("IF(IF(Z$1="""","""",REGEXMATCH(LOWER($E412),XLOOKUP(Z$1,Metadata!$A$2:$A1000,Metadata!$B$2:$B1000))),Z$1,"""")"),"")</f>
        <v/>
      </c>
    </row>
    <row r="413">
      <c r="A413" s="33" t="str">
        <f>IFERROR(__xludf.DUMMYFUNCTION("""COMPUTED_VALUE"""),"Scythe Abomination")</f>
        <v>Scythe Abomination</v>
      </c>
      <c r="B413" s="33" t="str">
        <f t="array" ref="B413:I413">XLOOKUP($A413,Cards!$A$2:$A1000,Cards!$B$2:$I1000,"")</f>
        <v>Void</v>
      </c>
      <c r="C413" s="33">
        <v>1.0</v>
      </c>
      <c r="D413" s="33" t="s">
        <v>271</v>
      </c>
      <c r="E413" s="33"/>
      <c r="F413" s="33"/>
      <c r="G413" s="33">
        <v>3.0</v>
      </c>
      <c r="H413" s="33" t="s">
        <v>1684</v>
      </c>
      <c r="I413" s="33" t="s">
        <v>26</v>
      </c>
      <c r="J413" s="33">
        <f>IFERROR(__xludf.DUMMYFUNCTION("LEN(REGEXREPLACE(XLOOKUP($A413,Cards!$A$2:$A1000,Cards!$H$2:$H1000,""""),"",\s"",""""))"),3.0)</f>
        <v>3</v>
      </c>
      <c r="K413" s="33" t="str">
        <f t="shared" si="1"/>
        <v>               </v>
      </c>
      <c r="L413" s="33" t="str">
        <f>IFERROR(__xludf.DUMMYFUNCTION("IF(IF(L$1="""","""",REGEXMATCH(LOWER($E413),XLOOKUP(L$1,Metadata!$A$2:$A1000,Metadata!$B$2:$B1000))),L$1,"""")"),"")</f>
        <v/>
      </c>
      <c r="M413" s="33" t="str">
        <f>IFERROR(__xludf.DUMMYFUNCTION("IF(IF(M$1="""","""",REGEXMATCH(LOWER($E413),XLOOKUP(M$1,Metadata!$A$2:$A1000,Metadata!$B$2:$B1000))),M$1,"""")"),"")</f>
        <v/>
      </c>
      <c r="N413" s="33" t="str">
        <f>IFERROR(__xludf.DUMMYFUNCTION("IF(IF(N$1="""","""",REGEXMATCH(LOWER($E413),XLOOKUP(N$1,Metadata!$A$2:$A1000,Metadata!$B$2:$B1000))),N$1,"""")"),"")</f>
        <v/>
      </c>
      <c r="O413" s="33" t="str">
        <f>IFERROR(__xludf.DUMMYFUNCTION("IF(IF(O$1="""","""",REGEXMATCH(LOWER($E413),XLOOKUP(O$1,Metadata!$A$2:$A1000,Metadata!$B$2:$B1000))),O$1,"""")"),"")</f>
        <v/>
      </c>
      <c r="P413" s="33" t="str">
        <f>IFERROR(__xludf.DUMMYFUNCTION("IF(IF(P$1="""","""",REGEXMATCH(LOWER($E413),XLOOKUP(P$1,Metadata!$A$2:$A1000,Metadata!$B$2:$B1000))),P$1,"""")"),"")</f>
        <v/>
      </c>
      <c r="Q413" s="33" t="str">
        <f>IFERROR(__xludf.DUMMYFUNCTION("IF(IF(Q$1="""","""",REGEXMATCH(LOWER($E413),XLOOKUP(Q$1,Metadata!$A$2:$A1000,Metadata!$B$2:$B1000))),Q$1,"""")"),"")</f>
        <v/>
      </c>
      <c r="R413" s="33" t="str">
        <f>IFERROR(__xludf.DUMMYFUNCTION("IF(IF(R$1="""","""",REGEXMATCH(LOWER($E413),XLOOKUP(R$1,Metadata!$A$2:$A1000,Metadata!$B$2:$B1000))),R$1,"""")"),"")</f>
        <v/>
      </c>
      <c r="S413" s="33" t="str">
        <f>IFERROR(__xludf.DUMMYFUNCTION("IF(IF(S$1="""","""",REGEXMATCH(LOWER($E413),XLOOKUP(S$1,Metadata!$A$2:$A1000,Metadata!$B$2:$B1000))),S$1,"""")"),"")</f>
        <v/>
      </c>
      <c r="T413" s="33" t="str">
        <f>IFERROR(__xludf.DUMMYFUNCTION("IF(IF(T$1="""","""",REGEXMATCH(LOWER($E413),XLOOKUP(T$1,Metadata!$A$2:$A1000,Metadata!$B$2:$B1000))),T$1,"""")"),"")</f>
        <v/>
      </c>
      <c r="U413" s="33" t="str">
        <f>IFERROR(__xludf.DUMMYFUNCTION("IF(IF(U$1="""","""",REGEXMATCH(LOWER($E413),XLOOKUP(U$1,Metadata!$A$2:$A1000,Metadata!$B$2:$B1000))),U$1,"""")"),"")</f>
        <v/>
      </c>
      <c r="V413" s="33" t="str">
        <f>IFERROR(__xludf.DUMMYFUNCTION("IF(IF(V$1="""","""",REGEXMATCH(LOWER($E413),XLOOKUP(V$1,Metadata!$A$2:$A1000,Metadata!$B$2:$B1000))),V$1,"""")"),"")</f>
        <v/>
      </c>
      <c r="W413" s="33" t="str">
        <f>IFERROR(__xludf.DUMMYFUNCTION("IF(IF(W$1="""","""",REGEXMATCH(LOWER($E413),XLOOKUP(W$1,Metadata!$A$2:$A1000,Metadata!$B$2:$B1000))),W$1,"""")"),"")</f>
        <v/>
      </c>
      <c r="X413" s="33" t="str">
        <f>IFERROR(__xludf.DUMMYFUNCTION("IF(IF(X$1="""","""",REGEXMATCH(LOWER($E413),XLOOKUP(X$1,Metadata!$A$2:$A1000,Metadata!$B$2:$B1000))),X$1,"""")"),"")</f>
        <v/>
      </c>
      <c r="Y413" s="33" t="str">
        <f>IFERROR(__xludf.DUMMYFUNCTION("IF(IF(Y$1="""","""",REGEXMATCH(LOWER($E413),XLOOKUP(Y$1,Metadata!$A$2:$A1000,Metadata!$B$2:$B1000))),Y$1,"""")"),"")</f>
        <v/>
      </c>
      <c r="Z413" s="33" t="str">
        <f>IFERROR(__xludf.DUMMYFUNCTION("IF(IF(Z$1="""","""",REGEXMATCH(LOWER($E413),XLOOKUP(Z$1,Metadata!$A$2:$A1000,Metadata!$B$2:$B1000))),Z$1,"""")"),"")</f>
        <v/>
      </c>
    </row>
    <row r="414">
      <c r="A414" s="33" t="str">
        <f>IFERROR(__xludf.DUMMYFUNCTION("""COMPUTED_VALUE"""),"Rotten Stalker")</f>
        <v>Rotten Stalker</v>
      </c>
      <c r="B414" s="33" t="str">
        <f t="array" ref="B414:I414">XLOOKUP($A414,Cards!$A$2:$A1000,Cards!$B$2:$I1000,"")</f>
        <v>Void</v>
      </c>
      <c r="C414" s="33">
        <v>1.0</v>
      </c>
      <c r="D414" s="33" t="s">
        <v>2061</v>
      </c>
      <c r="E414" s="33" t="s">
        <v>54</v>
      </c>
      <c r="F414" s="33"/>
      <c r="G414" s="33">
        <v>6.0</v>
      </c>
      <c r="H414" s="33" t="s">
        <v>2062</v>
      </c>
      <c r="I414" s="33" t="s">
        <v>26</v>
      </c>
      <c r="J414" s="33">
        <f>IFERROR(__xludf.DUMMYFUNCTION("LEN(REGEXREPLACE(XLOOKUP($A414,Cards!$A$2:$A1000,Cards!$H$2:$H1000,""""),"",\s"",""""))"),6.0)</f>
        <v>6</v>
      </c>
      <c r="K414" s="33" t="str">
        <f t="shared" si="1"/>
        <v>               </v>
      </c>
      <c r="L414" s="33" t="str">
        <f>IFERROR(__xludf.DUMMYFUNCTION("IF(IF(L$1="""","""",REGEXMATCH(LOWER($E414),XLOOKUP(L$1,Metadata!$A$2:$A1000,Metadata!$B$2:$B1000))),L$1,"""")"),"")</f>
        <v/>
      </c>
      <c r="M414" s="33" t="str">
        <f>IFERROR(__xludf.DUMMYFUNCTION("IF(IF(M$1="""","""",REGEXMATCH(LOWER($E414),XLOOKUP(M$1,Metadata!$A$2:$A1000,Metadata!$B$2:$B1000))),M$1,"""")"),"")</f>
        <v/>
      </c>
      <c r="N414" s="33" t="str">
        <f>IFERROR(__xludf.DUMMYFUNCTION("IF(IF(N$1="""","""",REGEXMATCH(LOWER($E414),XLOOKUP(N$1,Metadata!$A$2:$A1000,Metadata!$B$2:$B1000))),N$1,"""")"),"")</f>
        <v/>
      </c>
      <c r="O414" s="33" t="str">
        <f>IFERROR(__xludf.DUMMYFUNCTION("IF(IF(O$1="""","""",REGEXMATCH(LOWER($E414),XLOOKUP(O$1,Metadata!$A$2:$A1000,Metadata!$B$2:$B1000))),O$1,"""")"),"")</f>
        <v/>
      </c>
      <c r="P414" s="33" t="str">
        <f>IFERROR(__xludf.DUMMYFUNCTION("IF(IF(P$1="""","""",REGEXMATCH(LOWER($E414),XLOOKUP(P$1,Metadata!$A$2:$A1000,Metadata!$B$2:$B1000))),P$1,"""")"),"")</f>
        <v/>
      </c>
      <c r="Q414" s="33" t="str">
        <f>IFERROR(__xludf.DUMMYFUNCTION("IF(IF(Q$1="""","""",REGEXMATCH(LOWER($E414),XLOOKUP(Q$1,Metadata!$A$2:$A1000,Metadata!$B$2:$B1000))),Q$1,"""")"),"")</f>
        <v/>
      </c>
      <c r="R414" s="33" t="str">
        <f>IFERROR(__xludf.DUMMYFUNCTION("IF(IF(R$1="""","""",REGEXMATCH(LOWER($E414),XLOOKUP(R$1,Metadata!$A$2:$A1000,Metadata!$B$2:$B1000))),R$1,"""")"),"")</f>
        <v/>
      </c>
      <c r="S414" s="33" t="str">
        <f>IFERROR(__xludf.DUMMYFUNCTION("IF(IF(S$1="""","""",REGEXMATCH(LOWER($E414),XLOOKUP(S$1,Metadata!$A$2:$A1000,Metadata!$B$2:$B1000))),S$1,"""")"),"")</f>
        <v/>
      </c>
      <c r="T414" s="33" t="str">
        <f>IFERROR(__xludf.DUMMYFUNCTION("IF(IF(T$1="""","""",REGEXMATCH(LOWER($E414),XLOOKUP(T$1,Metadata!$A$2:$A1000,Metadata!$B$2:$B1000))),T$1,"""")"),"")</f>
        <v/>
      </c>
      <c r="U414" s="33" t="str">
        <f>IFERROR(__xludf.DUMMYFUNCTION("IF(IF(U$1="""","""",REGEXMATCH(LOWER($E414),XLOOKUP(U$1,Metadata!$A$2:$A1000,Metadata!$B$2:$B1000))),U$1,"""")"),"")</f>
        <v/>
      </c>
      <c r="V414" s="33" t="str">
        <f>IFERROR(__xludf.DUMMYFUNCTION("IF(IF(V$1="""","""",REGEXMATCH(LOWER($E414),XLOOKUP(V$1,Metadata!$A$2:$A1000,Metadata!$B$2:$B1000))),V$1,"""")"),"")</f>
        <v/>
      </c>
      <c r="W414" s="33" t="str">
        <f>IFERROR(__xludf.DUMMYFUNCTION("IF(IF(W$1="""","""",REGEXMATCH(LOWER($E414),XLOOKUP(W$1,Metadata!$A$2:$A1000,Metadata!$B$2:$B1000))),W$1,"""")"),"")</f>
        <v/>
      </c>
      <c r="X414" s="33" t="str">
        <f>IFERROR(__xludf.DUMMYFUNCTION("IF(IF(X$1="""","""",REGEXMATCH(LOWER($E414),XLOOKUP(X$1,Metadata!$A$2:$A1000,Metadata!$B$2:$B1000))),X$1,"""")"),"")</f>
        <v/>
      </c>
      <c r="Y414" s="33" t="str">
        <f>IFERROR(__xludf.DUMMYFUNCTION("IF(IF(Y$1="""","""",REGEXMATCH(LOWER($E414),XLOOKUP(Y$1,Metadata!$A$2:$A1000,Metadata!$B$2:$B1000))),Y$1,"""")"),"")</f>
        <v/>
      </c>
      <c r="Z414" s="33" t="str">
        <f>IFERROR(__xludf.DUMMYFUNCTION("IF(IF(Z$1="""","""",REGEXMATCH(LOWER($E414),XLOOKUP(Z$1,Metadata!$A$2:$A1000,Metadata!$B$2:$B1000))),Z$1,"""")"),"")</f>
        <v/>
      </c>
    </row>
    <row r="415">
      <c r="A415" s="33" t="str">
        <f>IFERROR(__xludf.DUMMYFUNCTION("""COMPUTED_VALUE"""),"Wringing Wyvern")</f>
        <v>Wringing Wyvern</v>
      </c>
      <c r="B415" s="33" t="str">
        <f t="array" ref="B415:I415">XLOOKUP($A415,Cards!$A$2:$A1000,Cards!$B$2:$I1000,"")</f>
        <v>Void</v>
      </c>
      <c r="C415" s="33">
        <v>1.0</v>
      </c>
      <c r="D415" s="33" t="s">
        <v>761</v>
      </c>
      <c r="E415" s="33" t="s">
        <v>2064</v>
      </c>
      <c r="F415" s="33"/>
      <c r="G415" s="33"/>
      <c r="H415" s="33" t="s">
        <v>1674</v>
      </c>
      <c r="I415" s="33" t="s">
        <v>62</v>
      </c>
      <c r="J415" s="33">
        <f>IFERROR(__xludf.DUMMYFUNCTION("LEN(REGEXREPLACE(XLOOKUP($A415,Cards!$A$2:$A1000,Cards!$H$2:$H1000,""""),"",\s"",""""))"),5.0)</f>
        <v>5</v>
      </c>
      <c r="K415" s="33" t="str">
        <f t="shared" si="1"/>
        <v>    Void           </v>
      </c>
      <c r="L415" s="33" t="str">
        <f>IFERROR(__xludf.DUMMYFUNCTION("IF(IF(L$1="""","""",REGEXMATCH(LOWER($E415),XLOOKUP(L$1,Metadata!$A$2:$A1000,Metadata!$B$2:$B1000))),L$1,"""")"),"")</f>
        <v/>
      </c>
      <c r="M415" s="33" t="str">
        <f>IFERROR(__xludf.DUMMYFUNCTION("IF(IF(M$1="""","""",REGEXMATCH(LOWER($E415),XLOOKUP(M$1,Metadata!$A$2:$A1000,Metadata!$B$2:$B1000))),M$1,"""")"),"")</f>
        <v/>
      </c>
      <c r="N415" s="33" t="str">
        <f>IFERROR(__xludf.DUMMYFUNCTION("IF(IF(N$1="""","""",REGEXMATCH(LOWER($E415),XLOOKUP(N$1,Metadata!$A$2:$A1000,Metadata!$B$2:$B1000))),N$1,"""")"),"")</f>
        <v/>
      </c>
      <c r="O415" s="33" t="str">
        <f>IFERROR(__xludf.DUMMYFUNCTION("IF(IF(O$1="""","""",REGEXMATCH(LOWER($E415),XLOOKUP(O$1,Metadata!$A$2:$A1000,Metadata!$B$2:$B1000))),O$1,"""")"),"")</f>
        <v/>
      </c>
      <c r="P415" s="33" t="str">
        <f>IFERROR(__xludf.DUMMYFUNCTION("IF(IF(P$1="""","""",REGEXMATCH(LOWER($E415),XLOOKUP(P$1,Metadata!$A$2:$A1000,Metadata!$B$2:$B1000))),P$1,"""")"),"Void")</f>
        <v>Void</v>
      </c>
      <c r="Q415" s="33" t="str">
        <f>IFERROR(__xludf.DUMMYFUNCTION("IF(IF(Q$1="""","""",REGEXMATCH(LOWER($E415),XLOOKUP(Q$1,Metadata!$A$2:$A1000,Metadata!$B$2:$B1000))),Q$1,"""")"),"")</f>
        <v/>
      </c>
      <c r="R415" s="33" t="str">
        <f>IFERROR(__xludf.DUMMYFUNCTION("IF(IF(R$1="""","""",REGEXMATCH(LOWER($E415),XLOOKUP(R$1,Metadata!$A$2:$A1000,Metadata!$B$2:$B1000))),R$1,"""")"),"")</f>
        <v/>
      </c>
      <c r="S415" s="33" t="str">
        <f>IFERROR(__xludf.DUMMYFUNCTION("IF(IF(S$1="""","""",REGEXMATCH(LOWER($E415),XLOOKUP(S$1,Metadata!$A$2:$A1000,Metadata!$B$2:$B1000))),S$1,"""")"),"")</f>
        <v/>
      </c>
      <c r="T415" s="33" t="str">
        <f>IFERROR(__xludf.DUMMYFUNCTION("IF(IF(T$1="""","""",REGEXMATCH(LOWER($E415),XLOOKUP(T$1,Metadata!$A$2:$A1000,Metadata!$B$2:$B1000))),T$1,"""")"),"")</f>
        <v/>
      </c>
      <c r="U415" s="33" t="str">
        <f>IFERROR(__xludf.DUMMYFUNCTION("IF(IF(U$1="""","""",REGEXMATCH(LOWER($E415),XLOOKUP(U$1,Metadata!$A$2:$A1000,Metadata!$B$2:$B1000))),U$1,"""")"),"")</f>
        <v/>
      </c>
      <c r="V415" s="33" t="str">
        <f>IFERROR(__xludf.DUMMYFUNCTION("IF(IF(V$1="""","""",REGEXMATCH(LOWER($E415),XLOOKUP(V$1,Metadata!$A$2:$A1000,Metadata!$B$2:$B1000))),V$1,"""")"),"")</f>
        <v/>
      </c>
      <c r="W415" s="33" t="str">
        <f>IFERROR(__xludf.DUMMYFUNCTION("IF(IF(W$1="""","""",REGEXMATCH(LOWER($E415),XLOOKUP(W$1,Metadata!$A$2:$A1000,Metadata!$B$2:$B1000))),W$1,"""")"),"")</f>
        <v/>
      </c>
      <c r="X415" s="33" t="str">
        <f>IFERROR(__xludf.DUMMYFUNCTION("IF(IF(X$1="""","""",REGEXMATCH(LOWER($E415),XLOOKUP(X$1,Metadata!$A$2:$A1000,Metadata!$B$2:$B1000))),X$1,"""")"),"")</f>
        <v/>
      </c>
      <c r="Y415" s="33" t="str">
        <f>IFERROR(__xludf.DUMMYFUNCTION("IF(IF(Y$1="""","""",REGEXMATCH(LOWER($E415),XLOOKUP(Y$1,Metadata!$A$2:$A1000,Metadata!$B$2:$B1000))),Y$1,"""")"),"")</f>
        <v/>
      </c>
      <c r="Z415" s="33" t="str">
        <f>IFERROR(__xludf.DUMMYFUNCTION("IF(IF(Z$1="""","""",REGEXMATCH(LOWER($E415),XLOOKUP(Z$1,Metadata!$A$2:$A1000,Metadata!$B$2:$B1000))),Z$1,"""")"),"")</f>
        <v/>
      </c>
    </row>
    <row r="416">
      <c r="A416" s="33" t="str">
        <f>IFERROR(__xludf.DUMMYFUNCTION("""COMPUTED_VALUE"""),"Clawing Centipede")</f>
        <v>Clawing Centipede</v>
      </c>
      <c r="B416" s="33" t="str">
        <f t="array" ref="B416:I416">XLOOKUP($A416,Cards!$A$2:$A1000,Cards!$B$2:$I1000,"")</f>
        <v>Void</v>
      </c>
      <c r="C416" s="33">
        <v>1.0</v>
      </c>
      <c r="D416" s="33" t="s">
        <v>1641</v>
      </c>
      <c r="E416" s="33" t="s">
        <v>2066</v>
      </c>
      <c r="F416" s="33"/>
      <c r="G416" s="33">
        <v>3.0</v>
      </c>
      <c r="H416" s="33" t="s">
        <v>1885</v>
      </c>
      <c r="I416" s="33" t="s">
        <v>62</v>
      </c>
      <c r="J416" s="33">
        <f>IFERROR(__xludf.DUMMYFUNCTION("LEN(REGEXREPLACE(XLOOKUP($A416,Cards!$A$2:$A1000,Cards!$H$2:$H1000,""""),"",\s"",""""))"),3.0)</f>
        <v>3</v>
      </c>
      <c r="K416" s="33" t="str">
        <f t="shared" si="1"/>
        <v>    Void Unearth    Aggro   Ambush   </v>
      </c>
      <c r="L416" s="33" t="str">
        <f>IFERROR(__xludf.DUMMYFUNCTION("IF(IF(L$1="""","""",REGEXMATCH(LOWER($E416),XLOOKUP(L$1,Metadata!$A$2:$A1000,Metadata!$B$2:$B1000))),L$1,"""")"),"")</f>
        <v/>
      </c>
      <c r="M416" s="33" t="str">
        <f>IFERROR(__xludf.DUMMYFUNCTION("IF(IF(M$1="""","""",REGEXMATCH(LOWER($E416),XLOOKUP(M$1,Metadata!$A$2:$A1000,Metadata!$B$2:$B1000))),M$1,"""")"),"")</f>
        <v/>
      </c>
      <c r="N416" s="33" t="str">
        <f>IFERROR(__xludf.DUMMYFUNCTION("IF(IF(N$1="""","""",REGEXMATCH(LOWER($E416),XLOOKUP(N$1,Metadata!$A$2:$A1000,Metadata!$B$2:$B1000))),N$1,"""")"),"")</f>
        <v/>
      </c>
      <c r="O416" s="33" t="str">
        <f>IFERROR(__xludf.DUMMYFUNCTION("IF(IF(O$1="""","""",REGEXMATCH(LOWER($E416),XLOOKUP(O$1,Metadata!$A$2:$A1000,Metadata!$B$2:$B1000))),O$1,"""")"),"")</f>
        <v/>
      </c>
      <c r="P416" s="33" t="str">
        <f>IFERROR(__xludf.DUMMYFUNCTION("IF(IF(P$1="""","""",REGEXMATCH(LOWER($E416),XLOOKUP(P$1,Metadata!$A$2:$A1000,Metadata!$B$2:$B1000))),P$1,"""")"),"Void")</f>
        <v>Void</v>
      </c>
      <c r="Q416" s="33" t="str">
        <f>IFERROR(__xludf.DUMMYFUNCTION("IF(IF(Q$1="""","""",REGEXMATCH(LOWER($E416),XLOOKUP(Q$1,Metadata!$A$2:$A1000,Metadata!$B$2:$B1000))),Q$1,"""")"),"Unearth")</f>
        <v>Unearth</v>
      </c>
      <c r="R416" s="33" t="str">
        <f>IFERROR(__xludf.DUMMYFUNCTION("IF(IF(R$1="""","""",REGEXMATCH(LOWER($E416),XLOOKUP(R$1,Metadata!$A$2:$A1000,Metadata!$B$2:$B1000))),R$1,"""")"),"")</f>
        <v/>
      </c>
      <c r="S416" s="33" t="str">
        <f>IFERROR(__xludf.DUMMYFUNCTION("IF(IF(S$1="""","""",REGEXMATCH(LOWER($E416),XLOOKUP(S$1,Metadata!$A$2:$A1000,Metadata!$B$2:$B1000))),S$1,"""")"),"")</f>
        <v/>
      </c>
      <c r="T416" s="33" t="str">
        <f>IFERROR(__xludf.DUMMYFUNCTION("IF(IF(T$1="""","""",REGEXMATCH(LOWER($E416),XLOOKUP(T$1,Metadata!$A$2:$A1000,Metadata!$B$2:$B1000))),T$1,"""")"),"")</f>
        <v/>
      </c>
      <c r="U416" s="33" t="str">
        <f>IFERROR(__xludf.DUMMYFUNCTION("IF(IF(U$1="""","""",REGEXMATCH(LOWER($E416),XLOOKUP(U$1,Metadata!$A$2:$A1000,Metadata!$B$2:$B1000))),U$1,"""")"),"Aggro")</f>
        <v>Aggro</v>
      </c>
      <c r="V416" s="33" t="str">
        <f>IFERROR(__xludf.DUMMYFUNCTION("IF(IF(V$1="""","""",REGEXMATCH(LOWER($E416),XLOOKUP(V$1,Metadata!$A$2:$A1000,Metadata!$B$2:$B1000))),V$1,"""")"),"")</f>
        <v/>
      </c>
      <c r="W416" s="33" t="str">
        <f>IFERROR(__xludf.DUMMYFUNCTION("IF(IF(W$1="""","""",REGEXMATCH(LOWER($E416),XLOOKUP(W$1,Metadata!$A$2:$A1000,Metadata!$B$2:$B1000))),W$1,"""")"),"")</f>
        <v/>
      </c>
      <c r="X416" s="33" t="str">
        <f>IFERROR(__xludf.DUMMYFUNCTION("IF(IF(X$1="""","""",REGEXMATCH(LOWER($E416),XLOOKUP(X$1,Metadata!$A$2:$A1000,Metadata!$B$2:$B1000))),X$1,"""")"),"Ambush")</f>
        <v>Ambush</v>
      </c>
      <c r="Y416" s="33" t="str">
        <f>IFERROR(__xludf.DUMMYFUNCTION("IF(IF(Y$1="""","""",REGEXMATCH(LOWER($E416),XLOOKUP(Y$1,Metadata!$A$2:$A1000,Metadata!$B$2:$B1000))),Y$1,"""")"),"")</f>
        <v/>
      </c>
      <c r="Z416" s="33" t="str">
        <f>IFERROR(__xludf.DUMMYFUNCTION("IF(IF(Z$1="""","""",REGEXMATCH(LOWER($E416),XLOOKUP(Z$1,Metadata!$A$2:$A1000,Metadata!$B$2:$B1000))),Z$1,"""")"),"")</f>
        <v/>
      </c>
    </row>
    <row r="417">
      <c r="A417" s="33" t="str">
        <f>IFERROR(__xludf.DUMMYFUNCTION("""COMPUTED_VALUE"""),"Voidsinger")</f>
        <v>Voidsinger</v>
      </c>
      <c r="B417" s="33" t="str">
        <f t="array" ref="B417:I417">XLOOKUP($A417,Cards!$A$2:$A1000,Cards!$B$2:$I1000,"")</f>
        <v>Void</v>
      </c>
      <c r="C417" s="33">
        <v>1.0</v>
      </c>
      <c r="D417" s="33" t="s">
        <v>1835</v>
      </c>
      <c r="E417" s="33" t="s">
        <v>2068</v>
      </c>
      <c r="F417" s="33" t="s">
        <v>2069</v>
      </c>
      <c r="G417" s="33">
        <v>3.0</v>
      </c>
      <c r="H417" s="33" t="s">
        <v>1700</v>
      </c>
      <c r="I417" s="33" t="s">
        <v>32</v>
      </c>
      <c r="J417" s="33">
        <f>IFERROR(__xludf.DUMMYFUNCTION("LEN(REGEXREPLACE(XLOOKUP($A417,Cards!$A$2:$A1000,Cards!$H$2:$H1000,""""),"",\s"",""""))"),6.0)</f>
        <v>6</v>
      </c>
      <c r="K417" s="33" t="str">
        <f t="shared" si="1"/>
        <v>               </v>
      </c>
      <c r="L417" s="33" t="str">
        <f>IFERROR(__xludf.DUMMYFUNCTION("IF(IF(L$1="""","""",REGEXMATCH(LOWER($E417),XLOOKUP(L$1,Metadata!$A$2:$A1000,Metadata!$B$2:$B1000))),L$1,"""")"),"")</f>
        <v/>
      </c>
      <c r="M417" s="33" t="str">
        <f>IFERROR(__xludf.DUMMYFUNCTION("IF(IF(M$1="""","""",REGEXMATCH(LOWER($E417),XLOOKUP(M$1,Metadata!$A$2:$A1000,Metadata!$B$2:$B1000))),M$1,"""")"),"")</f>
        <v/>
      </c>
      <c r="N417" s="33" t="str">
        <f>IFERROR(__xludf.DUMMYFUNCTION("IF(IF(N$1="""","""",REGEXMATCH(LOWER($E417),XLOOKUP(N$1,Metadata!$A$2:$A1000,Metadata!$B$2:$B1000))),N$1,"""")"),"")</f>
        <v/>
      </c>
      <c r="O417" s="33" t="str">
        <f>IFERROR(__xludf.DUMMYFUNCTION("IF(IF(O$1="""","""",REGEXMATCH(LOWER($E417),XLOOKUP(O$1,Metadata!$A$2:$A1000,Metadata!$B$2:$B1000))),O$1,"""")"),"")</f>
        <v/>
      </c>
      <c r="P417" s="33" t="str">
        <f>IFERROR(__xludf.DUMMYFUNCTION("IF(IF(P$1="""","""",REGEXMATCH(LOWER($E417),XLOOKUP(P$1,Metadata!$A$2:$A1000,Metadata!$B$2:$B1000))),P$1,"""")"),"")</f>
        <v/>
      </c>
      <c r="Q417" s="33" t="str">
        <f>IFERROR(__xludf.DUMMYFUNCTION("IF(IF(Q$1="""","""",REGEXMATCH(LOWER($E417),XLOOKUP(Q$1,Metadata!$A$2:$A1000,Metadata!$B$2:$B1000))),Q$1,"""")"),"")</f>
        <v/>
      </c>
      <c r="R417" s="33" t="str">
        <f>IFERROR(__xludf.DUMMYFUNCTION("IF(IF(R$1="""","""",REGEXMATCH(LOWER($E417),XLOOKUP(R$1,Metadata!$A$2:$A1000,Metadata!$B$2:$B1000))),R$1,"""")"),"")</f>
        <v/>
      </c>
      <c r="S417" s="33" t="str">
        <f>IFERROR(__xludf.DUMMYFUNCTION("IF(IF(S$1="""","""",REGEXMATCH(LOWER($E417),XLOOKUP(S$1,Metadata!$A$2:$A1000,Metadata!$B$2:$B1000))),S$1,"""")"),"")</f>
        <v/>
      </c>
      <c r="T417" s="33" t="str">
        <f>IFERROR(__xludf.DUMMYFUNCTION("IF(IF(T$1="""","""",REGEXMATCH(LOWER($E417),XLOOKUP(T$1,Metadata!$A$2:$A1000,Metadata!$B$2:$B1000))),T$1,"""")"),"")</f>
        <v/>
      </c>
      <c r="U417" s="33" t="str">
        <f>IFERROR(__xludf.DUMMYFUNCTION("IF(IF(U$1="""","""",REGEXMATCH(LOWER($E417),XLOOKUP(U$1,Metadata!$A$2:$A1000,Metadata!$B$2:$B1000))),U$1,"""")"),"")</f>
        <v/>
      </c>
      <c r="V417" s="33" t="str">
        <f>IFERROR(__xludf.DUMMYFUNCTION("IF(IF(V$1="""","""",REGEXMATCH(LOWER($E417),XLOOKUP(V$1,Metadata!$A$2:$A1000,Metadata!$B$2:$B1000))),V$1,"""")"),"")</f>
        <v/>
      </c>
      <c r="W417" s="33" t="str">
        <f>IFERROR(__xludf.DUMMYFUNCTION("IF(IF(W$1="""","""",REGEXMATCH(LOWER($E417),XLOOKUP(W$1,Metadata!$A$2:$A1000,Metadata!$B$2:$B1000))),W$1,"""")"),"")</f>
        <v/>
      </c>
      <c r="X417" s="33" t="str">
        <f>IFERROR(__xludf.DUMMYFUNCTION("IF(IF(X$1="""","""",REGEXMATCH(LOWER($E417),XLOOKUP(X$1,Metadata!$A$2:$A1000,Metadata!$B$2:$B1000))),X$1,"""")"),"")</f>
        <v/>
      </c>
      <c r="Y417" s="33" t="str">
        <f>IFERROR(__xludf.DUMMYFUNCTION("IF(IF(Y$1="""","""",REGEXMATCH(LOWER($E417),XLOOKUP(Y$1,Metadata!$A$2:$A1000,Metadata!$B$2:$B1000))),Y$1,"""")"),"")</f>
        <v/>
      </c>
      <c r="Z417" s="33" t="str">
        <f>IFERROR(__xludf.DUMMYFUNCTION("IF(IF(Z$1="""","""",REGEXMATCH(LOWER($E417),XLOOKUP(Z$1,Metadata!$A$2:$A1000,Metadata!$B$2:$B1000))),Z$1,"""")"),"")</f>
        <v/>
      </c>
    </row>
    <row r="418">
      <c r="A418" s="33" t="str">
        <f>IFERROR(__xludf.DUMMYFUNCTION("""COMPUTED_VALUE"""),"Graverobbing Robot")</f>
        <v>Graverobbing Robot</v>
      </c>
      <c r="B418" s="33" t="str">
        <f t="array" ref="B418:I418">XLOOKUP($A418,Cards!$A$2:$A1000,Cards!$B$2:$I1000,"")</f>
        <v>Void</v>
      </c>
      <c r="C418" s="33">
        <v>1.0</v>
      </c>
      <c r="D418" s="33" t="s">
        <v>1308</v>
      </c>
      <c r="E418" s="33" t="s">
        <v>2071</v>
      </c>
      <c r="F418" s="33"/>
      <c r="G418" s="33">
        <v>4.0</v>
      </c>
      <c r="H418" s="33" t="s">
        <v>1785</v>
      </c>
      <c r="I418" s="33" t="s">
        <v>32</v>
      </c>
      <c r="J418" s="33">
        <f>IFERROR(__xludf.DUMMYFUNCTION("LEN(REGEXREPLACE(XLOOKUP($A418,Cards!$A$2:$A1000,Cards!$H$2:$H1000,""""),"",\s"",""""))"),4.0)</f>
        <v>4</v>
      </c>
      <c r="K418" s="33" t="str">
        <f t="shared" si="1"/>
        <v>     Unearth          </v>
      </c>
      <c r="L418" s="33" t="str">
        <f>IFERROR(__xludf.DUMMYFUNCTION("IF(IF(L$1="""","""",REGEXMATCH(LOWER($E418),XLOOKUP(L$1,Metadata!$A$2:$A1000,Metadata!$B$2:$B1000))),L$1,"""")"),"")</f>
        <v/>
      </c>
      <c r="M418" s="33" t="str">
        <f>IFERROR(__xludf.DUMMYFUNCTION("IF(IF(M$1="""","""",REGEXMATCH(LOWER($E418),XLOOKUP(M$1,Metadata!$A$2:$A1000,Metadata!$B$2:$B1000))),M$1,"""")"),"")</f>
        <v/>
      </c>
      <c r="N418" s="33" t="str">
        <f>IFERROR(__xludf.DUMMYFUNCTION("IF(IF(N$1="""","""",REGEXMATCH(LOWER($E418),XLOOKUP(N$1,Metadata!$A$2:$A1000,Metadata!$B$2:$B1000))),N$1,"""")"),"")</f>
        <v/>
      </c>
      <c r="O418" s="33" t="str">
        <f>IFERROR(__xludf.DUMMYFUNCTION("IF(IF(O$1="""","""",REGEXMATCH(LOWER($E418),XLOOKUP(O$1,Metadata!$A$2:$A1000,Metadata!$B$2:$B1000))),O$1,"""")"),"")</f>
        <v/>
      </c>
      <c r="P418" s="33" t="str">
        <f>IFERROR(__xludf.DUMMYFUNCTION("IF(IF(P$1="""","""",REGEXMATCH(LOWER($E418),XLOOKUP(P$1,Metadata!$A$2:$A1000,Metadata!$B$2:$B1000))),P$1,"""")"),"")</f>
        <v/>
      </c>
      <c r="Q418" s="33" t="str">
        <f>IFERROR(__xludf.DUMMYFUNCTION("IF(IF(Q$1="""","""",REGEXMATCH(LOWER($E418),XLOOKUP(Q$1,Metadata!$A$2:$A1000,Metadata!$B$2:$B1000))),Q$1,"""")"),"Unearth")</f>
        <v>Unearth</v>
      </c>
      <c r="R418" s="33" t="str">
        <f>IFERROR(__xludf.DUMMYFUNCTION("IF(IF(R$1="""","""",REGEXMATCH(LOWER($E418),XLOOKUP(R$1,Metadata!$A$2:$A1000,Metadata!$B$2:$B1000))),R$1,"""")"),"")</f>
        <v/>
      </c>
      <c r="S418" s="33" t="str">
        <f>IFERROR(__xludf.DUMMYFUNCTION("IF(IF(S$1="""","""",REGEXMATCH(LOWER($E418),XLOOKUP(S$1,Metadata!$A$2:$A1000,Metadata!$B$2:$B1000))),S$1,"""")"),"")</f>
        <v/>
      </c>
      <c r="T418" s="33" t="str">
        <f>IFERROR(__xludf.DUMMYFUNCTION("IF(IF(T$1="""","""",REGEXMATCH(LOWER($E418),XLOOKUP(T$1,Metadata!$A$2:$A1000,Metadata!$B$2:$B1000))),T$1,"""")"),"")</f>
        <v/>
      </c>
      <c r="U418" s="33" t="str">
        <f>IFERROR(__xludf.DUMMYFUNCTION("IF(IF(U$1="""","""",REGEXMATCH(LOWER($E418),XLOOKUP(U$1,Metadata!$A$2:$A1000,Metadata!$B$2:$B1000))),U$1,"""")"),"")</f>
        <v/>
      </c>
      <c r="V418" s="33" t="str">
        <f>IFERROR(__xludf.DUMMYFUNCTION("IF(IF(V$1="""","""",REGEXMATCH(LOWER($E418),XLOOKUP(V$1,Metadata!$A$2:$A1000,Metadata!$B$2:$B1000))),V$1,"""")"),"")</f>
        <v/>
      </c>
      <c r="W418" s="33" t="str">
        <f>IFERROR(__xludf.DUMMYFUNCTION("IF(IF(W$1="""","""",REGEXMATCH(LOWER($E418),XLOOKUP(W$1,Metadata!$A$2:$A1000,Metadata!$B$2:$B1000))),W$1,"""")"),"")</f>
        <v/>
      </c>
      <c r="X418" s="33" t="str">
        <f>IFERROR(__xludf.DUMMYFUNCTION("IF(IF(X$1="""","""",REGEXMATCH(LOWER($E418),XLOOKUP(X$1,Metadata!$A$2:$A1000,Metadata!$B$2:$B1000))),X$1,"""")"),"")</f>
        <v/>
      </c>
      <c r="Y418" s="33" t="str">
        <f>IFERROR(__xludf.DUMMYFUNCTION("IF(IF(Y$1="""","""",REGEXMATCH(LOWER($E418),XLOOKUP(Y$1,Metadata!$A$2:$A1000,Metadata!$B$2:$B1000))),Y$1,"""")"),"")</f>
        <v/>
      </c>
      <c r="Z418" s="33" t="str">
        <f>IFERROR(__xludf.DUMMYFUNCTION("IF(IF(Z$1="""","""",REGEXMATCH(LOWER($E418),XLOOKUP(Z$1,Metadata!$A$2:$A1000,Metadata!$B$2:$B1000))),Z$1,"""")"),"")</f>
        <v/>
      </c>
    </row>
    <row r="419">
      <c r="A419" s="33" t="str">
        <f>IFERROR(__xludf.DUMMYFUNCTION("""COMPUTED_VALUE"""),"Bandage Beetle")</f>
        <v>Bandage Beetle</v>
      </c>
      <c r="B419" s="33" t="str">
        <f t="array" ref="B419:I419">XLOOKUP($A419,Cards!$A$2:$A1000,Cards!$B$2:$I1000,"")</f>
        <v>Void</v>
      </c>
      <c r="C419" s="33">
        <v>1.0</v>
      </c>
      <c r="D419" s="33" t="s">
        <v>313</v>
      </c>
      <c r="E419" s="33" t="s">
        <v>2073</v>
      </c>
      <c r="F419" s="33" t="s">
        <v>2074</v>
      </c>
      <c r="G419" s="33">
        <v>3.0</v>
      </c>
      <c r="H419" s="33" t="s">
        <v>1688</v>
      </c>
      <c r="I419" s="33" t="s">
        <v>32</v>
      </c>
      <c r="J419" s="33">
        <f>IFERROR(__xludf.DUMMYFUNCTION("LEN(REGEXREPLACE(XLOOKUP($A419,Cards!$A$2:$A1000,Cards!$H$2:$H1000,""""),"",\s"",""""))"),2.0)</f>
        <v>2</v>
      </c>
      <c r="K419" s="33" t="str">
        <f t="shared" si="1"/>
        <v>      Ramp   Aggro   Ambush   </v>
      </c>
      <c r="L419" s="33" t="str">
        <f>IFERROR(__xludf.DUMMYFUNCTION("IF(IF(L$1="""","""",REGEXMATCH(LOWER($E419),XLOOKUP(L$1,Metadata!$A$2:$A1000,Metadata!$B$2:$B1000))),L$1,"""")"),"")</f>
        <v/>
      </c>
      <c r="M419" s="33" t="str">
        <f>IFERROR(__xludf.DUMMYFUNCTION("IF(IF(M$1="""","""",REGEXMATCH(LOWER($E419),XLOOKUP(M$1,Metadata!$A$2:$A1000,Metadata!$B$2:$B1000))),M$1,"""")"),"")</f>
        <v/>
      </c>
      <c r="N419" s="33" t="str">
        <f>IFERROR(__xludf.DUMMYFUNCTION("IF(IF(N$1="""","""",REGEXMATCH(LOWER($E419),XLOOKUP(N$1,Metadata!$A$2:$A1000,Metadata!$B$2:$B1000))),N$1,"""")"),"")</f>
        <v/>
      </c>
      <c r="O419" s="33" t="str">
        <f>IFERROR(__xludf.DUMMYFUNCTION("IF(IF(O$1="""","""",REGEXMATCH(LOWER($E419),XLOOKUP(O$1,Metadata!$A$2:$A1000,Metadata!$B$2:$B1000))),O$1,"""")"),"")</f>
        <v/>
      </c>
      <c r="P419" s="33" t="str">
        <f>IFERROR(__xludf.DUMMYFUNCTION("IF(IF(P$1="""","""",REGEXMATCH(LOWER($E419),XLOOKUP(P$1,Metadata!$A$2:$A1000,Metadata!$B$2:$B1000))),P$1,"""")"),"")</f>
        <v/>
      </c>
      <c r="Q419" s="33" t="str">
        <f>IFERROR(__xludf.DUMMYFUNCTION("IF(IF(Q$1="""","""",REGEXMATCH(LOWER($E419),XLOOKUP(Q$1,Metadata!$A$2:$A1000,Metadata!$B$2:$B1000))),Q$1,"""")"),"")</f>
        <v/>
      </c>
      <c r="R419" s="33" t="str">
        <f>IFERROR(__xludf.DUMMYFUNCTION("IF(IF(R$1="""","""",REGEXMATCH(LOWER($E419),XLOOKUP(R$1,Metadata!$A$2:$A1000,Metadata!$B$2:$B1000))),R$1,"""")"),"Ramp")</f>
        <v>Ramp</v>
      </c>
      <c r="S419" s="33" t="str">
        <f>IFERROR(__xludf.DUMMYFUNCTION("IF(IF(S$1="""","""",REGEXMATCH(LOWER($E419),XLOOKUP(S$1,Metadata!$A$2:$A1000,Metadata!$B$2:$B1000))),S$1,"""")"),"")</f>
        <v/>
      </c>
      <c r="T419" s="33" t="str">
        <f>IFERROR(__xludf.DUMMYFUNCTION("IF(IF(T$1="""","""",REGEXMATCH(LOWER($E419),XLOOKUP(T$1,Metadata!$A$2:$A1000,Metadata!$B$2:$B1000))),T$1,"""")"),"")</f>
        <v/>
      </c>
      <c r="U419" s="33" t="str">
        <f>IFERROR(__xludf.DUMMYFUNCTION("IF(IF(U$1="""","""",REGEXMATCH(LOWER($E419),XLOOKUP(U$1,Metadata!$A$2:$A1000,Metadata!$B$2:$B1000))),U$1,"""")"),"Aggro")</f>
        <v>Aggro</v>
      </c>
      <c r="V419" s="33" t="str">
        <f>IFERROR(__xludf.DUMMYFUNCTION("IF(IF(V$1="""","""",REGEXMATCH(LOWER($E419),XLOOKUP(V$1,Metadata!$A$2:$A1000,Metadata!$B$2:$B1000))),V$1,"""")"),"")</f>
        <v/>
      </c>
      <c r="W419" s="33" t="str">
        <f>IFERROR(__xludf.DUMMYFUNCTION("IF(IF(W$1="""","""",REGEXMATCH(LOWER($E419),XLOOKUP(W$1,Metadata!$A$2:$A1000,Metadata!$B$2:$B1000))),W$1,"""")"),"")</f>
        <v/>
      </c>
      <c r="X419" s="33" t="str">
        <f>IFERROR(__xludf.DUMMYFUNCTION("IF(IF(X$1="""","""",REGEXMATCH(LOWER($E419),XLOOKUP(X$1,Metadata!$A$2:$A1000,Metadata!$B$2:$B1000))),X$1,"""")"),"Ambush")</f>
        <v>Ambush</v>
      </c>
      <c r="Y419" s="33" t="str">
        <f>IFERROR(__xludf.DUMMYFUNCTION("IF(IF(Y$1="""","""",REGEXMATCH(LOWER($E419),XLOOKUP(Y$1,Metadata!$A$2:$A1000,Metadata!$B$2:$B1000))),Y$1,"""")"),"")</f>
        <v/>
      </c>
      <c r="Z419" s="33" t="str">
        <f>IFERROR(__xludf.DUMMYFUNCTION("IF(IF(Z$1="""","""",REGEXMATCH(LOWER($E419),XLOOKUP(Z$1,Metadata!$A$2:$A1000,Metadata!$B$2:$B1000))),Z$1,"""")"),"")</f>
        <v/>
      </c>
    </row>
    <row r="420">
      <c r="A420" s="33" t="str">
        <f>IFERROR(__xludf.DUMMYFUNCTION("""COMPUTED_VALUE"""),"Deadfield Tiller")</f>
        <v>Deadfield Tiller</v>
      </c>
      <c r="B420" s="33" t="str">
        <f t="array" ref="B420:I420">XLOOKUP($A420,Cards!$A$2:$A1000,Cards!$B$2:$I1000,"")</f>
        <v>Void</v>
      </c>
      <c r="C420" s="33">
        <v>1.0</v>
      </c>
      <c r="D420" s="33" t="s">
        <v>1636</v>
      </c>
      <c r="E420" s="33" t="s">
        <v>2076</v>
      </c>
      <c r="F420" s="33"/>
      <c r="G420" s="33">
        <v>2.0</v>
      </c>
      <c r="H420" s="33" t="s">
        <v>2077</v>
      </c>
      <c r="I420" s="33" t="s">
        <v>32</v>
      </c>
      <c r="J420" s="33">
        <f>IFERROR(__xludf.DUMMYFUNCTION("LEN(REGEXREPLACE(XLOOKUP($A420,Cards!$A$2:$A1000,Cards!$H$2:$H1000,""""),"",\s"",""""))"),3.0)</f>
        <v>3</v>
      </c>
      <c r="K420" s="33" t="str">
        <f t="shared" si="1"/>
        <v>     Unearth          </v>
      </c>
      <c r="L420" s="33" t="str">
        <f>IFERROR(__xludf.DUMMYFUNCTION("IF(IF(L$1="""","""",REGEXMATCH(LOWER($E420),XLOOKUP(L$1,Metadata!$A$2:$A1000,Metadata!$B$2:$B1000))),L$1,"""")"),"")</f>
        <v/>
      </c>
      <c r="M420" s="33" t="str">
        <f>IFERROR(__xludf.DUMMYFUNCTION("IF(IF(M$1="""","""",REGEXMATCH(LOWER($E420),XLOOKUP(M$1,Metadata!$A$2:$A1000,Metadata!$B$2:$B1000))),M$1,"""")"),"")</f>
        <v/>
      </c>
      <c r="N420" s="33" t="str">
        <f>IFERROR(__xludf.DUMMYFUNCTION("IF(IF(N$1="""","""",REGEXMATCH(LOWER($E420),XLOOKUP(N$1,Metadata!$A$2:$A1000,Metadata!$B$2:$B1000))),N$1,"""")"),"")</f>
        <v/>
      </c>
      <c r="O420" s="33" t="str">
        <f>IFERROR(__xludf.DUMMYFUNCTION("IF(IF(O$1="""","""",REGEXMATCH(LOWER($E420),XLOOKUP(O$1,Metadata!$A$2:$A1000,Metadata!$B$2:$B1000))),O$1,"""")"),"")</f>
        <v/>
      </c>
      <c r="P420" s="33" t="str">
        <f>IFERROR(__xludf.DUMMYFUNCTION("IF(IF(P$1="""","""",REGEXMATCH(LOWER($E420),XLOOKUP(P$1,Metadata!$A$2:$A1000,Metadata!$B$2:$B1000))),P$1,"""")"),"")</f>
        <v/>
      </c>
      <c r="Q420" s="33" t="str">
        <f>IFERROR(__xludf.DUMMYFUNCTION("IF(IF(Q$1="""","""",REGEXMATCH(LOWER($E420),XLOOKUP(Q$1,Metadata!$A$2:$A1000,Metadata!$B$2:$B1000))),Q$1,"""")"),"Unearth")</f>
        <v>Unearth</v>
      </c>
      <c r="R420" s="33" t="str">
        <f>IFERROR(__xludf.DUMMYFUNCTION("IF(IF(R$1="""","""",REGEXMATCH(LOWER($E420),XLOOKUP(R$1,Metadata!$A$2:$A1000,Metadata!$B$2:$B1000))),R$1,"""")"),"")</f>
        <v/>
      </c>
      <c r="S420" s="33" t="str">
        <f>IFERROR(__xludf.DUMMYFUNCTION("IF(IF(S$1="""","""",REGEXMATCH(LOWER($E420),XLOOKUP(S$1,Metadata!$A$2:$A1000,Metadata!$B$2:$B1000))),S$1,"""")"),"")</f>
        <v/>
      </c>
      <c r="T420" s="33" t="str">
        <f>IFERROR(__xludf.DUMMYFUNCTION("IF(IF(T$1="""","""",REGEXMATCH(LOWER($E420),XLOOKUP(T$1,Metadata!$A$2:$A1000,Metadata!$B$2:$B1000))),T$1,"""")"),"")</f>
        <v/>
      </c>
      <c r="U420" s="33" t="str">
        <f>IFERROR(__xludf.DUMMYFUNCTION("IF(IF(U$1="""","""",REGEXMATCH(LOWER($E420),XLOOKUP(U$1,Metadata!$A$2:$A1000,Metadata!$B$2:$B1000))),U$1,"""")"),"")</f>
        <v/>
      </c>
      <c r="V420" s="33" t="str">
        <f>IFERROR(__xludf.DUMMYFUNCTION("IF(IF(V$1="""","""",REGEXMATCH(LOWER($E420),XLOOKUP(V$1,Metadata!$A$2:$A1000,Metadata!$B$2:$B1000))),V$1,"""")"),"")</f>
        <v/>
      </c>
      <c r="W420" s="33" t="str">
        <f>IFERROR(__xludf.DUMMYFUNCTION("IF(IF(W$1="""","""",REGEXMATCH(LOWER($E420),XLOOKUP(W$1,Metadata!$A$2:$A1000,Metadata!$B$2:$B1000))),W$1,"""")"),"")</f>
        <v/>
      </c>
      <c r="X420" s="33" t="str">
        <f>IFERROR(__xludf.DUMMYFUNCTION("IF(IF(X$1="""","""",REGEXMATCH(LOWER($E420),XLOOKUP(X$1,Metadata!$A$2:$A1000,Metadata!$B$2:$B1000))),X$1,"""")"),"")</f>
        <v/>
      </c>
      <c r="Y420" s="33" t="str">
        <f>IFERROR(__xludf.DUMMYFUNCTION("IF(IF(Y$1="""","""",REGEXMATCH(LOWER($E420),XLOOKUP(Y$1,Metadata!$A$2:$A1000,Metadata!$B$2:$B1000))),Y$1,"""")"),"")</f>
        <v/>
      </c>
      <c r="Z420" s="33" t="str">
        <f>IFERROR(__xludf.DUMMYFUNCTION("IF(IF(Z$1="""","""",REGEXMATCH(LOWER($E420),XLOOKUP(Z$1,Metadata!$A$2:$A1000,Metadata!$B$2:$B1000))),Z$1,"""")"),"")</f>
        <v/>
      </c>
    </row>
    <row r="421">
      <c r="A421" s="33" t="str">
        <f>IFERROR(__xludf.DUMMYFUNCTION("""COMPUTED_VALUE"""),"Frightweaver")</f>
        <v>Frightweaver</v>
      </c>
      <c r="B421" s="33" t="str">
        <f t="array" ref="B421:I421">XLOOKUP($A421,Cards!$A$2:$A1000,Cards!$B$2:$I1000,"")</f>
        <v>Void</v>
      </c>
      <c r="C421" s="33">
        <v>1.0</v>
      </c>
      <c r="D421" s="33" t="s">
        <v>599</v>
      </c>
      <c r="E421" s="33" t="s">
        <v>2079</v>
      </c>
      <c r="F421" s="33" t="s">
        <v>2080</v>
      </c>
      <c r="G421" s="33">
        <v>3.0</v>
      </c>
      <c r="H421" s="33" t="s">
        <v>1684</v>
      </c>
      <c r="I421" s="33" t="s">
        <v>32</v>
      </c>
      <c r="J421" s="33">
        <f>IFERROR(__xludf.DUMMYFUNCTION("LEN(REGEXREPLACE(XLOOKUP($A421,Cards!$A$2:$A1000,Cards!$H$2:$H1000,""""),"",\s"",""""))"),3.0)</f>
        <v>3</v>
      </c>
      <c r="K421" s="33" t="str">
        <f t="shared" si="1"/>
        <v>            Ambush   </v>
      </c>
      <c r="L421" s="33" t="str">
        <f>IFERROR(__xludf.DUMMYFUNCTION("IF(IF(L$1="""","""",REGEXMATCH(LOWER($E421),XLOOKUP(L$1,Metadata!$A$2:$A1000,Metadata!$B$2:$B1000))),L$1,"""")"),"")</f>
        <v/>
      </c>
      <c r="M421" s="33" t="str">
        <f>IFERROR(__xludf.DUMMYFUNCTION("IF(IF(M$1="""","""",REGEXMATCH(LOWER($E421),XLOOKUP(M$1,Metadata!$A$2:$A1000,Metadata!$B$2:$B1000))),M$1,"""")"),"")</f>
        <v/>
      </c>
      <c r="N421" s="33" t="str">
        <f>IFERROR(__xludf.DUMMYFUNCTION("IF(IF(N$1="""","""",REGEXMATCH(LOWER($E421),XLOOKUP(N$1,Metadata!$A$2:$A1000,Metadata!$B$2:$B1000))),N$1,"""")"),"")</f>
        <v/>
      </c>
      <c r="O421" s="33" t="str">
        <f>IFERROR(__xludf.DUMMYFUNCTION("IF(IF(O$1="""","""",REGEXMATCH(LOWER($E421),XLOOKUP(O$1,Metadata!$A$2:$A1000,Metadata!$B$2:$B1000))),O$1,"""")"),"")</f>
        <v/>
      </c>
      <c r="P421" s="33" t="str">
        <f>IFERROR(__xludf.DUMMYFUNCTION("IF(IF(P$1="""","""",REGEXMATCH(LOWER($E421),XLOOKUP(P$1,Metadata!$A$2:$A1000,Metadata!$B$2:$B1000))),P$1,"""")"),"")</f>
        <v/>
      </c>
      <c r="Q421" s="33" t="str">
        <f>IFERROR(__xludf.DUMMYFUNCTION("IF(IF(Q$1="""","""",REGEXMATCH(LOWER($E421),XLOOKUP(Q$1,Metadata!$A$2:$A1000,Metadata!$B$2:$B1000))),Q$1,"""")"),"")</f>
        <v/>
      </c>
      <c r="R421" s="33" t="str">
        <f>IFERROR(__xludf.DUMMYFUNCTION("IF(IF(R$1="""","""",REGEXMATCH(LOWER($E421),XLOOKUP(R$1,Metadata!$A$2:$A1000,Metadata!$B$2:$B1000))),R$1,"""")"),"")</f>
        <v/>
      </c>
      <c r="S421" s="33" t="str">
        <f>IFERROR(__xludf.DUMMYFUNCTION("IF(IF(S$1="""","""",REGEXMATCH(LOWER($E421),XLOOKUP(S$1,Metadata!$A$2:$A1000,Metadata!$B$2:$B1000))),S$1,"""")"),"")</f>
        <v/>
      </c>
      <c r="T421" s="33" t="str">
        <f>IFERROR(__xludf.DUMMYFUNCTION("IF(IF(T$1="""","""",REGEXMATCH(LOWER($E421),XLOOKUP(T$1,Metadata!$A$2:$A1000,Metadata!$B$2:$B1000))),T$1,"""")"),"")</f>
        <v/>
      </c>
      <c r="U421" s="33" t="str">
        <f>IFERROR(__xludf.DUMMYFUNCTION("IF(IF(U$1="""","""",REGEXMATCH(LOWER($E421),XLOOKUP(U$1,Metadata!$A$2:$A1000,Metadata!$B$2:$B1000))),U$1,"""")"),"")</f>
        <v/>
      </c>
      <c r="V421" s="33" t="str">
        <f>IFERROR(__xludf.DUMMYFUNCTION("IF(IF(V$1="""","""",REGEXMATCH(LOWER($E421),XLOOKUP(V$1,Metadata!$A$2:$A1000,Metadata!$B$2:$B1000))),V$1,"""")"),"")</f>
        <v/>
      </c>
      <c r="W421" s="33" t="str">
        <f>IFERROR(__xludf.DUMMYFUNCTION("IF(IF(W$1="""","""",REGEXMATCH(LOWER($E421),XLOOKUP(W$1,Metadata!$A$2:$A1000,Metadata!$B$2:$B1000))),W$1,"""")"),"")</f>
        <v/>
      </c>
      <c r="X421" s="33" t="str">
        <f>IFERROR(__xludf.DUMMYFUNCTION("IF(IF(X$1="""","""",REGEXMATCH(LOWER($E421),XLOOKUP(X$1,Metadata!$A$2:$A1000,Metadata!$B$2:$B1000))),X$1,"""")"),"Ambush")</f>
        <v>Ambush</v>
      </c>
      <c r="Y421" s="33" t="str">
        <f>IFERROR(__xludf.DUMMYFUNCTION("IF(IF(Y$1="""","""",REGEXMATCH(LOWER($E421),XLOOKUP(Y$1,Metadata!$A$2:$A1000,Metadata!$B$2:$B1000))),Y$1,"""")"),"")</f>
        <v/>
      </c>
      <c r="Z421" s="33" t="str">
        <f>IFERROR(__xludf.DUMMYFUNCTION("IF(IF(Z$1="""","""",REGEXMATCH(LOWER($E421),XLOOKUP(Z$1,Metadata!$A$2:$A1000,Metadata!$B$2:$B1000))),Z$1,"""")"),"")</f>
        <v/>
      </c>
    </row>
    <row r="422">
      <c r="A422" s="33" t="str">
        <f>IFERROR(__xludf.DUMMYFUNCTION("""COMPUTED_VALUE"""),"Mini Golem")</f>
        <v>Mini Golem</v>
      </c>
      <c r="B422" s="33" t="str">
        <f t="array" ref="B422:I422">XLOOKUP($A422,Cards!$A$2:$A1000,Cards!$B$2:$I1000,"")</f>
        <v/>
      </c>
      <c r="C422" s="33">
        <v>1.0</v>
      </c>
      <c r="D422" s="33" t="s">
        <v>70</v>
      </c>
      <c r="E422" s="33"/>
      <c r="F422" s="33" t="s">
        <v>2082</v>
      </c>
      <c r="G422" s="33">
        <v>3.0</v>
      </c>
      <c r="H422" s="33" t="s">
        <v>1859</v>
      </c>
      <c r="I422" s="33" t="s">
        <v>26</v>
      </c>
      <c r="J422" s="33">
        <f>IFERROR(__xludf.DUMMYFUNCTION("LEN(REGEXREPLACE(XLOOKUP($A422,Cards!$A$2:$A1000,Cards!$H$2:$H1000,""""),"",\s"",""""))"),4.0)</f>
        <v>4</v>
      </c>
      <c r="K422" s="33" t="str">
        <f t="shared" si="1"/>
        <v>               </v>
      </c>
      <c r="L422" s="33" t="str">
        <f>IFERROR(__xludf.DUMMYFUNCTION("IF(IF(L$1="""","""",REGEXMATCH(LOWER($E422),XLOOKUP(L$1,Metadata!$A$2:$A1000,Metadata!$B$2:$B1000))),L$1,"""")"),"")</f>
        <v/>
      </c>
      <c r="M422" s="33" t="str">
        <f>IFERROR(__xludf.DUMMYFUNCTION("IF(IF(M$1="""","""",REGEXMATCH(LOWER($E422),XLOOKUP(M$1,Metadata!$A$2:$A1000,Metadata!$B$2:$B1000))),M$1,"""")"),"")</f>
        <v/>
      </c>
      <c r="N422" s="33" t="str">
        <f>IFERROR(__xludf.DUMMYFUNCTION("IF(IF(N$1="""","""",REGEXMATCH(LOWER($E422),XLOOKUP(N$1,Metadata!$A$2:$A1000,Metadata!$B$2:$B1000))),N$1,"""")"),"")</f>
        <v/>
      </c>
      <c r="O422" s="33" t="str">
        <f>IFERROR(__xludf.DUMMYFUNCTION("IF(IF(O$1="""","""",REGEXMATCH(LOWER($E422),XLOOKUP(O$1,Metadata!$A$2:$A1000,Metadata!$B$2:$B1000))),O$1,"""")"),"")</f>
        <v/>
      </c>
      <c r="P422" s="33" t="str">
        <f>IFERROR(__xludf.DUMMYFUNCTION("IF(IF(P$1="""","""",REGEXMATCH(LOWER($E422),XLOOKUP(P$1,Metadata!$A$2:$A1000,Metadata!$B$2:$B1000))),P$1,"""")"),"")</f>
        <v/>
      </c>
      <c r="Q422" s="33" t="str">
        <f>IFERROR(__xludf.DUMMYFUNCTION("IF(IF(Q$1="""","""",REGEXMATCH(LOWER($E422),XLOOKUP(Q$1,Metadata!$A$2:$A1000,Metadata!$B$2:$B1000))),Q$1,"""")"),"")</f>
        <v/>
      </c>
      <c r="R422" s="33" t="str">
        <f>IFERROR(__xludf.DUMMYFUNCTION("IF(IF(R$1="""","""",REGEXMATCH(LOWER($E422),XLOOKUP(R$1,Metadata!$A$2:$A1000,Metadata!$B$2:$B1000))),R$1,"""")"),"")</f>
        <v/>
      </c>
      <c r="S422" s="33" t="str">
        <f>IFERROR(__xludf.DUMMYFUNCTION("IF(IF(S$1="""","""",REGEXMATCH(LOWER($E422),XLOOKUP(S$1,Metadata!$A$2:$A1000,Metadata!$B$2:$B1000))),S$1,"""")"),"")</f>
        <v/>
      </c>
      <c r="T422" s="33" t="str">
        <f>IFERROR(__xludf.DUMMYFUNCTION("IF(IF(T$1="""","""",REGEXMATCH(LOWER($E422),XLOOKUP(T$1,Metadata!$A$2:$A1000,Metadata!$B$2:$B1000))),T$1,"""")"),"")</f>
        <v/>
      </c>
      <c r="U422" s="33" t="str">
        <f>IFERROR(__xludf.DUMMYFUNCTION("IF(IF(U$1="""","""",REGEXMATCH(LOWER($E422),XLOOKUP(U$1,Metadata!$A$2:$A1000,Metadata!$B$2:$B1000))),U$1,"""")"),"")</f>
        <v/>
      </c>
      <c r="V422" s="33" t="str">
        <f>IFERROR(__xludf.DUMMYFUNCTION("IF(IF(V$1="""","""",REGEXMATCH(LOWER($E422),XLOOKUP(V$1,Metadata!$A$2:$A1000,Metadata!$B$2:$B1000))),V$1,"""")"),"")</f>
        <v/>
      </c>
      <c r="W422" s="33" t="str">
        <f>IFERROR(__xludf.DUMMYFUNCTION("IF(IF(W$1="""","""",REGEXMATCH(LOWER($E422),XLOOKUP(W$1,Metadata!$A$2:$A1000,Metadata!$B$2:$B1000))),W$1,"""")"),"")</f>
        <v/>
      </c>
      <c r="X422" s="33" t="str">
        <f>IFERROR(__xludf.DUMMYFUNCTION("IF(IF(X$1="""","""",REGEXMATCH(LOWER($E422),XLOOKUP(X$1,Metadata!$A$2:$A1000,Metadata!$B$2:$B1000))),X$1,"""")"),"")</f>
        <v/>
      </c>
      <c r="Y422" s="33" t="str">
        <f>IFERROR(__xludf.DUMMYFUNCTION("IF(IF(Y$1="""","""",REGEXMATCH(LOWER($E422),XLOOKUP(Y$1,Metadata!$A$2:$A1000,Metadata!$B$2:$B1000))),Y$1,"""")"),"")</f>
        <v/>
      </c>
      <c r="Z422" s="33" t="str">
        <f>IFERROR(__xludf.DUMMYFUNCTION("IF(IF(Z$1="""","""",REGEXMATCH(LOWER($E422),XLOOKUP(Z$1,Metadata!$A$2:$A1000,Metadata!$B$2:$B1000))),Z$1,"""")"),"")</f>
        <v/>
      </c>
    </row>
    <row r="423">
      <c r="A423" s="33" t="str">
        <f>IFERROR(__xludf.DUMMYFUNCTION("""COMPUTED_VALUE"""),"Clocktower Drake")</f>
        <v>Clocktower Drake</v>
      </c>
      <c r="B423" s="33" t="str">
        <f t="array" ref="B423:I423">XLOOKUP($A423,Cards!$A$2:$A1000,Cards!$B$2:$I1000,"")</f>
        <v/>
      </c>
      <c r="C423" s="33">
        <v>1.0</v>
      </c>
      <c r="D423" s="33" t="s">
        <v>53</v>
      </c>
      <c r="E423" s="33"/>
      <c r="F423" s="33" t="s">
        <v>2084</v>
      </c>
      <c r="G423" s="33">
        <v>6.0</v>
      </c>
      <c r="H423" s="33" t="s">
        <v>2085</v>
      </c>
      <c r="I423" s="33" t="s">
        <v>26</v>
      </c>
      <c r="J423" s="33">
        <f>IFERROR(__xludf.DUMMYFUNCTION("LEN(REGEXREPLACE(XLOOKUP($A423,Cards!$A$2:$A1000,Cards!$H$2:$H1000,""""),"",\s"",""""))"),7.0)</f>
        <v>7</v>
      </c>
      <c r="K423" s="33" t="str">
        <f t="shared" si="1"/>
        <v>               </v>
      </c>
      <c r="L423" s="33" t="str">
        <f>IFERROR(__xludf.DUMMYFUNCTION("IF(IF(L$1="""","""",REGEXMATCH(LOWER($E423),XLOOKUP(L$1,Metadata!$A$2:$A1000,Metadata!$B$2:$B1000))),L$1,"""")"),"")</f>
        <v/>
      </c>
      <c r="M423" s="33" t="str">
        <f>IFERROR(__xludf.DUMMYFUNCTION("IF(IF(M$1="""","""",REGEXMATCH(LOWER($E423),XLOOKUP(M$1,Metadata!$A$2:$A1000,Metadata!$B$2:$B1000))),M$1,"""")"),"")</f>
        <v/>
      </c>
      <c r="N423" s="33" t="str">
        <f>IFERROR(__xludf.DUMMYFUNCTION("IF(IF(N$1="""","""",REGEXMATCH(LOWER($E423),XLOOKUP(N$1,Metadata!$A$2:$A1000,Metadata!$B$2:$B1000))),N$1,"""")"),"")</f>
        <v/>
      </c>
      <c r="O423" s="33" t="str">
        <f>IFERROR(__xludf.DUMMYFUNCTION("IF(IF(O$1="""","""",REGEXMATCH(LOWER($E423),XLOOKUP(O$1,Metadata!$A$2:$A1000,Metadata!$B$2:$B1000))),O$1,"""")"),"")</f>
        <v/>
      </c>
      <c r="P423" s="33" t="str">
        <f>IFERROR(__xludf.DUMMYFUNCTION("IF(IF(P$1="""","""",REGEXMATCH(LOWER($E423),XLOOKUP(P$1,Metadata!$A$2:$A1000,Metadata!$B$2:$B1000))),P$1,"""")"),"")</f>
        <v/>
      </c>
      <c r="Q423" s="33" t="str">
        <f>IFERROR(__xludf.DUMMYFUNCTION("IF(IF(Q$1="""","""",REGEXMATCH(LOWER($E423),XLOOKUP(Q$1,Metadata!$A$2:$A1000,Metadata!$B$2:$B1000))),Q$1,"""")"),"")</f>
        <v/>
      </c>
      <c r="R423" s="33" t="str">
        <f>IFERROR(__xludf.DUMMYFUNCTION("IF(IF(R$1="""","""",REGEXMATCH(LOWER($E423),XLOOKUP(R$1,Metadata!$A$2:$A1000,Metadata!$B$2:$B1000))),R$1,"""")"),"")</f>
        <v/>
      </c>
      <c r="S423" s="33" t="str">
        <f>IFERROR(__xludf.DUMMYFUNCTION("IF(IF(S$1="""","""",REGEXMATCH(LOWER($E423),XLOOKUP(S$1,Metadata!$A$2:$A1000,Metadata!$B$2:$B1000))),S$1,"""")"),"")</f>
        <v/>
      </c>
      <c r="T423" s="33" t="str">
        <f>IFERROR(__xludf.DUMMYFUNCTION("IF(IF(T$1="""","""",REGEXMATCH(LOWER($E423),XLOOKUP(T$1,Metadata!$A$2:$A1000,Metadata!$B$2:$B1000))),T$1,"""")"),"")</f>
        <v/>
      </c>
      <c r="U423" s="33" t="str">
        <f>IFERROR(__xludf.DUMMYFUNCTION("IF(IF(U$1="""","""",REGEXMATCH(LOWER($E423),XLOOKUP(U$1,Metadata!$A$2:$A1000,Metadata!$B$2:$B1000))),U$1,"""")"),"")</f>
        <v/>
      </c>
      <c r="V423" s="33" t="str">
        <f>IFERROR(__xludf.DUMMYFUNCTION("IF(IF(V$1="""","""",REGEXMATCH(LOWER($E423),XLOOKUP(V$1,Metadata!$A$2:$A1000,Metadata!$B$2:$B1000))),V$1,"""")"),"")</f>
        <v/>
      </c>
      <c r="W423" s="33" t="str">
        <f>IFERROR(__xludf.DUMMYFUNCTION("IF(IF(W$1="""","""",REGEXMATCH(LOWER($E423),XLOOKUP(W$1,Metadata!$A$2:$A1000,Metadata!$B$2:$B1000))),W$1,"""")"),"")</f>
        <v/>
      </c>
      <c r="X423" s="33" t="str">
        <f>IFERROR(__xludf.DUMMYFUNCTION("IF(IF(X$1="""","""",REGEXMATCH(LOWER($E423),XLOOKUP(X$1,Metadata!$A$2:$A1000,Metadata!$B$2:$B1000))),X$1,"""")"),"")</f>
        <v/>
      </c>
      <c r="Y423" s="33" t="str">
        <f>IFERROR(__xludf.DUMMYFUNCTION("IF(IF(Y$1="""","""",REGEXMATCH(LOWER($E423),XLOOKUP(Y$1,Metadata!$A$2:$A1000,Metadata!$B$2:$B1000))),Y$1,"""")"),"")</f>
        <v/>
      </c>
      <c r="Z423" s="33" t="str">
        <f>IFERROR(__xludf.DUMMYFUNCTION("IF(IF(Z$1="""","""",REGEXMATCH(LOWER($E423),XLOOKUP(Z$1,Metadata!$A$2:$A1000,Metadata!$B$2:$B1000))),Z$1,"""")"),"")</f>
        <v/>
      </c>
    </row>
    <row r="424">
      <c r="A424" s="33" t="str">
        <f>IFERROR(__xludf.DUMMYFUNCTION("""COMPUTED_VALUE"""),"Roaming Cherub")</f>
        <v>Roaming Cherub</v>
      </c>
      <c r="B424" s="33" t="str">
        <f t="array" ref="B424:I424">XLOOKUP($A424,Cards!$A$2:$A1000,Cards!$B$2:$I1000,"")</f>
        <v>Divine</v>
      </c>
      <c r="C424" s="33">
        <v>1.0</v>
      </c>
      <c r="D424" s="33" t="s">
        <v>221</v>
      </c>
      <c r="E424" s="33" t="s">
        <v>2087</v>
      </c>
      <c r="F424" s="33"/>
      <c r="G424" s="33">
        <v>4.0</v>
      </c>
      <c r="H424" s="33" t="s">
        <v>246</v>
      </c>
      <c r="I424" s="33" t="s">
        <v>26</v>
      </c>
      <c r="J424" s="33">
        <f>IFERROR(__xludf.DUMMYFUNCTION("LEN(REGEXREPLACE(XLOOKUP($A424,Cards!$A$2:$A1000,Cards!$H$2:$H1000,""""),"",\s"",""""))"),5.0)</f>
        <v>5</v>
      </c>
      <c r="K424" s="33" t="str">
        <f t="shared" si="1"/>
        <v>               </v>
      </c>
      <c r="L424" s="33" t="str">
        <f>IFERROR(__xludf.DUMMYFUNCTION("IF(IF(L$1="""","""",REGEXMATCH(LOWER($E424),XLOOKUP(L$1,Metadata!$A$2:$A1000,Metadata!$B$2:$B1000))),L$1,"""")"),"")</f>
        <v/>
      </c>
      <c r="M424" s="33" t="str">
        <f>IFERROR(__xludf.DUMMYFUNCTION("IF(IF(M$1="""","""",REGEXMATCH(LOWER($E424),XLOOKUP(M$1,Metadata!$A$2:$A1000,Metadata!$B$2:$B1000))),M$1,"""")"),"")</f>
        <v/>
      </c>
      <c r="N424" s="33" t="str">
        <f>IFERROR(__xludf.DUMMYFUNCTION("IF(IF(N$1="""","""",REGEXMATCH(LOWER($E424),XLOOKUP(N$1,Metadata!$A$2:$A1000,Metadata!$B$2:$B1000))),N$1,"""")"),"")</f>
        <v/>
      </c>
      <c r="O424" s="33" t="str">
        <f>IFERROR(__xludf.DUMMYFUNCTION("IF(IF(O$1="""","""",REGEXMATCH(LOWER($E424),XLOOKUP(O$1,Metadata!$A$2:$A1000,Metadata!$B$2:$B1000))),O$1,"""")"),"")</f>
        <v/>
      </c>
      <c r="P424" s="33" t="str">
        <f>IFERROR(__xludf.DUMMYFUNCTION("IF(IF(P$1="""","""",REGEXMATCH(LOWER($E424),XLOOKUP(P$1,Metadata!$A$2:$A1000,Metadata!$B$2:$B1000))),P$1,"""")"),"")</f>
        <v/>
      </c>
      <c r="Q424" s="33" t="str">
        <f>IFERROR(__xludf.DUMMYFUNCTION("IF(IF(Q$1="""","""",REGEXMATCH(LOWER($E424),XLOOKUP(Q$1,Metadata!$A$2:$A1000,Metadata!$B$2:$B1000))),Q$1,"""")"),"")</f>
        <v/>
      </c>
      <c r="R424" s="33" t="str">
        <f>IFERROR(__xludf.DUMMYFUNCTION("IF(IF(R$1="""","""",REGEXMATCH(LOWER($E424),XLOOKUP(R$1,Metadata!$A$2:$A1000,Metadata!$B$2:$B1000))),R$1,"""")"),"")</f>
        <v/>
      </c>
      <c r="S424" s="33" t="str">
        <f>IFERROR(__xludf.DUMMYFUNCTION("IF(IF(S$1="""","""",REGEXMATCH(LOWER($E424),XLOOKUP(S$1,Metadata!$A$2:$A1000,Metadata!$B$2:$B1000))),S$1,"""")"),"")</f>
        <v/>
      </c>
      <c r="T424" s="33" t="str">
        <f>IFERROR(__xludf.DUMMYFUNCTION("IF(IF(T$1="""","""",REGEXMATCH(LOWER($E424),XLOOKUP(T$1,Metadata!$A$2:$A1000,Metadata!$B$2:$B1000))),T$1,"""")"),"")</f>
        <v/>
      </c>
      <c r="U424" s="33" t="str">
        <f>IFERROR(__xludf.DUMMYFUNCTION("IF(IF(U$1="""","""",REGEXMATCH(LOWER($E424),XLOOKUP(U$1,Metadata!$A$2:$A1000,Metadata!$B$2:$B1000))),U$1,"""")"),"")</f>
        <v/>
      </c>
      <c r="V424" s="33" t="str">
        <f>IFERROR(__xludf.DUMMYFUNCTION("IF(IF(V$1="""","""",REGEXMATCH(LOWER($E424),XLOOKUP(V$1,Metadata!$A$2:$A1000,Metadata!$B$2:$B1000))),V$1,"""")"),"")</f>
        <v/>
      </c>
      <c r="W424" s="33" t="str">
        <f>IFERROR(__xludf.DUMMYFUNCTION("IF(IF(W$1="""","""",REGEXMATCH(LOWER($E424),XLOOKUP(W$1,Metadata!$A$2:$A1000,Metadata!$B$2:$B1000))),W$1,"""")"),"")</f>
        <v/>
      </c>
      <c r="X424" s="33" t="str">
        <f>IFERROR(__xludf.DUMMYFUNCTION("IF(IF(X$1="""","""",REGEXMATCH(LOWER($E424),XLOOKUP(X$1,Metadata!$A$2:$A1000,Metadata!$B$2:$B1000))),X$1,"""")"),"")</f>
        <v/>
      </c>
      <c r="Y424" s="33" t="str">
        <f>IFERROR(__xludf.DUMMYFUNCTION("IF(IF(Y$1="""","""",REGEXMATCH(LOWER($E424),XLOOKUP(Y$1,Metadata!$A$2:$A1000,Metadata!$B$2:$B1000))),Y$1,"""")"),"")</f>
        <v/>
      </c>
      <c r="Z424" s="33" t="str">
        <f>IFERROR(__xludf.DUMMYFUNCTION("IF(IF(Z$1="""","""",REGEXMATCH(LOWER($E424),XLOOKUP(Z$1,Metadata!$A$2:$A1000,Metadata!$B$2:$B1000))),Z$1,"""")"),"")</f>
        <v/>
      </c>
    </row>
    <row r="425">
      <c r="A425" s="33" t="str">
        <f>IFERROR(__xludf.DUMMYFUNCTION("""COMPUTED_VALUE"""),"Old Bessy")</f>
        <v>Old Bessy</v>
      </c>
      <c r="B425" s="33" t="str">
        <f t="array" ref="B425:I425">XLOOKUP($A425,Cards!$A$2:$A1000,Cards!$B$2:$I1000,"")</f>
        <v/>
      </c>
      <c r="C425" s="33">
        <v>1.0</v>
      </c>
      <c r="D425" s="33" t="s">
        <v>97</v>
      </c>
      <c r="E425" s="33" t="s">
        <v>2089</v>
      </c>
      <c r="F425" s="33" t="s">
        <v>2090</v>
      </c>
      <c r="G425" s="33">
        <v>3.0</v>
      </c>
      <c r="H425" s="33" t="s">
        <v>1859</v>
      </c>
      <c r="I425" s="33" t="s">
        <v>32</v>
      </c>
      <c r="J425" s="33">
        <f>IFERROR(__xludf.DUMMYFUNCTION("LEN(REGEXREPLACE(XLOOKUP($A425,Cards!$A$2:$A1000,Cards!$H$2:$H1000,""""),"",\s"",""""))"),4.0)</f>
        <v>4</v>
      </c>
      <c r="K425" s="33" t="str">
        <f t="shared" si="1"/>
        <v>               </v>
      </c>
      <c r="L425" s="33" t="str">
        <f>IFERROR(__xludf.DUMMYFUNCTION("IF(IF(L$1="""","""",REGEXMATCH(LOWER($E425),XLOOKUP(L$1,Metadata!$A$2:$A1000,Metadata!$B$2:$B1000))),L$1,"""")"),"")</f>
        <v/>
      </c>
      <c r="M425" s="33" t="str">
        <f>IFERROR(__xludf.DUMMYFUNCTION("IF(IF(M$1="""","""",REGEXMATCH(LOWER($E425),XLOOKUP(M$1,Metadata!$A$2:$A1000,Metadata!$B$2:$B1000))),M$1,"""")"),"")</f>
        <v/>
      </c>
      <c r="N425" s="33" t="str">
        <f>IFERROR(__xludf.DUMMYFUNCTION("IF(IF(N$1="""","""",REGEXMATCH(LOWER($E425),XLOOKUP(N$1,Metadata!$A$2:$A1000,Metadata!$B$2:$B1000))),N$1,"""")"),"")</f>
        <v/>
      </c>
      <c r="O425" s="33" t="str">
        <f>IFERROR(__xludf.DUMMYFUNCTION("IF(IF(O$1="""","""",REGEXMATCH(LOWER($E425),XLOOKUP(O$1,Metadata!$A$2:$A1000,Metadata!$B$2:$B1000))),O$1,"""")"),"")</f>
        <v/>
      </c>
      <c r="P425" s="33" t="str">
        <f>IFERROR(__xludf.DUMMYFUNCTION("IF(IF(P$1="""","""",REGEXMATCH(LOWER($E425),XLOOKUP(P$1,Metadata!$A$2:$A1000,Metadata!$B$2:$B1000))),P$1,"""")"),"")</f>
        <v/>
      </c>
      <c r="Q425" s="33" t="str">
        <f>IFERROR(__xludf.DUMMYFUNCTION("IF(IF(Q$1="""","""",REGEXMATCH(LOWER($E425),XLOOKUP(Q$1,Metadata!$A$2:$A1000,Metadata!$B$2:$B1000))),Q$1,"""")"),"")</f>
        <v/>
      </c>
      <c r="R425" s="33" t="str">
        <f>IFERROR(__xludf.DUMMYFUNCTION("IF(IF(R$1="""","""",REGEXMATCH(LOWER($E425),XLOOKUP(R$1,Metadata!$A$2:$A1000,Metadata!$B$2:$B1000))),R$1,"""")"),"")</f>
        <v/>
      </c>
      <c r="S425" s="33" t="str">
        <f>IFERROR(__xludf.DUMMYFUNCTION("IF(IF(S$1="""","""",REGEXMATCH(LOWER($E425),XLOOKUP(S$1,Metadata!$A$2:$A1000,Metadata!$B$2:$B1000))),S$1,"""")"),"")</f>
        <v/>
      </c>
      <c r="T425" s="33" t="str">
        <f>IFERROR(__xludf.DUMMYFUNCTION("IF(IF(T$1="""","""",REGEXMATCH(LOWER($E425),XLOOKUP(T$1,Metadata!$A$2:$A1000,Metadata!$B$2:$B1000))),T$1,"""")"),"")</f>
        <v/>
      </c>
      <c r="U425" s="33" t="str">
        <f>IFERROR(__xludf.DUMMYFUNCTION("IF(IF(U$1="""","""",REGEXMATCH(LOWER($E425),XLOOKUP(U$1,Metadata!$A$2:$A1000,Metadata!$B$2:$B1000))),U$1,"""")"),"")</f>
        <v/>
      </c>
      <c r="V425" s="33" t="str">
        <f>IFERROR(__xludf.DUMMYFUNCTION("IF(IF(V$1="""","""",REGEXMATCH(LOWER($E425),XLOOKUP(V$1,Metadata!$A$2:$A1000,Metadata!$B$2:$B1000))),V$1,"""")"),"")</f>
        <v/>
      </c>
      <c r="W425" s="33" t="str">
        <f>IFERROR(__xludf.DUMMYFUNCTION("IF(IF(W$1="""","""",REGEXMATCH(LOWER($E425),XLOOKUP(W$1,Metadata!$A$2:$A1000,Metadata!$B$2:$B1000))),W$1,"""")"),"")</f>
        <v/>
      </c>
      <c r="X425" s="33" t="str">
        <f>IFERROR(__xludf.DUMMYFUNCTION("IF(IF(X$1="""","""",REGEXMATCH(LOWER($E425),XLOOKUP(X$1,Metadata!$A$2:$A1000,Metadata!$B$2:$B1000))),X$1,"""")"),"")</f>
        <v/>
      </c>
      <c r="Y425" s="33" t="str">
        <f>IFERROR(__xludf.DUMMYFUNCTION("IF(IF(Y$1="""","""",REGEXMATCH(LOWER($E425),XLOOKUP(Y$1,Metadata!$A$2:$A1000,Metadata!$B$2:$B1000))),Y$1,"""")"),"")</f>
        <v/>
      </c>
      <c r="Z425" s="33" t="str">
        <f>IFERROR(__xludf.DUMMYFUNCTION("IF(IF(Z$1="""","""",REGEXMATCH(LOWER($E425),XLOOKUP(Z$1,Metadata!$A$2:$A1000,Metadata!$B$2:$B1000))),Z$1,"""")"),"")</f>
        <v/>
      </c>
    </row>
    <row r="426">
      <c r="A426" s="33" t="str">
        <f>IFERROR(__xludf.DUMMYFUNCTION("""COMPUTED_VALUE"""),"Realmshifter")</f>
        <v>Realmshifter</v>
      </c>
      <c r="B426" s="33" t="str">
        <f t="array" ref="B426:I426">XLOOKUP($A426,Cards!$A$2:$A1000,Cards!$B$2:$I1000,"")</f>
        <v/>
      </c>
      <c r="C426" s="33">
        <v>1.0</v>
      </c>
      <c r="D426" s="33"/>
      <c r="E426" s="33" t="s">
        <v>2092</v>
      </c>
      <c r="F426" s="33" t="s">
        <v>2093</v>
      </c>
      <c r="G426" s="33">
        <v>2.0</v>
      </c>
      <c r="H426" s="33" t="s">
        <v>2094</v>
      </c>
      <c r="I426" s="33" t="s">
        <v>32</v>
      </c>
      <c r="J426" s="33">
        <f>IFERROR(__xludf.DUMMYFUNCTION("LEN(REGEXREPLACE(XLOOKUP($A426,Cards!$A$2:$A1000,Cards!$H$2:$H1000,""""),"",\s"",""""))"),2.0)</f>
        <v>2</v>
      </c>
      <c r="K426" s="33" t="str">
        <f t="shared" si="1"/>
        <v>               </v>
      </c>
      <c r="L426" s="33" t="str">
        <f>IFERROR(__xludf.DUMMYFUNCTION("IF(IF(L$1="""","""",REGEXMATCH(LOWER($E426),XLOOKUP(L$1,Metadata!$A$2:$A1000,Metadata!$B$2:$B1000))),L$1,"""")"),"")</f>
        <v/>
      </c>
      <c r="M426" s="33" t="str">
        <f>IFERROR(__xludf.DUMMYFUNCTION("IF(IF(M$1="""","""",REGEXMATCH(LOWER($E426),XLOOKUP(M$1,Metadata!$A$2:$A1000,Metadata!$B$2:$B1000))),M$1,"""")"),"")</f>
        <v/>
      </c>
      <c r="N426" s="33" t="str">
        <f>IFERROR(__xludf.DUMMYFUNCTION("IF(IF(N$1="""","""",REGEXMATCH(LOWER($E426),XLOOKUP(N$1,Metadata!$A$2:$A1000,Metadata!$B$2:$B1000))),N$1,"""")"),"")</f>
        <v/>
      </c>
      <c r="O426" s="33" t="str">
        <f>IFERROR(__xludf.DUMMYFUNCTION("IF(IF(O$1="""","""",REGEXMATCH(LOWER($E426),XLOOKUP(O$1,Metadata!$A$2:$A1000,Metadata!$B$2:$B1000))),O$1,"""")"),"")</f>
        <v/>
      </c>
      <c r="P426" s="33" t="str">
        <f>IFERROR(__xludf.DUMMYFUNCTION("IF(IF(P$1="""","""",REGEXMATCH(LOWER($E426),XLOOKUP(P$1,Metadata!$A$2:$A1000,Metadata!$B$2:$B1000))),P$1,"""")"),"")</f>
        <v/>
      </c>
      <c r="Q426" s="33" t="str">
        <f>IFERROR(__xludf.DUMMYFUNCTION("IF(IF(Q$1="""","""",REGEXMATCH(LOWER($E426),XLOOKUP(Q$1,Metadata!$A$2:$A1000,Metadata!$B$2:$B1000))),Q$1,"""")"),"")</f>
        <v/>
      </c>
      <c r="R426" s="33" t="str">
        <f>IFERROR(__xludf.DUMMYFUNCTION("IF(IF(R$1="""","""",REGEXMATCH(LOWER($E426),XLOOKUP(R$1,Metadata!$A$2:$A1000,Metadata!$B$2:$B1000))),R$1,"""")"),"")</f>
        <v/>
      </c>
      <c r="S426" s="33" t="str">
        <f>IFERROR(__xludf.DUMMYFUNCTION("IF(IF(S$1="""","""",REGEXMATCH(LOWER($E426),XLOOKUP(S$1,Metadata!$A$2:$A1000,Metadata!$B$2:$B1000))),S$1,"""")"),"")</f>
        <v/>
      </c>
      <c r="T426" s="33" t="str">
        <f>IFERROR(__xludf.DUMMYFUNCTION("IF(IF(T$1="""","""",REGEXMATCH(LOWER($E426),XLOOKUP(T$1,Metadata!$A$2:$A1000,Metadata!$B$2:$B1000))),T$1,"""")"),"")</f>
        <v/>
      </c>
      <c r="U426" s="33" t="str">
        <f>IFERROR(__xludf.DUMMYFUNCTION("IF(IF(U$1="""","""",REGEXMATCH(LOWER($E426),XLOOKUP(U$1,Metadata!$A$2:$A1000,Metadata!$B$2:$B1000))),U$1,"""")"),"")</f>
        <v/>
      </c>
      <c r="V426" s="33" t="str">
        <f>IFERROR(__xludf.DUMMYFUNCTION("IF(IF(V$1="""","""",REGEXMATCH(LOWER($E426),XLOOKUP(V$1,Metadata!$A$2:$A1000,Metadata!$B$2:$B1000))),V$1,"""")"),"")</f>
        <v/>
      </c>
      <c r="W426" s="33" t="str">
        <f>IFERROR(__xludf.DUMMYFUNCTION("IF(IF(W$1="""","""",REGEXMATCH(LOWER($E426),XLOOKUP(W$1,Metadata!$A$2:$A1000,Metadata!$B$2:$B1000))),W$1,"""")"),"")</f>
        <v/>
      </c>
      <c r="X426" s="33" t="str">
        <f>IFERROR(__xludf.DUMMYFUNCTION("IF(IF(X$1="""","""",REGEXMATCH(LOWER($E426),XLOOKUP(X$1,Metadata!$A$2:$A1000,Metadata!$B$2:$B1000))),X$1,"""")"),"")</f>
        <v/>
      </c>
      <c r="Y426" s="33" t="str">
        <f>IFERROR(__xludf.DUMMYFUNCTION("IF(IF(Y$1="""","""",REGEXMATCH(LOWER($E426),XLOOKUP(Y$1,Metadata!$A$2:$A1000,Metadata!$B$2:$B1000))),Y$1,"""")"),"")</f>
        <v/>
      </c>
      <c r="Z426" s="33" t="str">
        <f>IFERROR(__xludf.DUMMYFUNCTION("IF(IF(Z$1="""","""",REGEXMATCH(LOWER($E426),XLOOKUP(Z$1,Metadata!$A$2:$A1000,Metadata!$B$2:$B1000))),Z$1,"""")"),"")</f>
        <v/>
      </c>
    </row>
    <row r="427">
      <c r="A427" s="33" t="str">
        <f>IFERROR(__xludf.DUMMYFUNCTION("""COMPUTED_VALUE"""),"Shapeshifter")</f>
        <v>Shapeshifter</v>
      </c>
      <c r="B427" s="33" t="str">
        <f t="array" ref="B427:I427">XLOOKUP($A427,Cards!$A$2:$A1000,Cards!$B$2:$I1000,"")</f>
        <v/>
      </c>
      <c r="C427" s="33">
        <v>1.0</v>
      </c>
      <c r="D427" s="33"/>
      <c r="E427" s="33" t="s">
        <v>2096</v>
      </c>
      <c r="F427" s="33" t="s">
        <v>2097</v>
      </c>
      <c r="G427" s="33">
        <v>2.0</v>
      </c>
      <c r="H427" s="33" t="s">
        <v>2094</v>
      </c>
      <c r="I427" s="33" t="s">
        <v>32</v>
      </c>
      <c r="J427" s="33">
        <f>IFERROR(__xludf.DUMMYFUNCTION("LEN(REGEXREPLACE(XLOOKUP($A427,Cards!$A$2:$A1000,Cards!$H$2:$H1000,""""),"",\s"",""""))"),2.0)</f>
        <v>2</v>
      </c>
      <c r="K427" s="33" t="str">
        <f t="shared" si="1"/>
        <v>               </v>
      </c>
      <c r="L427" s="33" t="str">
        <f>IFERROR(__xludf.DUMMYFUNCTION("IF(IF(L$1="""","""",REGEXMATCH(LOWER($E427),XLOOKUP(L$1,Metadata!$A$2:$A1000,Metadata!$B$2:$B1000))),L$1,"""")"),"")</f>
        <v/>
      </c>
      <c r="M427" s="33" t="str">
        <f>IFERROR(__xludf.DUMMYFUNCTION("IF(IF(M$1="""","""",REGEXMATCH(LOWER($E427),XLOOKUP(M$1,Metadata!$A$2:$A1000,Metadata!$B$2:$B1000))),M$1,"""")"),"")</f>
        <v/>
      </c>
      <c r="N427" s="33" t="str">
        <f>IFERROR(__xludf.DUMMYFUNCTION("IF(IF(N$1="""","""",REGEXMATCH(LOWER($E427),XLOOKUP(N$1,Metadata!$A$2:$A1000,Metadata!$B$2:$B1000))),N$1,"""")"),"")</f>
        <v/>
      </c>
      <c r="O427" s="33" t="str">
        <f>IFERROR(__xludf.DUMMYFUNCTION("IF(IF(O$1="""","""",REGEXMATCH(LOWER($E427),XLOOKUP(O$1,Metadata!$A$2:$A1000,Metadata!$B$2:$B1000))),O$1,"""")"),"")</f>
        <v/>
      </c>
      <c r="P427" s="33" t="str">
        <f>IFERROR(__xludf.DUMMYFUNCTION("IF(IF(P$1="""","""",REGEXMATCH(LOWER($E427),XLOOKUP(P$1,Metadata!$A$2:$A1000,Metadata!$B$2:$B1000))),P$1,"""")"),"")</f>
        <v/>
      </c>
      <c r="Q427" s="33" t="str">
        <f>IFERROR(__xludf.DUMMYFUNCTION("IF(IF(Q$1="""","""",REGEXMATCH(LOWER($E427),XLOOKUP(Q$1,Metadata!$A$2:$A1000,Metadata!$B$2:$B1000))),Q$1,"""")"),"")</f>
        <v/>
      </c>
      <c r="R427" s="33" t="str">
        <f>IFERROR(__xludf.DUMMYFUNCTION("IF(IF(R$1="""","""",REGEXMATCH(LOWER($E427),XLOOKUP(R$1,Metadata!$A$2:$A1000,Metadata!$B$2:$B1000))),R$1,"""")"),"")</f>
        <v/>
      </c>
      <c r="S427" s="33" t="str">
        <f>IFERROR(__xludf.DUMMYFUNCTION("IF(IF(S$1="""","""",REGEXMATCH(LOWER($E427),XLOOKUP(S$1,Metadata!$A$2:$A1000,Metadata!$B$2:$B1000))),S$1,"""")"),"")</f>
        <v/>
      </c>
      <c r="T427" s="33" t="str">
        <f>IFERROR(__xludf.DUMMYFUNCTION("IF(IF(T$1="""","""",REGEXMATCH(LOWER($E427),XLOOKUP(T$1,Metadata!$A$2:$A1000,Metadata!$B$2:$B1000))),T$1,"""")"),"")</f>
        <v/>
      </c>
      <c r="U427" s="33" t="str">
        <f>IFERROR(__xludf.DUMMYFUNCTION("IF(IF(U$1="""","""",REGEXMATCH(LOWER($E427),XLOOKUP(U$1,Metadata!$A$2:$A1000,Metadata!$B$2:$B1000))),U$1,"""")"),"")</f>
        <v/>
      </c>
      <c r="V427" s="33" t="str">
        <f>IFERROR(__xludf.DUMMYFUNCTION("IF(IF(V$1="""","""",REGEXMATCH(LOWER($E427),XLOOKUP(V$1,Metadata!$A$2:$A1000,Metadata!$B$2:$B1000))),V$1,"""")"),"")</f>
        <v/>
      </c>
      <c r="W427" s="33" t="str">
        <f>IFERROR(__xludf.DUMMYFUNCTION("IF(IF(W$1="""","""",REGEXMATCH(LOWER($E427),XLOOKUP(W$1,Metadata!$A$2:$A1000,Metadata!$B$2:$B1000))),W$1,"""")"),"")</f>
        <v/>
      </c>
      <c r="X427" s="33" t="str">
        <f>IFERROR(__xludf.DUMMYFUNCTION("IF(IF(X$1="""","""",REGEXMATCH(LOWER($E427),XLOOKUP(X$1,Metadata!$A$2:$A1000,Metadata!$B$2:$B1000))),X$1,"""")"),"")</f>
        <v/>
      </c>
      <c r="Y427" s="33" t="str">
        <f>IFERROR(__xludf.DUMMYFUNCTION("IF(IF(Y$1="""","""",REGEXMATCH(LOWER($E427),XLOOKUP(Y$1,Metadata!$A$2:$A1000,Metadata!$B$2:$B1000))),Y$1,"""")"),"")</f>
        <v/>
      </c>
      <c r="Z427" s="33" t="str">
        <f>IFERROR(__xludf.DUMMYFUNCTION("IF(IF(Z$1="""","""",REGEXMATCH(LOWER($E427),XLOOKUP(Z$1,Metadata!$A$2:$A1000,Metadata!$B$2:$B1000))),Z$1,"""")"),"")</f>
        <v/>
      </c>
    </row>
    <row r="428">
      <c r="A428" s="33" t="str">
        <f>IFERROR(__xludf.DUMMYFUNCTION("""COMPUTED_VALUE"""),"Big Dino Boy")</f>
        <v>Big Dino Boy</v>
      </c>
      <c r="B428" s="33" t="str">
        <f t="array" ref="B428:I428">XLOOKUP($A428,Cards!$A$2:$A1000,Cards!$B$2:$I1000,"")</f>
        <v>Nature</v>
      </c>
      <c r="C428" s="33">
        <v>0.0</v>
      </c>
      <c r="D428" s="33" t="s">
        <v>334</v>
      </c>
      <c r="E428" s="33" t="s">
        <v>2099</v>
      </c>
      <c r="F428" s="33"/>
      <c r="G428" s="33">
        <v>6.0</v>
      </c>
      <c r="H428" s="33" t="s">
        <v>1475</v>
      </c>
      <c r="I428" s="33" t="s">
        <v>32</v>
      </c>
      <c r="J428" s="33">
        <f>IFERROR(__xludf.DUMMYFUNCTION("LEN(REGEXREPLACE(XLOOKUP($A428,Cards!$A$2:$A1000,Cards!$H$2:$H1000,""""),"",\s"",""""))"),6.0)</f>
        <v>6</v>
      </c>
      <c r="K428" s="33" t="str">
        <f t="shared" si="1"/>
        <v>      Ramp         </v>
      </c>
      <c r="L428" s="33" t="str">
        <f>IFERROR(__xludf.DUMMYFUNCTION("IF(IF(L$1="""","""",REGEXMATCH(LOWER($E428),XLOOKUP(L$1,Metadata!$A$2:$A1000,Metadata!$B$2:$B1000))),L$1,"""")"),"")</f>
        <v/>
      </c>
      <c r="M428" s="33" t="str">
        <f>IFERROR(__xludf.DUMMYFUNCTION("IF(IF(M$1="""","""",REGEXMATCH(LOWER($E428),XLOOKUP(M$1,Metadata!$A$2:$A1000,Metadata!$B$2:$B1000))),M$1,"""")"),"")</f>
        <v/>
      </c>
      <c r="N428" s="33" t="str">
        <f>IFERROR(__xludf.DUMMYFUNCTION("IF(IF(N$1="""","""",REGEXMATCH(LOWER($E428),XLOOKUP(N$1,Metadata!$A$2:$A1000,Metadata!$B$2:$B1000))),N$1,"""")"),"")</f>
        <v/>
      </c>
      <c r="O428" s="33" t="str">
        <f>IFERROR(__xludf.DUMMYFUNCTION("IF(IF(O$1="""","""",REGEXMATCH(LOWER($E428),XLOOKUP(O$1,Metadata!$A$2:$A1000,Metadata!$B$2:$B1000))),O$1,"""")"),"")</f>
        <v/>
      </c>
      <c r="P428" s="33" t="str">
        <f>IFERROR(__xludf.DUMMYFUNCTION("IF(IF(P$1="""","""",REGEXMATCH(LOWER($E428),XLOOKUP(P$1,Metadata!$A$2:$A1000,Metadata!$B$2:$B1000))),P$1,"""")"),"")</f>
        <v/>
      </c>
      <c r="Q428" s="33" t="str">
        <f>IFERROR(__xludf.DUMMYFUNCTION("IF(IF(Q$1="""","""",REGEXMATCH(LOWER($E428),XLOOKUP(Q$1,Metadata!$A$2:$A1000,Metadata!$B$2:$B1000))),Q$1,"""")"),"")</f>
        <v/>
      </c>
      <c r="R428" s="33" t="str">
        <f>IFERROR(__xludf.DUMMYFUNCTION("IF(IF(R$1="""","""",REGEXMATCH(LOWER($E428),XLOOKUP(R$1,Metadata!$A$2:$A1000,Metadata!$B$2:$B1000))),R$1,"""")"),"Ramp")</f>
        <v>Ramp</v>
      </c>
      <c r="S428" s="33" t="str">
        <f>IFERROR(__xludf.DUMMYFUNCTION("IF(IF(S$1="""","""",REGEXMATCH(LOWER($E428),XLOOKUP(S$1,Metadata!$A$2:$A1000,Metadata!$B$2:$B1000))),S$1,"""")"),"")</f>
        <v/>
      </c>
      <c r="T428" s="33" t="str">
        <f>IFERROR(__xludf.DUMMYFUNCTION("IF(IF(T$1="""","""",REGEXMATCH(LOWER($E428),XLOOKUP(T$1,Metadata!$A$2:$A1000,Metadata!$B$2:$B1000))),T$1,"""")"),"")</f>
        <v/>
      </c>
      <c r="U428" s="33" t="str">
        <f>IFERROR(__xludf.DUMMYFUNCTION("IF(IF(U$1="""","""",REGEXMATCH(LOWER($E428),XLOOKUP(U$1,Metadata!$A$2:$A1000,Metadata!$B$2:$B1000))),U$1,"""")"),"")</f>
        <v/>
      </c>
      <c r="V428" s="33" t="str">
        <f>IFERROR(__xludf.DUMMYFUNCTION("IF(IF(V$1="""","""",REGEXMATCH(LOWER($E428),XLOOKUP(V$1,Metadata!$A$2:$A1000,Metadata!$B$2:$B1000))),V$1,"""")"),"")</f>
        <v/>
      </c>
      <c r="W428" s="33" t="str">
        <f>IFERROR(__xludf.DUMMYFUNCTION("IF(IF(W$1="""","""",REGEXMATCH(LOWER($E428),XLOOKUP(W$1,Metadata!$A$2:$A1000,Metadata!$B$2:$B1000))),W$1,"""")"),"")</f>
        <v/>
      </c>
      <c r="X428" s="33" t="str">
        <f>IFERROR(__xludf.DUMMYFUNCTION("IF(IF(X$1="""","""",REGEXMATCH(LOWER($E428),XLOOKUP(X$1,Metadata!$A$2:$A1000,Metadata!$B$2:$B1000))),X$1,"""")"),"")</f>
        <v/>
      </c>
      <c r="Y428" s="33" t="str">
        <f>IFERROR(__xludf.DUMMYFUNCTION("IF(IF(Y$1="""","""",REGEXMATCH(LOWER($E428),XLOOKUP(Y$1,Metadata!$A$2:$A1000,Metadata!$B$2:$B1000))),Y$1,"""")"),"")</f>
        <v/>
      </c>
      <c r="Z428" s="33" t="str">
        <f>IFERROR(__xludf.DUMMYFUNCTION("IF(IF(Z$1="""","""",REGEXMATCH(LOWER($E428),XLOOKUP(Z$1,Metadata!$A$2:$A1000,Metadata!$B$2:$B1000))),Z$1,"""")"),"")</f>
        <v/>
      </c>
    </row>
    <row r="429">
      <c r="A429" s="33" t="str">
        <f>IFERROR(__xludf.DUMMYFUNCTION("""COMPUTED_VALUE"""),"Middle Dino Boy")</f>
        <v>Middle Dino Boy</v>
      </c>
      <c r="B429" s="33" t="str">
        <f t="array" ref="B429:I429">XLOOKUP($A429,Cards!$A$2:$A1000,Cards!$B$2:$I1000,"")</f>
        <v>Nature</v>
      </c>
      <c r="C429" s="33">
        <v>0.0</v>
      </c>
      <c r="D429" s="33" t="s">
        <v>334</v>
      </c>
      <c r="E429" s="33" t="s">
        <v>2101</v>
      </c>
      <c r="F429" s="33"/>
      <c r="G429" s="33">
        <v>4.0</v>
      </c>
      <c r="H429" s="33" t="s">
        <v>1559</v>
      </c>
      <c r="I429" s="33" t="s">
        <v>62</v>
      </c>
      <c r="J429" s="33">
        <f>IFERROR(__xludf.DUMMYFUNCTION("LEN(REGEXREPLACE(XLOOKUP($A429,Cards!$A$2:$A1000,Cards!$H$2:$H1000,""""),"",\s"",""""))"),5.0)</f>
        <v>5</v>
      </c>
      <c r="K429" s="33" t="str">
        <f t="shared" si="1"/>
        <v>               </v>
      </c>
      <c r="L429" s="33" t="str">
        <f>IFERROR(__xludf.DUMMYFUNCTION("IF(IF(L$1="""","""",REGEXMATCH(LOWER($E429),XLOOKUP(L$1,Metadata!$A$2:$A1000,Metadata!$B$2:$B1000))),L$1,"""")"),"")</f>
        <v/>
      </c>
      <c r="M429" s="33" t="str">
        <f>IFERROR(__xludf.DUMMYFUNCTION("IF(IF(M$1="""","""",REGEXMATCH(LOWER($E429),XLOOKUP(M$1,Metadata!$A$2:$A1000,Metadata!$B$2:$B1000))),M$1,"""")"),"")</f>
        <v/>
      </c>
      <c r="N429" s="33" t="str">
        <f>IFERROR(__xludf.DUMMYFUNCTION("IF(IF(N$1="""","""",REGEXMATCH(LOWER($E429),XLOOKUP(N$1,Metadata!$A$2:$A1000,Metadata!$B$2:$B1000))),N$1,"""")"),"")</f>
        <v/>
      </c>
      <c r="O429" s="33" t="str">
        <f>IFERROR(__xludf.DUMMYFUNCTION("IF(IF(O$1="""","""",REGEXMATCH(LOWER($E429),XLOOKUP(O$1,Metadata!$A$2:$A1000,Metadata!$B$2:$B1000))),O$1,"""")"),"")</f>
        <v/>
      </c>
      <c r="P429" s="33" t="str">
        <f>IFERROR(__xludf.DUMMYFUNCTION("IF(IF(P$1="""","""",REGEXMATCH(LOWER($E429),XLOOKUP(P$1,Metadata!$A$2:$A1000,Metadata!$B$2:$B1000))),P$1,"""")"),"")</f>
        <v/>
      </c>
      <c r="Q429" s="33" t="str">
        <f>IFERROR(__xludf.DUMMYFUNCTION("IF(IF(Q$1="""","""",REGEXMATCH(LOWER($E429),XLOOKUP(Q$1,Metadata!$A$2:$A1000,Metadata!$B$2:$B1000))),Q$1,"""")"),"")</f>
        <v/>
      </c>
      <c r="R429" s="33" t="str">
        <f>IFERROR(__xludf.DUMMYFUNCTION("IF(IF(R$1="""","""",REGEXMATCH(LOWER($E429),XLOOKUP(R$1,Metadata!$A$2:$A1000,Metadata!$B$2:$B1000))),R$1,"""")"),"")</f>
        <v/>
      </c>
      <c r="S429" s="33" t="str">
        <f>IFERROR(__xludf.DUMMYFUNCTION("IF(IF(S$1="""","""",REGEXMATCH(LOWER($E429),XLOOKUP(S$1,Metadata!$A$2:$A1000,Metadata!$B$2:$B1000))),S$1,"""")"),"")</f>
        <v/>
      </c>
      <c r="T429" s="33" t="str">
        <f>IFERROR(__xludf.DUMMYFUNCTION("IF(IF(T$1="""","""",REGEXMATCH(LOWER($E429),XLOOKUP(T$1,Metadata!$A$2:$A1000,Metadata!$B$2:$B1000))),T$1,"""")"),"")</f>
        <v/>
      </c>
      <c r="U429" s="33" t="str">
        <f>IFERROR(__xludf.DUMMYFUNCTION("IF(IF(U$1="""","""",REGEXMATCH(LOWER($E429),XLOOKUP(U$1,Metadata!$A$2:$A1000,Metadata!$B$2:$B1000))),U$1,"""")"),"")</f>
        <v/>
      </c>
      <c r="V429" s="33" t="str">
        <f>IFERROR(__xludf.DUMMYFUNCTION("IF(IF(V$1="""","""",REGEXMATCH(LOWER($E429),XLOOKUP(V$1,Metadata!$A$2:$A1000,Metadata!$B$2:$B1000))),V$1,"""")"),"")</f>
        <v/>
      </c>
      <c r="W429" s="33" t="str">
        <f>IFERROR(__xludf.DUMMYFUNCTION("IF(IF(W$1="""","""",REGEXMATCH(LOWER($E429),XLOOKUP(W$1,Metadata!$A$2:$A1000,Metadata!$B$2:$B1000))),W$1,"""")"),"")</f>
        <v/>
      </c>
      <c r="X429" s="33" t="str">
        <f>IFERROR(__xludf.DUMMYFUNCTION("IF(IF(X$1="""","""",REGEXMATCH(LOWER($E429),XLOOKUP(X$1,Metadata!$A$2:$A1000,Metadata!$B$2:$B1000))),X$1,"""")"),"")</f>
        <v/>
      </c>
      <c r="Y429" s="33" t="str">
        <f>IFERROR(__xludf.DUMMYFUNCTION("IF(IF(Y$1="""","""",REGEXMATCH(LOWER($E429),XLOOKUP(Y$1,Metadata!$A$2:$A1000,Metadata!$B$2:$B1000))),Y$1,"""")"),"")</f>
        <v/>
      </c>
      <c r="Z429" s="33" t="str">
        <f>IFERROR(__xludf.DUMMYFUNCTION("IF(IF(Z$1="""","""",REGEXMATCH(LOWER($E429),XLOOKUP(Z$1,Metadata!$A$2:$A1000,Metadata!$B$2:$B1000))),Z$1,"""")"),"")</f>
        <v/>
      </c>
    </row>
    <row r="430">
      <c r="A430" s="33"/>
      <c r="B430" s="33" t="str">
        <f t="array" ref="B430">XLOOKUP($A430,Cards!$A$2:$A1000,Cards!$B$2:$I1000,"")</f>
        <v/>
      </c>
      <c r="C430" s="33"/>
      <c r="D430" s="33"/>
      <c r="E430" s="33"/>
      <c r="F430" s="33"/>
      <c r="G430" s="33"/>
      <c r="H430" s="33"/>
      <c r="I430" s="33"/>
      <c r="J430" s="33">
        <f>IFERROR(__xludf.DUMMYFUNCTION("LEN(REGEXREPLACE(XLOOKUP($A430,Cards!$A$2:$A1000,Cards!$H$2:$H1000,""""),"",\s"",""""))"),0.0)</f>
        <v>0</v>
      </c>
      <c r="K430" s="33" t="str">
        <f t="shared" si="1"/>
        <v>               </v>
      </c>
      <c r="L430" s="33" t="str">
        <f>IFERROR(__xludf.DUMMYFUNCTION("IF(IF(L$1="""","""",REGEXMATCH(LOWER($E430),XLOOKUP(L$1,Metadata!$A$2:$A1000,Metadata!$B$2:$B1000))),L$1,"""")"),"")</f>
        <v/>
      </c>
      <c r="M430" s="33" t="str">
        <f>IFERROR(__xludf.DUMMYFUNCTION("IF(IF(M$1="""","""",REGEXMATCH(LOWER($E430),XLOOKUP(M$1,Metadata!$A$2:$A1000,Metadata!$B$2:$B1000))),M$1,"""")"),"")</f>
        <v/>
      </c>
      <c r="N430" s="33" t="str">
        <f>IFERROR(__xludf.DUMMYFUNCTION("IF(IF(N$1="""","""",REGEXMATCH(LOWER($E430),XLOOKUP(N$1,Metadata!$A$2:$A1000,Metadata!$B$2:$B1000))),N$1,"""")"),"")</f>
        <v/>
      </c>
      <c r="O430" s="33" t="str">
        <f>IFERROR(__xludf.DUMMYFUNCTION("IF(IF(O$1="""","""",REGEXMATCH(LOWER($E430),XLOOKUP(O$1,Metadata!$A$2:$A1000,Metadata!$B$2:$B1000))),O$1,"""")"),"")</f>
        <v/>
      </c>
      <c r="P430" s="33" t="str">
        <f>IFERROR(__xludf.DUMMYFUNCTION("IF(IF(P$1="""","""",REGEXMATCH(LOWER($E430),XLOOKUP(P$1,Metadata!$A$2:$A1000,Metadata!$B$2:$B1000))),P$1,"""")"),"")</f>
        <v/>
      </c>
      <c r="Q430" s="33" t="str">
        <f>IFERROR(__xludf.DUMMYFUNCTION("IF(IF(Q$1="""","""",REGEXMATCH(LOWER($E430),XLOOKUP(Q$1,Metadata!$A$2:$A1000,Metadata!$B$2:$B1000))),Q$1,"""")"),"")</f>
        <v/>
      </c>
      <c r="R430" s="33" t="str">
        <f>IFERROR(__xludf.DUMMYFUNCTION("IF(IF(R$1="""","""",REGEXMATCH(LOWER($E430),XLOOKUP(R$1,Metadata!$A$2:$A1000,Metadata!$B$2:$B1000))),R$1,"""")"),"")</f>
        <v/>
      </c>
      <c r="S430" s="33" t="str">
        <f>IFERROR(__xludf.DUMMYFUNCTION("IF(IF(S$1="""","""",REGEXMATCH(LOWER($E430),XLOOKUP(S$1,Metadata!$A$2:$A1000,Metadata!$B$2:$B1000))),S$1,"""")"),"")</f>
        <v/>
      </c>
      <c r="T430" s="33" t="str">
        <f>IFERROR(__xludf.DUMMYFUNCTION("IF(IF(T$1="""","""",REGEXMATCH(LOWER($E430),XLOOKUP(T$1,Metadata!$A$2:$A1000,Metadata!$B$2:$B1000))),T$1,"""")"),"")</f>
        <v/>
      </c>
      <c r="U430" s="33" t="str">
        <f>IFERROR(__xludf.DUMMYFUNCTION("IF(IF(U$1="""","""",REGEXMATCH(LOWER($E430),XLOOKUP(U$1,Metadata!$A$2:$A1000,Metadata!$B$2:$B1000))),U$1,"""")"),"")</f>
        <v/>
      </c>
      <c r="V430" s="33" t="str">
        <f>IFERROR(__xludf.DUMMYFUNCTION("IF(IF(V$1="""","""",REGEXMATCH(LOWER($E430),XLOOKUP(V$1,Metadata!$A$2:$A1000,Metadata!$B$2:$B1000))),V$1,"""")"),"")</f>
        <v/>
      </c>
      <c r="W430" s="33" t="str">
        <f>IFERROR(__xludf.DUMMYFUNCTION("IF(IF(W$1="""","""",REGEXMATCH(LOWER($E430),XLOOKUP(W$1,Metadata!$A$2:$A1000,Metadata!$B$2:$B1000))),W$1,"""")"),"")</f>
        <v/>
      </c>
      <c r="X430" s="33" t="str">
        <f>IFERROR(__xludf.DUMMYFUNCTION("IF(IF(X$1="""","""",REGEXMATCH(LOWER($E430),XLOOKUP(X$1,Metadata!$A$2:$A1000,Metadata!$B$2:$B1000))),X$1,"""")"),"")</f>
        <v/>
      </c>
      <c r="Y430" s="33" t="str">
        <f>IFERROR(__xludf.DUMMYFUNCTION("IF(IF(Y$1="""","""",REGEXMATCH(LOWER($E430),XLOOKUP(Y$1,Metadata!$A$2:$A1000,Metadata!$B$2:$B1000))),Y$1,"""")"),"")</f>
        <v/>
      </c>
      <c r="Z430" s="33" t="str">
        <f>IFERROR(__xludf.DUMMYFUNCTION("IF(IF(Z$1="""","""",REGEXMATCH(LOWER($E430),XLOOKUP(Z$1,Metadata!$A$2:$A1000,Metadata!$B$2:$B1000))),Z$1,"""")"),"")</f>
        <v/>
      </c>
    </row>
    <row r="431">
      <c r="A431" s="33"/>
      <c r="B431" s="33" t="str">
        <f t="array" ref="B431">XLOOKUP($A431,Cards!$A$2:$A1000,Cards!$B$2:$I1000,"")</f>
        <v/>
      </c>
      <c r="C431" s="33"/>
      <c r="D431" s="33"/>
      <c r="E431" s="33"/>
      <c r="F431" s="33"/>
      <c r="G431" s="33"/>
      <c r="H431" s="33"/>
      <c r="I431" s="33"/>
      <c r="J431" s="33">
        <f>IFERROR(__xludf.DUMMYFUNCTION("LEN(REGEXREPLACE(XLOOKUP($A431,Cards!$A$2:$A1000,Cards!$H$2:$H1000,""""),"",\s"",""""))"),0.0)</f>
        <v>0</v>
      </c>
      <c r="K431" s="33" t="str">
        <f t="shared" si="1"/>
        <v>               </v>
      </c>
      <c r="L431" s="33" t="str">
        <f>IFERROR(__xludf.DUMMYFUNCTION("IF(IF(L$1="""","""",REGEXMATCH(LOWER($E431),XLOOKUP(L$1,Metadata!$A$2:$A1000,Metadata!$B$2:$B1000))),L$1,"""")"),"")</f>
        <v/>
      </c>
      <c r="M431" s="33" t="str">
        <f>IFERROR(__xludf.DUMMYFUNCTION("IF(IF(M$1="""","""",REGEXMATCH(LOWER($E431),XLOOKUP(M$1,Metadata!$A$2:$A1000,Metadata!$B$2:$B1000))),M$1,"""")"),"")</f>
        <v/>
      </c>
      <c r="N431" s="33" t="str">
        <f>IFERROR(__xludf.DUMMYFUNCTION("IF(IF(N$1="""","""",REGEXMATCH(LOWER($E431),XLOOKUP(N$1,Metadata!$A$2:$A1000,Metadata!$B$2:$B1000))),N$1,"""")"),"")</f>
        <v/>
      </c>
      <c r="O431" s="33" t="str">
        <f>IFERROR(__xludf.DUMMYFUNCTION("IF(IF(O$1="""","""",REGEXMATCH(LOWER($E431),XLOOKUP(O$1,Metadata!$A$2:$A1000,Metadata!$B$2:$B1000))),O$1,"""")"),"")</f>
        <v/>
      </c>
      <c r="P431" s="33" t="str">
        <f>IFERROR(__xludf.DUMMYFUNCTION("IF(IF(P$1="""","""",REGEXMATCH(LOWER($E431),XLOOKUP(P$1,Metadata!$A$2:$A1000,Metadata!$B$2:$B1000))),P$1,"""")"),"")</f>
        <v/>
      </c>
      <c r="Q431" s="33" t="str">
        <f>IFERROR(__xludf.DUMMYFUNCTION("IF(IF(Q$1="""","""",REGEXMATCH(LOWER($E431),XLOOKUP(Q$1,Metadata!$A$2:$A1000,Metadata!$B$2:$B1000))),Q$1,"""")"),"")</f>
        <v/>
      </c>
      <c r="R431" s="33" t="str">
        <f>IFERROR(__xludf.DUMMYFUNCTION("IF(IF(R$1="""","""",REGEXMATCH(LOWER($E431),XLOOKUP(R$1,Metadata!$A$2:$A1000,Metadata!$B$2:$B1000))),R$1,"""")"),"")</f>
        <v/>
      </c>
      <c r="S431" s="33" t="str">
        <f>IFERROR(__xludf.DUMMYFUNCTION("IF(IF(S$1="""","""",REGEXMATCH(LOWER($E431),XLOOKUP(S$1,Metadata!$A$2:$A1000,Metadata!$B$2:$B1000))),S$1,"""")"),"")</f>
        <v/>
      </c>
      <c r="T431" s="33" t="str">
        <f>IFERROR(__xludf.DUMMYFUNCTION("IF(IF(T$1="""","""",REGEXMATCH(LOWER($E431),XLOOKUP(T$1,Metadata!$A$2:$A1000,Metadata!$B$2:$B1000))),T$1,"""")"),"")</f>
        <v/>
      </c>
      <c r="U431" s="33" t="str">
        <f>IFERROR(__xludf.DUMMYFUNCTION("IF(IF(U$1="""","""",REGEXMATCH(LOWER($E431),XLOOKUP(U$1,Metadata!$A$2:$A1000,Metadata!$B$2:$B1000))),U$1,"""")"),"")</f>
        <v/>
      </c>
      <c r="V431" s="33" t="str">
        <f>IFERROR(__xludf.DUMMYFUNCTION("IF(IF(V$1="""","""",REGEXMATCH(LOWER($E431),XLOOKUP(V$1,Metadata!$A$2:$A1000,Metadata!$B$2:$B1000))),V$1,"""")"),"")</f>
        <v/>
      </c>
      <c r="W431" s="33" t="str">
        <f>IFERROR(__xludf.DUMMYFUNCTION("IF(IF(W$1="""","""",REGEXMATCH(LOWER($E431),XLOOKUP(W$1,Metadata!$A$2:$A1000,Metadata!$B$2:$B1000))),W$1,"""")"),"")</f>
        <v/>
      </c>
      <c r="X431" s="33" t="str">
        <f>IFERROR(__xludf.DUMMYFUNCTION("IF(IF(X$1="""","""",REGEXMATCH(LOWER($E431),XLOOKUP(X$1,Metadata!$A$2:$A1000,Metadata!$B$2:$B1000))),X$1,"""")"),"")</f>
        <v/>
      </c>
      <c r="Y431" s="33" t="str">
        <f>IFERROR(__xludf.DUMMYFUNCTION("IF(IF(Y$1="""","""",REGEXMATCH(LOWER($E431),XLOOKUP(Y$1,Metadata!$A$2:$A1000,Metadata!$B$2:$B1000))),Y$1,"""")"),"")</f>
        <v/>
      </c>
      <c r="Z431" s="33" t="str">
        <f>IFERROR(__xludf.DUMMYFUNCTION("IF(IF(Z$1="""","""",REGEXMATCH(LOWER($E431),XLOOKUP(Z$1,Metadata!$A$2:$A1000,Metadata!$B$2:$B1000))),Z$1,"""")"),"")</f>
        <v/>
      </c>
    </row>
    <row r="432">
      <c r="A432" s="33"/>
      <c r="B432" s="33" t="str">
        <f t="array" ref="B432">XLOOKUP($A432,Cards!$A$2:$A1000,Cards!$B$2:$I1000,"")</f>
        <v/>
      </c>
      <c r="C432" s="33"/>
      <c r="D432" s="33"/>
      <c r="E432" s="33"/>
      <c r="F432" s="33"/>
      <c r="G432" s="33"/>
      <c r="H432" s="33"/>
      <c r="I432" s="33"/>
      <c r="J432" s="33">
        <f>IFERROR(__xludf.DUMMYFUNCTION("LEN(REGEXREPLACE(XLOOKUP($A432,Cards!$A$2:$A1000,Cards!$H$2:$H1000,""""),"",\s"",""""))"),0.0)</f>
        <v>0</v>
      </c>
      <c r="K432" s="33" t="str">
        <f t="shared" si="1"/>
        <v>               </v>
      </c>
      <c r="L432" s="33" t="str">
        <f>IFERROR(__xludf.DUMMYFUNCTION("IF(IF(L$1="""","""",REGEXMATCH(LOWER($E432),XLOOKUP(L$1,Metadata!$A$2:$A1000,Metadata!$B$2:$B1000))),L$1,"""")"),"")</f>
        <v/>
      </c>
      <c r="M432" s="33" t="str">
        <f>IFERROR(__xludf.DUMMYFUNCTION("IF(IF(M$1="""","""",REGEXMATCH(LOWER($E432),XLOOKUP(M$1,Metadata!$A$2:$A1000,Metadata!$B$2:$B1000))),M$1,"""")"),"")</f>
        <v/>
      </c>
      <c r="N432" s="33" t="str">
        <f>IFERROR(__xludf.DUMMYFUNCTION("IF(IF(N$1="""","""",REGEXMATCH(LOWER($E432),XLOOKUP(N$1,Metadata!$A$2:$A1000,Metadata!$B$2:$B1000))),N$1,"""")"),"")</f>
        <v/>
      </c>
      <c r="O432" s="33" t="str">
        <f>IFERROR(__xludf.DUMMYFUNCTION("IF(IF(O$1="""","""",REGEXMATCH(LOWER($E432),XLOOKUP(O$1,Metadata!$A$2:$A1000,Metadata!$B$2:$B1000))),O$1,"""")"),"")</f>
        <v/>
      </c>
      <c r="P432" s="33" t="str">
        <f>IFERROR(__xludf.DUMMYFUNCTION("IF(IF(P$1="""","""",REGEXMATCH(LOWER($E432),XLOOKUP(P$1,Metadata!$A$2:$A1000,Metadata!$B$2:$B1000))),P$1,"""")"),"")</f>
        <v/>
      </c>
      <c r="Q432" s="33" t="str">
        <f>IFERROR(__xludf.DUMMYFUNCTION("IF(IF(Q$1="""","""",REGEXMATCH(LOWER($E432),XLOOKUP(Q$1,Metadata!$A$2:$A1000,Metadata!$B$2:$B1000))),Q$1,"""")"),"")</f>
        <v/>
      </c>
      <c r="R432" s="33" t="str">
        <f>IFERROR(__xludf.DUMMYFUNCTION("IF(IF(R$1="""","""",REGEXMATCH(LOWER($E432),XLOOKUP(R$1,Metadata!$A$2:$A1000,Metadata!$B$2:$B1000))),R$1,"""")"),"")</f>
        <v/>
      </c>
      <c r="S432" s="33" t="str">
        <f>IFERROR(__xludf.DUMMYFUNCTION("IF(IF(S$1="""","""",REGEXMATCH(LOWER($E432),XLOOKUP(S$1,Metadata!$A$2:$A1000,Metadata!$B$2:$B1000))),S$1,"""")"),"")</f>
        <v/>
      </c>
      <c r="T432" s="33" t="str">
        <f>IFERROR(__xludf.DUMMYFUNCTION("IF(IF(T$1="""","""",REGEXMATCH(LOWER($E432),XLOOKUP(T$1,Metadata!$A$2:$A1000,Metadata!$B$2:$B1000))),T$1,"""")"),"")</f>
        <v/>
      </c>
      <c r="U432" s="33" t="str">
        <f>IFERROR(__xludf.DUMMYFUNCTION("IF(IF(U$1="""","""",REGEXMATCH(LOWER($E432),XLOOKUP(U$1,Metadata!$A$2:$A1000,Metadata!$B$2:$B1000))),U$1,"""")"),"")</f>
        <v/>
      </c>
      <c r="V432" s="33" t="str">
        <f>IFERROR(__xludf.DUMMYFUNCTION("IF(IF(V$1="""","""",REGEXMATCH(LOWER($E432),XLOOKUP(V$1,Metadata!$A$2:$A1000,Metadata!$B$2:$B1000))),V$1,"""")"),"")</f>
        <v/>
      </c>
      <c r="W432" s="33" t="str">
        <f>IFERROR(__xludf.DUMMYFUNCTION("IF(IF(W$1="""","""",REGEXMATCH(LOWER($E432),XLOOKUP(W$1,Metadata!$A$2:$A1000,Metadata!$B$2:$B1000))),W$1,"""")"),"")</f>
        <v/>
      </c>
      <c r="X432" s="33" t="str">
        <f>IFERROR(__xludf.DUMMYFUNCTION("IF(IF(X$1="""","""",REGEXMATCH(LOWER($E432),XLOOKUP(X$1,Metadata!$A$2:$A1000,Metadata!$B$2:$B1000))),X$1,"""")"),"")</f>
        <v/>
      </c>
      <c r="Y432" s="33" t="str">
        <f>IFERROR(__xludf.DUMMYFUNCTION("IF(IF(Y$1="""","""",REGEXMATCH(LOWER($E432),XLOOKUP(Y$1,Metadata!$A$2:$A1000,Metadata!$B$2:$B1000))),Y$1,"""")"),"")</f>
        <v/>
      </c>
      <c r="Z432" s="33" t="str">
        <f>IFERROR(__xludf.DUMMYFUNCTION("IF(IF(Z$1="""","""",REGEXMATCH(LOWER($E432),XLOOKUP(Z$1,Metadata!$A$2:$A1000,Metadata!$B$2:$B1000))),Z$1,"""")"),"")</f>
        <v/>
      </c>
    </row>
    <row r="433">
      <c r="A433" s="33"/>
      <c r="B433" s="33" t="str">
        <f t="array" ref="B433">XLOOKUP($A433,Cards!$A$2:$A1000,Cards!$B$2:$I1000,"")</f>
        <v/>
      </c>
      <c r="C433" s="33"/>
      <c r="D433" s="33"/>
      <c r="E433" s="33"/>
      <c r="F433" s="33"/>
      <c r="G433" s="33"/>
      <c r="H433" s="33"/>
      <c r="I433" s="33"/>
      <c r="J433" s="33">
        <f>IFERROR(__xludf.DUMMYFUNCTION("LEN(REGEXREPLACE(XLOOKUP($A433,Cards!$A$2:$A1000,Cards!$H$2:$H1000,""""),"",\s"",""""))"),0.0)</f>
        <v>0</v>
      </c>
      <c r="K433" s="33" t="str">
        <f t="shared" si="1"/>
        <v>               </v>
      </c>
      <c r="L433" s="33" t="str">
        <f>IFERROR(__xludf.DUMMYFUNCTION("IF(IF(L$1="""","""",REGEXMATCH(LOWER($E433),XLOOKUP(L$1,Metadata!$A$2:$A1000,Metadata!$B$2:$B1000))),L$1,"""")"),"")</f>
        <v/>
      </c>
      <c r="M433" s="33" t="str">
        <f>IFERROR(__xludf.DUMMYFUNCTION("IF(IF(M$1="""","""",REGEXMATCH(LOWER($E433),XLOOKUP(M$1,Metadata!$A$2:$A1000,Metadata!$B$2:$B1000))),M$1,"""")"),"")</f>
        <v/>
      </c>
      <c r="N433" s="33" t="str">
        <f>IFERROR(__xludf.DUMMYFUNCTION("IF(IF(N$1="""","""",REGEXMATCH(LOWER($E433),XLOOKUP(N$1,Metadata!$A$2:$A1000,Metadata!$B$2:$B1000))),N$1,"""")"),"")</f>
        <v/>
      </c>
      <c r="O433" s="33" t="str">
        <f>IFERROR(__xludf.DUMMYFUNCTION("IF(IF(O$1="""","""",REGEXMATCH(LOWER($E433),XLOOKUP(O$1,Metadata!$A$2:$A1000,Metadata!$B$2:$B1000))),O$1,"""")"),"")</f>
        <v/>
      </c>
      <c r="P433" s="33" t="str">
        <f>IFERROR(__xludf.DUMMYFUNCTION("IF(IF(P$1="""","""",REGEXMATCH(LOWER($E433),XLOOKUP(P$1,Metadata!$A$2:$A1000,Metadata!$B$2:$B1000))),P$1,"""")"),"")</f>
        <v/>
      </c>
      <c r="Q433" s="33" t="str">
        <f>IFERROR(__xludf.DUMMYFUNCTION("IF(IF(Q$1="""","""",REGEXMATCH(LOWER($E433),XLOOKUP(Q$1,Metadata!$A$2:$A1000,Metadata!$B$2:$B1000))),Q$1,"""")"),"")</f>
        <v/>
      </c>
      <c r="R433" s="33" t="str">
        <f>IFERROR(__xludf.DUMMYFUNCTION("IF(IF(R$1="""","""",REGEXMATCH(LOWER($E433),XLOOKUP(R$1,Metadata!$A$2:$A1000,Metadata!$B$2:$B1000))),R$1,"""")"),"")</f>
        <v/>
      </c>
      <c r="S433" s="33" t="str">
        <f>IFERROR(__xludf.DUMMYFUNCTION("IF(IF(S$1="""","""",REGEXMATCH(LOWER($E433),XLOOKUP(S$1,Metadata!$A$2:$A1000,Metadata!$B$2:$B1000))),S$1,"""")"),"")</f>
        <v/>
      </c>
      <c r="T433" s="33" t="str">
        <f>IFERROR(__xludf.DUMMYFUNCTION("IF(IF(T$1="""","""",REGEXMATCH(LOWER($E433),XLOOKUP(T$1,Metadata!$A$2:$A1000,Metadata!$B$2:$B1000))),T$1,"""")"),"")</f>
        <v/>
      </c>
      <c r="U433" s="33" t="str">
        <f>IFERROR(__xludf.DUMMYFUNCTION("IF(IF(U$1="""","""",REGEXMATCH(LOWER($E433),XLOOKUP(U$1,Metadata!$A$2:$A1000,Metadata!$B$2:$B1000))),U$1,"""")"),"")</f>
        <v/>
      </c>
      <c r="V433" s="33" t="str">
        <f>IFERROR(__xludf.DUMMYFUNCTION("IF(IF(V$1="""","""",REGEXMATCH(LOWER($E433),XLOOKUP(V$1,Metadata!$A$2:$A1000,Metadata!$B$2:$B1000))),V$1,"""")"),"")</f>
        <v/>
      </c>
      <c r="W433" s="33" t="str">
        <f>IFERROR(__xludf.DUMMYFUNCTION("IF(IF(W$1="""","""",REGEXMATCH(LOWER($E433),XLOOKUP(W$1,Metadata!$A$2:$A1000,Metadata!$B$2:$B1000))),W$1,"""")"),"")</f>
        <v/>
      </c>
      <c r="X433" s="33" t="str">
        <f>IFERROR(__xludf.DUMMYFUNCTION("IF(IF(X$1="""","""",REGEXMATCH(LOWER($E433),XLOOKUP(X$1,Metadata!$A$2:$A1000,Metadata!$B$2:$B1000))),X$1,"""")"),"")</f>
        <v/>
      </c>
      <c r="Y433" s="33" t="str">
        <f>IFERROR(__xludf.DUMMYFUNCTION("IF(IF(Y$1="""","""",REGEXMATCH(LOWER($E433),XLOOKUP(Y$1,Metadata!$A$2:$A1000,Metadata!$B$2:$B1000))),Y$1,"""")"),"")</f>
        <v/>
      </c>
      <c r="Z433" s="33" t="str">
        <f>IFERROR(__xludf.DUMMYFUNCTION("IF(IF(Z$1="""","""",REGEXMATCH(LOWER($E433),XLOOKUP(Z$1,Metadata!$A$2:$A1000,Metadata!$B$2:$B1000))),Z$1,"""")"),"")</f>
        <v/>
      </c>
    </row>
    <row r="434">
      <c r="A434" s="33"/>
      <c r="B434" s="33" t="str">
        <f t="array" ref="B434">XLOOKUP($A434,Cards!$A$2:$A1000,Cards!$B$2:$I1000,"")</f>
        <v/>
      </c>
      <c r="C434" s="33"/>
      <c r="D434" s="33"/>
      <c r="E434" s="33"/>
      <c r="F434" s="33"/>
      <c r="G434" s="33"/>
      <c r="H434" s="33"/>
      <c r="I434" s="33"/>
      <c r="J434" s="33">
        <f>IFERROR(__xludf.DUMMYFUNCTION("LEN(REGEXREPLACE(XLOOKUP($A434,Cards!$A$2:$A1000,Cards!$H$2:$H1000,""""),"",\s"",""""))"),0.0)</f>
        <v>0</v>
      </c>
      <c r="K434" s="33" t="str">
        <f t="shared" si="1"/>
        <v>               </v>
      </c>
      <c r="L434" s="33" t="str">
        <f>IFERROR(__xludf.DUMMYFUNCTION("IF(IF(L$1="""","""",REGEXMATCH(LOWER($E434),XLOOKUP(L$1,Metadata!$A$2:$A1000,Metadata!$B$2:$B1000))),L$1,"""")"),"")</f>
        <v/>
      </c>
      <c r="M434" s="33" t="str">
        <f>IFERROR(__xludf.DUMMYFUNCTION("IF(IF(M$1="""","""",REGEXMATCH(LOWER($E434),XLOOKUP(M$1,Metadata!$A$2:$A1000,Metadata!$B$2:$B1000))),M$1,"""")"),"")</f>
        <v/>
      </c>
      <c r="N434" s="33" t="str">
        <f>IFERROR(__xludf.DUMMYFUNCTION("IF(IF(N$1="""","""",REGEXMATCH(LOWER($E434),XLOOKUP(N$1,Metadata!$A$2:$A1000,Metadata!$B$2:$B1000))),N$1,"""")"),"")</f>
        <v/>
      </c>
      <c r="O434" s="33" t="str">
        <f>IFERROR(__xludf.DUMMYFUNCTION("IF(IF(O$1="""","""",REGEXMATCH(LOWER($E434),XLOOKUP(O$1,Metadata!$A$2:$A1000,Metadata!$B$2:$B1000))),O$1,"""")"),"")</f>
        <v/>
      </c>
      <c r="P434" s="33" t="str">
        <f>IFERROR(__xludf.DUMMYFUNCTION("IF(IF(P$1="""","""",REGEXMATCH(LOWER($E434),XLOOKUP(P$1,Metadata!$A$2:$A1000,Metadata!$B$2:$B1000))),P$1,"""")"),"")</f>
        <v/>
      </c>
      <c r="Q434" s="33" t="str">
        <f>IFERROR(__xludf.DUMMYFUNCTION("IF(IF(Q$1="""","""",REGEXMATCH(LOWER($E434),XLOOKUP(Q$1,Metadata!$A$2:$A1000,Metadata!$B$2:$B1000))),Q$1,"""")"),"")</f>
        <v/>
      </c>
      <c r="R434" s="33" t="str">
        <f>IFERROR(__xludf.DUMMYFUNCTION("IF(IF(R$1="""","""",REGEXMATCH(LOWER($E434),XLOOKUP(R$1,Metadata!$A$2:$A1000,Metadata!$B$2:$B1000))),R$1,"""")"),"")</f>
        <v/>
      </c>
      <c r="S434" s="33" t="str">
        <f>IFERROR(__xludf.DUMMYFUNCTION("IF(IF(S$1="""","""",REGEXMATCH(LOWER($E434),XLOOKUP(S$1,Metadata!$A$2:$A1000,Metadata!$B$2:$B1000))),S$1,"""")"),"")</f>
        <v/>
      </c>
      <c r="T434" s="33" t="str">
        <f>IFERROR(__xludf.DUMMYFUNCTION("IF(IF(T$1="""","""",REGEXMATCH(LOWER($E434),XLOOKUP(T$1,Metadata!$A$2:$A1000,Metadata!$B$2:$B1000))),T$1,"""")"),"")</f>
        <v/>
      </c>
      <c r="U434" s="33" t="str">
        <f>IFERROR(__xludf.DUMMYFUNCTION("IF(IF(U$1="""","""",REGEXMATCH(LOWER($E434),XLOOKUP(U$1,Metadata!$A$2:$A1000,Metadata!$B$2:$B1000))),U$1,"""")"),"")</f>
        <v/>
      </c>
      <c r="V434" s="33" t="str">
        <f>IFERROR(__xludf.DUMMYFUNCTION("IF(IF(V$1="""","""",REGEXMATCH(LOWER($E434),XLOOKUP(V$1,Metadata!$A$2:$A1000,Metadata!$B$2:$B1000))),V$1,"""")"),"")</f>
        <v/>
      </c>
      <c r="W434" s="33" t="str">
        <f>IFERROR(__xludf.DUMMYFUNCTION("IF(IF(W$1="""","""",REGEXMATCH(LOWER($E434),XLOOKUP(W$1,Metadata!$A$2:$A1000,Metadata!$B$2:$B1000))),W$1,"""")"),"")</f>
        <v/>
      </c>
      <c r="X434" s="33" t="str">
        <f>IFERROR(__xludf.DUMMYFUNCTION("IF(IF(X$1="""","""",REGEXMATCH(LOWER($E434),XLOOKUP(X$1,Metadata!$A$2:$A1000,Metadata!$B$2:$B1000))),X$1,"""")"),"")</f>
        <v/>
      </c>
      <c r="Y434" s="33" t="str">
        <f>IFERROR(__xludf.DUMMYFUNCTION("IF(IF(Y$1="""","""",REGEXMATCH(LOWER($E434),XLOOKUP(Y$1,Metadata!$A$2:$A1000,Metadata!$B$2:$B1000))),Y$1,"""")"),"")</f>
        <v/>
      </c>
      <c r="Z434" s="33" t="str">
        <f>IFERROR(__xludf.DUMMYFUNCTION("IF(IF(Z$1="""","""",REGEXMATCH(LOWER($E434),XLOOKUP(Z$1,Metadata!$A$2:$A1000,Metadata!$B$2:$B1000))),Z$1,"""")"),"")</f>
        <v/>
      </c>
    </row>
    <row r="435">
      <c r="A435" s="33"/>
      <c r="B435" s="33" t="str">
        <f t="array" ref="B435">XLOOKUP($A435,Cards!$A$2:$A1000,Cards!$B$2:$I1000,"")</f>
        <v/>
      </c>
      <c r="C435" s="33"/>
      <c r="D435" s="33"/>
      <c r="E435" s="33"/>
      <c r="F435" s="33"/>
      <c r="G435" s="33"/>
      <c r="H435" s="33"/>
      <c r="I435" s="33"/>
      <c r="J435" s="33">
        <f>IFERROR(__xludf.DUMMYFUNCTION("LEN(REGEXREPLACE(XLOOKUP($A435,Cards!$A$2:$A1000,Cards!$H$2:$H1000,""""),"",\s"",""""))"),0.0)</f>
        <v>0</v>
      </c>
      <c r="K435" s="33" t="str">
        <f t="shared" si="1"/>
        <v>               </v>
      </c>
      <c r="L435" s="33" t="str">
        <f>IFERROR(__xludf.DUMMYFUNCTION("IF(IF(L$1="""","""",REGEXMATCH(LOWER($E435),XLOOKUP(L$1,Metadata!$A$2:$A1000,Metadata!$B$2:$B1000))),L$1,"""")"),"")</f>
        <v/>
      </c>
      <c r="M435" s="33" t="str">
        <f>IFERROR(__xludf.DUMMYFUNCTION("IF(IF(M$1="""","""",REGEXMATCH(LOWER($E435),XLOOKUP(M$1,Metadata!$A$2:$A1000,Metadata!$B$2:$B1000))),M$1,"""")"),"")</f>
        <v/>
      </c>
      <c r="N435" s="33" t="str">
        <f>IFERROR(__xludf.DUMMYFUNCTION("IF(IF(N$1="""","""",REGEXMATCH(LOWER($E435),XLOOKUP(N$1,Metadata!$A$2:$A1000,Metadata!$B$2:$B1000))),N$1,"""")"),"")</f>
        <v/>
      </c>
      <c r="O435" s="33" t="str">
        <f>IFERROR(__xludf.DUMMYFUNCTION("IF(IF(O$1="""","""",REGEXMATCH(LOWER($E435),XLOOKUP(O$1,Metadata!$A$2:$A1000,Metadata!$B$2:$B1000))),O$1,"""")"),"")</f>
        <v/>
      </c>
      <c r="P435" s="33" t="str">
        <f>IFERROR(__xludf.DUMMYFUNCTION("IF(IF(P$1="""","""",REGEXMATCH(LOWER($E435),XLOOKUP(P$1,Metadata!$A$2:$A1000,Metadata!$B$2:$B1000))),P$1,"""")"),"")</f>
        <v/>
      </c>
      <c r="Q435" s="33" t="str">
        <f>IFERROR(__xludf.DUMMYFUNCTION("IF(IF(Q$1="""","""",REGEXMATCH(LOWER($E435),XLOOKUP(Q$1,Metadata!$A$2:$A1000,Metadata!$B$2:$B1000))),Q$1,"""")"),"")</f>
        <v/>
      </c>
      <c r="R435" s="33" t="str">
        <f>IFERROR(__xludf.DUMMYFUNCTION("IF(IF(R$1="""","""",REGEXMATCH(LOWER($E435),XLOOKUP(R$1,Metadata!$A$2:$A1000,Metadata!$B$2:$B1000))),R$1,"""")"),"")</f>
        <v/>
      </c>
      <c r="S435" s="33" t="str">
        <f>IFERROR(__xludf.DUMMYFUNCTION("IF(IF(S$1="""","""",REGEXMATCH(LOWER($E435),XLOOKUP(S$1,Metadata!$A$2:$A1000,Metadata!$B$2:$B1000))),S$1,"""")"),"")</f>
        <v/>
      </c>
      <c r="T435" s="33" t="str">
        <f>IFERROR(__xludf.DUMMYFUNCTION("IF(IF(T$1="""","""",REGEXMATCH(LOWER($E435),XLOOKUP(T$1,Metadata!$A$2:$A1000,Metadata!$B$2:$B1000))),T$1,"""")"),"")</f>
        <v/>
      </c>
      <c r="U435" s="33" t="str">
        <f>IFERROR(__xludf.DUMMYFUNCTION("IF(IF(U$1="""","""",REGEXMATCH(LOWER($E435),XLOOKUP(U$1,Metadata!$A$2:$A1000,Metadata!$B$2:$B1000))),U$1,"""")"),"")</f>
        <v/>
      </c>
      <c r="V435" s="33" t="str">
        <f>IFERROR(__xludf.DUMMYFUNCTION("IF(IF(V$1="""","""",REGEXMATCH(LOWER($E435),XLOOKUP(V$1,Metadata!$A$2:$A1000,Metadata!$B$2:$B1000))),V$1,"""")"),"")</f>
        <v/>
      </c>
      <c r="W435" s="33" t="str">
        <f>IFERROR(__xludf.DUMMYFUNCTION("IF(IF(W$1="""","""",REGEXMATCH(LOWER($E435),XLOOKUP(W$1,Metadata!$A$2:$A1000,Metadata!$B$2:$B1000))),W$1,"""")"),"")</f>
        <v/>
      </c>
      <c r="X435" s="33" t="str">
        <f>IFERROR(__xludf.DUMMYFUNCTION("IF(IF(X$1="""","""",REGEXMATCH(LOWER($E435),XLOOKUP(X$1,Metadata!$A$2:$A1000,Metadata!$B$2:$B1000))),X$1,"""")"),"")</f>
        <v/>
      </c>
      <c r="Y435" s="33" t="str">
        <f>IFERROR(__xludf.DUMMYFUNCTION("IF(IF(Y$1="""","""",REGEXMATCH(LOWER($E435),XLOOKUP(Y$1,Metadata!$A$2:$A1000,Metadata!$B$2:$B1000))),Y$1,"""")"),"")</f>
        <v/>
      </c>
      <c r="Z435" s="33" t="str">
        <f>IFERROR(__xludf.DUMMYFUNCTION("IF(IF(Z$1="""","""",REGEXMATCH(LOWER($E435),XLOOKUP(Z$1,Metadata!$A$2:$A1000,Metadata!$B$2:$B1000))),Z$1,"""")"),"")</f>
        <v/>
      </c>
    </row>
    <row r="436">
      <c r="A436" s="33"/>
      <c r="B436" s="33" t="str">
        <f t="array" ref="B436">XLOOKUP($A436,Cards!$A$2:$A1000,Cards!$B$2:$I1000,"")</f>
        <v/>
      </c>
      <c r="C436" s="33"/>
      <c r="D436" s="33"/>
      <c r="E436" s="33"/>
      <c r="F436" s="33"/>
      <c r="G436" s="33"/>
      <c r="H436" s="33"/>
      <c r="I436" s="33"/>
      <c r="J436" s="33">
        <f>IFERROR(__xludf.DUMMYFUNCTION("LEN(REGEXREPLACE(XLOOKUP($A436,Cards!$A$2:$A1000,Cards!$H$2:$H1000,""""),"",\s"",""""))"),0.0)</f>
        <v>0</v>
      </c>
      <c r="K436" s="33" t="str">
        <f t="shared" si="1"/>
        <v>               </v>
      </c>
      <c r="L436" s="33" t="str">
        <f>IFERROR(__xludf.DUMMYFUNCTION("IF(IF(L$1="""","""",REGEXMATCH(LOWER($E436),XLOOKUP(L$1,Metadata!$A$2:$A1000,Metadata!$B$2:$B1000))),L$1,"""")"),"")</f>
        <v/>
      </c>
      <c r="M436" s="33" t="str">
        <f>IFERROR(__xludf.DUMMYFUNCTION("IF(IF(M$1="""","""",REGEXMATCH(LOWER($E436),XLOOKUP(M$1,Metadata!$A$2:$A1000,Metadata!$B$2:$B1000))),M$1,"""")"),"")</f>
        <v/>
      </c>
      <c r="N436" s="33" t="str">
        <f>IFERROR(__xludf.DUMMYFUNCTION("IF(IF(N$1="""","""",REGEXMATCH(LOWER($E436),XLOOKUP(N$1,Metadata!$A$2:$A1000,Metadata!$B$2:$B1000))),N$1,"""")"),"")</f>
        <v/>
      </c>
      <c r="O436" s="33" t="str">
        <f>IFERROR(__xludf.DUMMYFUNCTION("IF(IF(O$1="""","""",REGEXMATCH(LOWER($E436),XLOOKUP(O$1,Metadata!$A$2:$A1000,Metadata!$B$2:$B1000))),O$1,"""")"),"")</f>
        <v/>
      </c>
      <c r="P436" s="33" t="str">
        <f>IFERROR(__xludf.DUMMYFUNCTION("IF(IF(P$1="""","""",REGEXMATCH(LOWER($E436),XLOOKUP(P$1,Metadata!$A$2:$A1000,Metadata!$B$2:$B1000))),P$1,"""")"),"")</f>
        <v/>
      </c>
      <c r="Q436" s="33" t="str">
        <f>IFERROR(__xludf.DUMMYFUNCTION("IF(IF(Q$1="""","""",REGEXMATCH(LOWER($E436),XLOOKUP(Q$1,Metadata!$A$2:$A1000,Metadata!$B$2:$B1000))),Q$1,"""")"),"")</f>
        <v/>
      </c>
      <c r="R436" s="33" t="str">
        <f>IFERROR(__xludf.DUMMYFUNCTION("IF(IF(R$1="""","""",REGEXMATCH(LOWER($E436),XLOOKUP(R$1,Metadata!$A$2:$A1000,Metadata!$B$2:$B1000))),R$1,"""")"),"")</f>
        <v/>
      </c>
      <c r="S436" s="33" t="str">
        <f>IFERROR(__xludf.DUMMYFUNCTION("IF(IF(S$1="""","""",REGEXMATCH(LOWER($E436),XLOOKUP(S$1,Metadata!$A$2:$A1000,Metadata!$B$2:$B1000))),S$1,"""")"),"")</f>
        <v/>
      </c>
      <c r="T436" s="33" t="str">
        <f>IFERROR(__xludf.DUMMYFUNCTION("IF(IF(T$1="""","""",REGEXMATCH(LOWER($E436),XLOOKUP(T$1,Metadata!$A$2:$A1000,Metadata!$B$2:$B1000))),T$1,"""")"),"")</f>
        <v/>
      </c>
      <c r="U436" s="33" t="str">
        <f>IFERROR(__xludf.DUMMYFUNCTION("IF(IF(U$1="""","""",REGEXMATCH(LOWER($E436),XLOOKUP(U$1,Metadata!$A$2:$A1000,Metadata!$B$2:$B1000))),U$1,"""")"),"")</f>
        <v/>
      </c>
      <c r="V436" s="33" t="str">
        <f>IFERROR(__xludf.DUMMYFUNCTION("IF(IF(V$1="""","""",REGEXMATCH(LOWER($E436),XLOOKUP(V$1,Metadata!$A$2:$A1000,Metadata!$B$2:$B1000))),V$1,"""")"),"")</f>
        <v/>
      </c>
      <c r="W436" s="33" t="str">
        <f>IFERROR(__xludf.DUMMYFUNCTION("IF(IF(W$1="""","""",REGEXMATCH(LOWER($E436),XLOOKUP(W$1,Metadata!$A$2:$A1000,Metadata!$B$2:$B1000))),W$1,"""")"),"")</f>
        <v/>
      </c>
      <c r="X436" s="33" t="str">
        <f>IFERROR(__xludf.DUMMYFUNCTION("IF(IF(X$1="""","""",REGEXMATCH(LOWER($E436),XLOOKUP(X$1,Metadata!$A$2:$A1000,Metadata!$B$2:$B1000))),X$1,"""")"),"")</f>
        <v/>
      </c>
      <c r="Y436" s="33" t="str">
        <f>IFERROR(__xludf.DUMMYFUNCTION("IF(IF(Y$1="""","""",REGEXMATCH(LOWER($E436),XLOOKUP(Y$1,Metadata!$A$2:$A1000,Metadata!$B$2:$B1000))),Y$1,"""")"),"")</f>
        <v/>
      </c>
      <c r="Z436" s="33" t="str">
        <f>IFERROR(__xludf.DUMMYFUNCTION("IF(IF(Z$1="""","""",REGEXMATCH(LOWER($E436),XLOOKUP(Z$1,Metadata!$A$2:$A1000,Metadata!$B$2:$B1000))),Z$1,"""")"),"")</f>
        <v/>
      </c>
    </row>
    <row r="437">
      <c r="A437" s="33"/>
      <c r="B437" s="33" t="str">
        <f t="array" ref="B437">XLOOKUP($A437,Cards!$A$2:$A1000,Cards!$B$2:$I1000,"")</f>
        <v/>
      </c>
      <c r="C437" s="33"/>
      <c r="D437" s="33"/>
      <c r="E437" s="33"/>
      <c r="F437" s="33"/>
      <c r="G437" s="33"/>
      <c r="H437" s="33"/>
      <c r="I437" s="33"/>
      <c r="J437" s="33">
        <f>IFERROR(__xludf.DUMMYFUNCTION("LEN(REGEXREPLACE(XLOOKUP($A437,Cards!$A$2:$A1000,Cards!$H$2:$H1000,""""),"",\s"",""""))"),0.0)</f>
        <v>0</v>
      </c>
      <c r="K437" s="33" t="str">
        <f t="shared" si="1"/>
        <v>               </v>
      </c>
      <c r="L437" s="33" t="str">
        <f>IFERROR(__xludf.DUMMYFUNCTION("IF(IF(L$1="""","""",REGEXMATCH(LOWER($E437),XLOOKUP(L$1,Metadata!$A$2:$A1000,Metadata!$B$2:$B1000))),L$1,"""")"),"")</f>
        <v/>
      </c>
      <c r="M437" s="33" t="str">
        <f>IFERROR(__xludf.DUMMYFUNCTION("IF(IF(M$1="""","""",REGEXMATCH(LOWER($E437),XLOOKUP(M$1,Metadata!$A$2:$A1000,Metadata!$B$2:$B1000))),M$1,"""")"),"")</f>
        <v/>
      </c>
      <c r="N437" s="33" t="str">
        <f>IFERROR(__xludf.DUMMYFUNCTION("IF(IF(N$1="""","""",REGEXMATCH(LOWER($E437),XLOOKUP(N$1,Metadata!$A$2:$A1000,Metadata!$B$2:$B1000))),N$1,"""")"),"")</f>
        <v/>
      </c>
      <c r="O437" s="33" t="str">
        <f>IFERROR(__xludf.DUMMYFUNCTION("IF(IF(O$1="""","""",REGEXMATCH(LOWER($E437),XLOOKUP(O$1,Metadata!$A$2:$A1000,Metadata!$B$2:$B1000))),O$1,"""")"),"")</f>
        <v/>
      </c>
      <c r="P437" s="33" t="str">
        <f>IFERROR(__xludf.DUMMYFUNCTION("IF(IF(P$1="""","""",REGEXMATCH(LOWER($E437),XLOOKUP(P$1,Metadata!$A$2:$A1000,Metadata!$B$2:$B1000))),P$1,"""")"),"")</f>
        <v/>
      </c>
      <c r="Q437" s="33" t="str">
        <f>IFERROR(__xludf.DUMMYFUNCTION("IF(IF(Q$1="""","""",REGEXMATCH(LOWER($E437),XLOOKUP(Q$1,Metadata!$A$2:$A1000,Metadata!$B$2:$B1000))),Q$1,"""")"),"")</f>
        <v/>
      </c>
      <c r="R437" s="33" t="str">
        <f>IFERROR(__xludf.DUMMYFUNCTION("IF(IF(R$1="""","""",REGEXMATCH(LOWER($E437),XLOOKUP(R$1,Metadata!$A$2:$A1000,Metadata!$B$2:$B1000))),R$1,"""")"),"")</f>
        <v/>
      </c>
      <c r="S437" s="33" t="str">
        <f>IFERROR(__xludf.DUMMYFUNCTION("IF(IF(S$1="""","""",REGEXMATCH(LOWER($E437),XLOOKUP(S$1,Metadata!$A$2:$A1000,Metadata!$B$2:$B1000))),S$1,"""")"),"")</f>
        <v/>
      </c>
      <c r="T437" s="33" t="str">
        <f>IFERROR(__xludf.DUMMYFUNCTION("IF(IF(T$1="""","""",REGEXMATCH(LOWER($E437),XLOOKUP(T$1,Metadata!$A$2:$A1000,Metadata!$B$2:$B1000))),T$1,"""")"),"")</f>
        <v/>
      </c>
      <c r="U437" s="33" t="str">
        <f>IFERROR(__xludf.DUMMYFUNCTION("IF(IF(U$1="""","""",REGEXMATCH(LOWER($E437),XLOOKUP(U$1,Metadata!$A$2:$A1000,Metadata!$B$2:$B1000))),U$1,"""")"),"")</f>
        <v/>
      </c>
      <c r="V437" s="33" t="str">
        <f>IFERROR(__xludf.DUMMYFUNCTION("IF(IF(V$1="""","""",REGEXMATCH(LOWER($E437),XLOOKUP(V$1,Metadata!$A$2:$A1000,Metadata!$B$2:$B1000))),V$1,"""")"),"")</f>
        <v/>
      </c>
      <c r="W437" s="33" t="str">
        <f>IFERROR(__xludf.DUMMYFUNCTION("IF(IF(W$1="""","""",REGEXMATCH(LOWER($E437),XLOOKUP(W$1,Metadata!$A$2:$A1000,Metadata!$B$2:$B1000))),W$1,"""")"),"")</f>
        <v/>
      </c>
      <c r="X437" s="33" t="str">
        <f>IFERROR(__xludf.DUMMYFUNCTION("IF(IF(X$1="""","""",REGEXMATCH(LOWER($E437),XLOOKUP(X$1,Metadata!$A$2:$A1000,Metadata!$B$2:$B1000))),X$1,"""")"),"")</f>
        <v/>
      </c>
      <c r="Y437" s="33" t="str">
        <f>IFERROR(__xludf.DUMMYFUNCTION("IF(IF(Y$1="""","""",REGEXMATCH(LOWER($E437),XLOOKUP(Y$1,Metadata!$A$2:$A1000,Metadata!$B$2:$B1000))),Y$1,"""")"),"")</f>
        <v/>
      </c>
      <c r="Z437" s="33" t="str">
        <f>IFERROR(__xludf.DUMMYFUNCTION("IF(IF(Z$1="""","""",REGEXMATCH(LOWER($E437),XLOOKUP(Z$1,Metadata!$A$2:$A1000,Metadata!$B$2:$B1000))),Z$1,"""")"),"")</f>
        <v/>
      </c>
    </row>
    <row r="438">
      <c r="A438" s="33"/>
      <c r="B438" s="33" t="str">
        <f t="array" ref="B438">XLOOKUP($A438,Cards!$A$2:$A1000,Cards!$B$2:$I1000,"")</f>
        <v/>
      </c>
      <c r="C438" s="33"/>
      <c r="D438" s="33"/>
      <c r="E438" s="33"/>
      <c r="F438" s="33"/>
      <c r="G438" s="33"/>
      <c r="H438" s="33"/>
      <c r="I438" s="33"/>
      <c r="J438" s="33">
        <f>IFERROR(__xludf.DUMMYFUNCTION("LEN(REGEXREPLACE(XLOOKUP($A438,Cards!$A$2:$A1000,Cards!$H$2:$H1000,""""),"",\s"",""""))"),0.0)</f>
        <v>0</v>
      </c>
      <c r="K438" s="33" t="str">
        <f t="shared" si="1"/>
        <v>               </v>
      </c>
      <c r="L438" s="33" t="str">
        <f>IFERROR(__xludf.DUMMYFUNCTION("IF(IF(L$1="""","""",REGEXMATCH(LOWER($E438),XLOOKUP(L$1,Metadata!$A$2:$A1000,Metadata!$B$2:$B1000))),L$1,"""")"),"")</f>
        <v/>
      </c>
      <c r="M438" s="33" t="str">
        <f>IFERROR(__xludf.DUMMYFUNCTION("IF(IF(M$1="""","""",REGEXMATCH(LOWER($E438),XLOOKUP(M$1,Metadata!$A$2:$A1000,Metadata!$B$2:$B1000))),M$1,"""")"),"")</f>
        <v/>
      </c>
      <c r="N438" s="33" t="str">
        <f>IFERROR(__xludf.DUMMYFUNCTION("IF(IF(N$1="""","""",REGEXMATCH(LOWER($E438),XLOOKUP(N$1,Metadata!$A$2:$A1000,Metadata!$B$2:$B1000))),N$1,"""")"),"")</f>
        <v/>
      </c>
      <c r="O438" s="33" t="str">
        <f>IFERROR(__xludf.DUMMYFUNCTION("IF(IF(O$1="""","""",REGEXMATCH(LOWER($E438),XLOOKUP(O$1,Metadata!$A$2:$A1000,Metadata!$B$2:$B1000))),O$1,"""")"),"")</f>
        <v/>
      </c>
      <c r="P438" s="33" t="str">
        <f>IFERROR(__xludf.DUMMYFUNCTION("IF(IF(P$1="""","""",REGEXMATCH(LOWER($E438),XLOOKUP(P$1,Metadata!$A$2:$A1000,Metadata!$B$2:$B1000))),P$1,"""")"),"")</f>
        <v/>
      </c>
      <c r="Q438" s="33" t="str">
        <f>IFERROR(__xludf.DUMMYFUNCTION("IF(IF(Q$1="""","""",REGEXMATCH(LOWER($E438),XLOOKUP(Q$1,Metadata!$A$2:$A1000,Metadata!$B$2:$B1000))),Q$1,"""")"),"")</f>
        <v/>
      </c>
      <c r="R438" s="33" t="str">
        <f>IFERROR(__xludf.DUMMYFUNCTION("IF(IF(R$1="""","""",REGEXMATCH(LOWER($E438),XLOOKUP(R$1,Metadata!$A$2:$A1000,Metadata!$B$2:$B1000))),R$1,"""")"),"")</f>
        <v/>
      </c>
      <c r="S438" s="33" t="str">
        <f>IFERROR(__xludf.DUMMYFUNCTION("IF(IF(S$1="""","""",REGEXMATCH(LOWER($E438),XLOOKUP(S$1,Metadata!$A$2:$A1000,Metadata!$B$2:$B1000))),S$1,"""")"),"")</f>
        <v/>
      </c>
      <c r="T438" s="33" t="str">
        <f>IFERROR(__xludf.DUMMYFUNCTION("IF(IF(T$1="""","""",REGEXMATCH(LOWER($E438),XLOOKUP(T$1,Metadata!$A$2:$A1000,Metadata!$B$2:$B1000))),T$1,"""")"),"")</f>
        <v/>
      </c>
      <c r="U438" s="33" t="str">
        <f>IFERROR(__xludf.DUMMYFUNCTION("IF(IF(U$1="""","""",REGEXMATCH(LOWER($E438),XLOOKUP(U$1,Metadata!$A$2:$A1000,Metadata!$B$2:$B1000))),U$1,"""")"),"")</f>
        <v/>
      </c>
      <c r="V438" s="33" t="str">
        <f>IFERROR(__xludf.DUMMYFUNCTION("IF(IF(V$1="""","""",REGEXMATCH(LOWER($E438),XLOOKUP(V$1,Metadata!$A$2:$A1000,Metadata!$B$2:$B1000))),V$1,"""")"),"")</f>
        <v/>
      </c>
      <c r="W438" s="33" t="str">
        <f>IFERROR(__xludf.DUMMYFUNCTION("IF(IF(W$1="""","""",REGEXMATCH(LOWER($E438),XLOOKUP(W$1,Metadata!$A$2:$A1000,Metadata!$B$2:$B1000))),W$1,"""")"),"")</f>
        <v/>
      </c>
      <c r="X438" s="33" t="str">
        <f>IFERROR(__xludf.DUMMYFUNCTION("IF(IF(X$1="""","""",REGEXMATCH(LOWER($E438),XLOOKUP(X$1,Metadata!$A$2:$A1000,Metadata!$B$2:$B1000))),X$1,"""")"),"")</f>
        <v/>
      </c>
      <c r="Y438" s="33" t="str">
        <f>IFERROR(__xludf.DUMMYFUNCTION("IF(IF(Y$1="""","""",REGEXMATCH(LOWER($E438),XLOOKUP(Y$1,Metadata!$A$2:$A1000,Metadata!$B$2:$B1000))),Y$1,"""")"),"")</f>
        <v/>
      </c>
      <c r="Z438" s="33" t="str">
        <f>IFERROR(__xludf.DUMMYFUNCTION("IF(IF(Z$1="""","""",REGEXMATCH(LOWER($E438),XLOOKUP(Z$1,Metadata!$A$2:$A1000,Metadata!$B$2:$B1000))),Z$1,"""")"),"")</f>
        <v/>
      </c>
    </row>
    <row r="439">
      <c r="A439" s="33"/>
      <c r="B439" s="33" t="str">
        <f t="array" ref="B439">XLOOKUP($A439,Cards!$A$2:$A1000,Cards!$B$2:$I1000,"")</f>
        <v/>
      </c>
      <c r="C439" s="33"/>
      <c r="D439" s="33"/>
      <c r="E439" s="33"/>
      <c r="F439" s="33"/>
      <c r="G439" s="33"/>
      <c r="H439" s="33"/>
      <c r="I439" s="33"/>
      <c r="J439" s="33">
        <f>IFERROR(__xludf.DUMMYFUNCTION("LEN(REGEXREPLACE(XLOOKUP($A439,Cards!$A$2:$A1000,Cards!$H$2:$H1000,""""),"",\s"",""""))"),0.0)</f>
        <v>0</v>
      </c>
      <c r="K439" s="33" t="str">
        <f t="shared" si="1"/>
        <v>               </v>
      </c>
      <c r="L439" s="33" t="str">
        <f>IFERROR(__xludf.DUMMYFUNCTION("IF(IF(L$1="""","""",REGEXMATCH(LOWER($E439),XLOOKUP(L$1,Metadata!$A$2:$A1000,Metadata!$B$2:$B1000))),L$1,"""")"),"")</f>
        <v/>
      </c>
      <c r="M439" s="33" t="str">
        <f>IFERROR(__xludf.DUMMYFUNCTION("IF(IF(M$1="""","""",REGEXMATCH(LOWER($E439),XLOOKUP(M$1,Metadata!$A$2:$A1000,Metadata!$B$2:$B1000))),M$1,"""")"),"")</f>
        <v/>
      </c>
      <c r="N439" s="33" t="str">
        <f>IFERROR(__xludf.DUMMYFUNCTION("IF(IF(N$1="""","""",REGEXMATCH(LOWER($E439),XLOOKUP(N$1,Metadata!$A$2:$A1000,Metadata!$B$2:$B1000))),N$1,"""")"),"")</f>
        <v/>
      </c>
      <c r="O439" s="33" t="str">
        <f>IFERROR(__xludf.DUMMYFUNCTION("IF(IF(O$1="""","""",REGEXMATCH(LOWER($E439),XLOOKUP(O$1,Metadata!$A$2:$A1000,Metadata!$B$2:$B1000))),O$1,"""")"),"")</f>
        <v/>
      </c>
      <c r="P439" s="33" t="str">
        <f>IFERROR(__xludf.DUMMYFUNCTION("IF(IF(P$1="""","""",REGEXMATCH(LOWER($E439),XLOOKUP(P$1,Metadata!$A$2:$A1000,Metadata!$B$2:$B1000))),P$1,"""")"),"")</f>
        <v/>
      </c>
      <c r="Q439" s="33" t="str">
        <f>IFERROR(__xludf.DUMMYFUNCTION("IF(IF(Q$1="""","""",REGEXMATCH(LOWER($E439),XLOOKUP(Q$1,Metadata!$A$2:$A1000,Metadata!$B$2:$B1000))),Q$1,"""")"),"")</f>
        <v/>
      </c>
      <c r="R439" s="33" t="str">
        <f>IFERROR(__xludf.DUMMYFUNCTION("IF(IF(R$1="""","""",REGEXMATCH(LOWER($E439),XLOOKUP(R$1,Metadata!$A$2:$A1000,Metadata!$B$2:$B1000))),R$1,"""")"),"")</f>
        <v/>
      </c>
      <c r="S439" s="33" t="str">
        <f>IFERROR(__xludf.DUMMYFUNCTION("IF(IF(S$1="""","""",REGEXMATCH(LOWER($E439),XLOOKUP(S$1,Metadata!$A$2:$A1000,Metadata!$B$2:$B1000))),S$1,"""")"),"")</f>
        <v/>
      </c>
      <c r="T439" s="33" t="str">
        <f>IFERROR(__xludf.DUMMYFUNCTION("IF(IF(T$1="""","""",REGEXMATCH(LOWER($E439),XLOOKUP(T$1,Metadata!$A$2:$A1000,Metadata!$B$2:$B1000))),T$1,"""")"),"")</f>
        <v/>
      </c>
      <c r="U439" s="33" t="str">
        <f>IFERROR(__xludf.DUMMYFUNCTION("IF(IF(U$1="""","""",REGEXMATCH(LOWER($E439),XLOOKUP(U$1,Metadata!$A$2:$A1000,Metadata!$B$2:$B1000))),U$1,"""")"),"")</f>
        <v/>
      </c>
      <c r="V439" s="33" t="str">
        <f>IFERROR(__xludf.DUMMYFUNCTION("IF(IF(V$1="""","""",REGEXMATCH(LOWER($E439),XLOOKUP(V$1,Metadata!$A$2:$A1000,Metadata!$B$2:$B1000))),V$1,"""")"),"")</f>
        <v/>
      </c>
      <c r="W439" s="33" t="str">
        <f>IFERROR(__xludf.DUMMYFUNCTION("IF(IF(W$1="""","""",REGEXMATCH(LOWER($E439),XLOOKUP(W$1,Metadata!$A$2:$A1000,Metadata!$B$2:$B1000))),W$1,"""")"),"")</f>
        <v/>
      </c>
      <c r="X439" s="33" t="str">
        <f>IFERROR(__xludf.DUMMYFUNCTION("IF(IF(X$1="""","""",REGEXMATCH(LOWER($E439),XLOOKUP(X$1,Metadata!$A$2:$A1000,Metadata!$B$2:$B1000))),X$1,"""")"),"")</f>
        <v/>
      </c>
      <c r="Y439" s="33" t="str">
        <f>IFERROR(__xludf.DUMMYFUNCTION("IF(IF(Y$1="""","""",REGEXMATCH(LOWER($E439),XLOOKUP(Y$1,Metadata!$A$2:$A1000,Metadata!$B$2:$B1000))),Y$1,"""")"),"")</f>
        <v/>
      </c>
      <c r="Z439" s="33" t="str">
        <f>IFERROR(__xludf.DUMMYFUNCTION("IF(IF(Z$1="""","""",REGEXMATCH(LOWER($E439),XLOOKUP(Z$1,Metadata!$A$2:$A1000,Metadata!$B$2:$B1000))),Z$1,"""")"),"")</f>
        <v/>
      </c>
    </row>
    <row r="440">
      <c r="A440" s="33"/>
      <c r="B440" s="33" t="str">
        <f t="array" ref="B440">XLOOKUP($A440,Cards!$A$2:$A1000,Cards!$B$2:$I1000,"")</f>
        <v/>
      </c>
      <c r="C440" s="33"/>
      <c r="D440" s="33"/>
      <c r="E440" s="33"/>
      <c r="F440" s="33"/>
      <c r="G440" s="33"/>
      <c r="H440" s="33"/>
      <c r="I440" s="33"/>
      <c r="J440" s="33">
        <f>IFERROR(__xludf.DUMMYFUNCTION("LEN(REGEXREPLACE(XLOOKUP($A440,Cards!$A$2:$A1000,Cards!$H$2:$H1000,""""),"",\s"",""""))"),0.0)</f>
        <v>0</v>
      </c>
      <c r="K440" s="33" t="str">
        <f t="shared" si="1"/>
        <v>               </v>
      </c>
      <c r="L440" s="33" t="str">
        <f>IFERROR(__xludf.DUMMYFUNCTION("IF(IF(L$1="""","""",REGEXMATCH(LOWER($E440),XLOOKUP(L$1,Metadata!$A$2:$A1000,Metadata!$B$2:$B1000))),L$1,"""")"),"")</f>
        <v/>
      </c>
      <c r="M440" s="33" t="str">
        <f>IFERROR(__xludf.DUMMYFUNCTION("IF(IF(M$1="""","""",REGEXMATCH(LOWER($E440),XLOOKUP(M$1,Metadata!$A$2:$A1000,Metadata!$B$2:$B1000))),M$1,"""")"),"")</f>
        <v/>
      </c>
      <c r="N440" s="33" t="str">
        <f>IFERROR(__xludf.DUMMYFUNCTION("IF(IF(N$1="""","""",REGEXMATCH(LOWER($E440),XLOOKUP(N$1,Metadata!$A$2:$A1000,Metadata!$B$2:$B1000))),N$1,"""")"),"")</f>
        <v/>
      </c>
      <c r="O440" s="33" t="str">
        <f>IFERROR(__xludf.DUMMYFUNCTION("IF(IF(O$1="""","""",REGEXMATCH(LOWER($E440),XLOOKUP(O$1,Metadata!$A$2:$A1000,Metadata!$B$2:$B1000))),O$1,"""")"),"")</f>
        <v/>
      </c>
      <c r="P440" s="33" t="str">
        <f>IFERROR(__xludf.DUMMYFUNCTION("IF(IF(P$1="""","""",REGEXMATCH(LOWER($E440),XLOOKUP(P$1,Metadata!$A$2:$A1000,Metadata!$B$2:$B1000))),P$1,"""")"),"")</f>
        <v/>
      </c>
      <c r="Q440" s="33" t="str">
        <f>IFERROR(__xludf.DUMMYFUNCTION("IF(IF(Q$1="""","""",REGEXMATCH(LOWER($E440),XLOOKUP(Q$1,Metadata!$A$2:$A1000,Metadata!$B$2:$B1000))),Q$1,"""")"),"")</f>
        <v/>
      </c>
      <c r="R440" s="33" t="str">
        <f>IFERROR(__xludf.DUMMYFUNCTION("IF(IF(R$1="""","""",REGEXMATCH(LOWER($E440),XLOOKUP(R$1,Metadata!$A$2:$A1000,Metadata!$B$2:$B1000))),R$1,"""")"),"")</f>
        <v/>
      </c>
      <c r="S440" s="33" t="str">
        <f>IFERROR(__xludf.DUMMYFUNCTION("IF(IF(S$1="""","""",REGEXMATCH(LOWER($E440),XLOOKUP(S$1,Metadata!$A$2:$A1000,Metadata!$B$2:$B1000))),S$1,"""")"),"")</f>
        <v/>
      </c>
      <c r="T440" s="33" t="str">
        <f>IFERROR(__xludf.DUMMYFUNCTION("IF(IF(T$1="""","""",REGEXMATCH(LOWER($E440),XLOOKUP(T$1,Metadata!$A$2:$A1000,Metadata!$B$2:$B1000))),T$1,"""")"),"")</f>
        <v/>
      </c>
      <c r="U440" s="33" t="str">
        <f>IFERROR(__xludf.DUMMYFUNCTION("IF(IF(U$1="""","""",REGEXMATCH(LOWER($E440),XLOOKUP(U$1,Metadata!$A$2:$A1000,Metadata!$B$2:$B1000))),U$1,"""")"),"")</f>
        <v/>
      </c>
      <c r="V440" s="33" t="str">
        <f>IFERROR(__xludf.DUMMYFUNCTION("IF(IF(V$1="""","""",REGEXMATCH(LOWER($E440),XLOOKUP(V$1,Metadata!$A$2:$A1000,Metadata!$B$2:$B1000))),V$1,"""")"),"")</f>
        <v/>
      </c>
      <c r="W440" s="33" t="str">
        <f>IFERROR(__xludf.DUMMYFUNCTION("IF(IF(W$1="""","""",REGEXMATCH(LOWER($E440),XLOOKUP(W$1,Metadata!$A$2:$A1000,Metadata!$B$2:$B1000))),W$1,"""")"),"")</f>
        <v/>
      </c>
      <c r="X440" s="33" t="str">
        <f>IFERROR(__xludf.DUMMYFUNCTION("IF(IF(X$1="""","""",REGEXMATCH(LOWER($E440),XLOOKUP(X$1,Metadata!$A$2:$A1000,Metadata!$B$2:$B1000))),X$1,"""")"),"")</f>
        <v/>
      </c>
      <c r="Y440" s="33" t="str">
        <f>IFERROR(__xludf.DUMMYFUNCTION("IF(IF(Y$1="""","""",REGEXMATCH(LOWER($E440),XLOOKUP(Y$1,Metadata!$A$2:$A1000,Metadata!$B$2:$B1000))),Y$1,"""")"),"")</f>
        <v/>
      </c>
      <c r="Z440" s="33" t="str">
        <f>IFERROR(__xludf.DUMMYFUNCTION("IF(IF(Z$1="""","""",REGEXMATCH(LOWER($E440),XLOOKUP(Z$1,Metadata!$A$2:$A1000,Metadata!$B$2:$B1000))),Z$1,"""")"),"")</f>
        <v/>
      </c>
    </row>
    <row r="441">
      <c r="A441" s="33"/>
      <c r="B441" s="33" t="str">
        <f t="array" ref="B441">XLOOKUP($A441,Cards!$A$2:$A1000,Cards!$B$2:$I1000,"")</f>
        <v/>
      </c>
      <c r="C441" s="33"/>
      <c r="D441" s="33"/>
      <c r="E441" s="33"/>
      <c r="F441" s="33"/>
      <c r="G441" s="33"/>
      <c r="H441" s="33"/>
      <c r="I441" s="33"/>
      <c r="J441" s="33">
        <f>IFERROR(__xludf.DUMMYFUNCTION("LEN(REGEXREPLACE(XLOOKUP($A441,Cards!$A$2:$A1000,Cards!$H$2:$H1000,""""),"",\s"",""""))"),0.0)</f>
        <v>0</v>
      </c>
      <c r="K441" s="33" t="str">
        <f t="shared" si="1"/>
        <v>               </v>
      </c>
      <c r="L441" s="33" t="str">
        <f>IFERROR(__xludf.DUMMYFUNCTION("IF(IF(L$1="""","""",REGEXMATCH(LOWER($E441),XLOOKUP(L$1,Metadata!$A$2:$A1000,Metadata!$B$2:$B1000))),L$1,"""")"),"")</f>
        <v/>
      </c>
      <c r="M441" s="33" t="str">
        <f>IFERROR(__xludf.DUMMYFUNCTION("IF(IF(M$1="""","""",REGEXMATCH(LOWER($E441),XLOOKUP(M$1,Metadata!$A$2:$A1000,Metadata!$B$2:$B1000))),M$1,"""")"),"")</f>
        <v/>
      </c>
      <c r="N441" s="33" t="str">
        <f>IFERROR(__xludf.DUMMYFUNCTION("IF(IF(N$1="""","""",REGEXMATCH(LOWER($E441),XLOOKUP(N$1,Metadata!$A$2:$A1000,Metadata!$B$2:$B1000))),N$1,"""")"),"")</f>
        <v/>
      </c>
      <c r="O441" s="33" t="str">
        <f>IFERROR(__xludf.DUMMYFUNCTION("IF(IF(O$1="""","""",REGEXMATCH(LOWER($E441),XLOOKUP(O$1,Metadata!$A$2:$A1000,Metadata!$B$2:$B1000))),O$1,"""")"),"")</f>
        <v/>
      </c>
      <c r="P441" s="33" t="str">
        <f>IFERROR(__xludf.DUMMYFUNCTION("IF(IF(P$1="""","""",REGEXMATCH(LOWER($E441),XLOOKUP(P$1,Metadata!$A$2:$A1000,Metadata!$B$2:$B1000))),P$1,"""")"),"")</f>
        <v/>
      </c>
      <c r="Q441" s="33" t="str">
        <f>IFERROR(__xludf.DUMMYFUNCTION("IF(IF(Q$1="""","""",REGEXMATCH(LOWER($E441),XLOOKUP(Q$1,Metadata!$A$2:$A1000,Metadata!$B$2:$B1000))),Q$1,"""")"),"")</f>
        <v/>
      </c>
      <c r="R441" s="33" t="str">
        <f>IFERROR(__xludf.DUMMYFUNCTION("IF(IF(R$1="""","""",REGEXMATCH(LOWER($E441),XLOOKUP(R$1,Metadata!$A$2:$A1000,Metadata!$B$2:$B1000))),R$1,"""")"),"")</f>
        <v/>
      </c>
      <c r="S441" s="33" t="str">
        <f>IFERROR(__xludf.DUMMYFUNCTION("IF(IF(S$1="""","""",REGEXMATCH(LOWER($E441),XLOOKUP(S$1,Metadata!$A$2:$A1000,Metadata!$B$2:$B1000))),S$1,"""")"),"")</f>
        <v/>
      </c>
      <c r="T441" s="33" t="str">
        <f>IFERROR(__xludf.DUMMYFUNCTION("IF(IF(T$1="""","""",REGEXMATCH(LOWER($E441),XLOOKUP(T$1,Metadata!$A$2:$A1000,Metadata!$B$2:$B1000))),T$1,"""")"),"")</f>
        <v/>
      </c>
      <c r="U441" s="33" t="str">
        <f>IFERROR(__xludf.DUMMYFUNCTION("IF(IF(U$1="""","""",REGEXMATCH(LOWER($E441),XLOOKUP(U$1,Metadata!$A$2:$A1000,Metadata!$B$2:$B1000))),U$1,"""")"),"")</f>
        <v/>
      </c>
      <c r="V441" s="33" t="str">
        <f>IFERROR(__xludf.DUMMYFUNCTION("IF(IF(V$1="""","""",REGEXMATCH(LOWER($E441),XLOOKUP(V$1,Metadata!$A$2:$A1000,Metadata!$B$2:$B1000))),V$1,"""")"),"")</f>
        <v/>
      </c>
      <c r="W441" s="33" t="str">
        <f>IFERROR(__xludf.DUMMYFUNCTION("IF(IF(W$1="""","""",REGEXMATCH(LOWER($E441),XLOOKUP(W$1,Metadata!$A$2:$A1000,Metadata!$B$2:$B1000))),W$1,"""")"),"")</f>
        <v/>
      </c>
      <c r="X441" s="33" t="str">
        <f>IFERROR(__xludf.DUMMYFUNCTION("IF(IF(X$1="""","""",REGEXMATCH(LOWER($E441),XLOOKUP(X$1,Metadata!$A$2:$A1000,Metadata!$B$2:$B1000))),X$1,"""")"),"")</f>
        <v/>
      </c>
      <c r="Y441" s="33" t="str">
        <f>IFERROR(__xludf.DUMMYFUNCTION("IF(IF(Y$1="""","""",REGEXMATCH(LOWER($E441),XLOOKUP(Y$1,Metadata!$A$2:$A1000,Metadata!$B$2:$B1000))),Y$1,"""")"),"")</f>
        <v/>
      </c>
      <c r="Z441" s="33" t="str">
        <f>IFERROR(__xludf.DUMMYFUNCTION("IF(IF(Z$1="""","""",REGEXMATCH(LOWER($E441),XLOOKUP(Z$1,Metadata!$A$2:$A1000,Metadata!$B$2:$B1000))),Z$1,"""")"),"")</f>
        <v/>
      </c>
    </row>
    <row r="442">
      <c r="A442" s="33"/>
      <c r="B442" s="33" t="str">
        <f t="array" ref="B442">XLOOKUP($A442,Cards!$A$2:$A1000,Cards!$B$2:$I1000,"")</f>
        <v/>
      </c>
      <c r="C442" s="33"/>
      <c r="D442" s="33"/>
      <c r="E442" s="33"/>
      <c r="F442" s="33"/>
      <c r="G442" s="33"/>
      <c r="H442" s="33"/>
      <c r="I442" s="33"/>
      <c r="J442" s="33">
        <f>IFERROR(__xludf.DUMMYFUNCTION("LEN(REGEXREPLACE(XLOOKUP($A442,Cards!$A$2:$A1000,Cards!$H$2:$H1000,""""),"",\s"",""""))"),0.0)</f>
        <v>0</v>
      </c>
      <c r="K442" s="33" t="str">
        <f t="shared" si="1"/>
        <v>               </v>
      </c>
      <c r="L442" s="33" t="str">
        <f>IFERROR(__xludf.DUMMYFUNCTION("IF(IF(L$1="""","""",REGEXMATCH(LOWER($E442),XLOOKUP(L$1,Metadata!$A$2:$A1000,Metadata!$B$2:$B1000))),L$1,"""")"),"")</f>
        <v/>
      </c>
      <c r="M442" s="33" t="str">
        <f>IFERROR(__xludf.DUMMYFUNCTION("IF(IF(M$1="""","""",REGEXMATCH(LOWER($E442),XLOOKUP(M$1,Metadata!$A$2:$A1000,Metadata!$B$2:$B1000))),M$1,"""")"),"")</f>
        <v/>
      </c>
      <c r="N442" s="33" t="str">
        <f>IFERROR(__xludf.DUMMYFUNCTION("IF(IF(N$1="""","""",REGEXMATCH(LOWER($E442),XLOOKUP(N$1,Metadata!$A$2:$A1000,Metadata!$B$2:$B1000))),N$1,"""")"),"")</f>
        <v/>
      </c>
      <c r="O442" s="33" t="str">
        <f>IFERROR(__xludf.DUMMYFUNCTION("IF(IF(O$1="""","""",REGEXMATCH(LOWER($E442),XLOOKUP(O$1,Metadata!$A$2:$A1000,Metadata!$B$2:$B1000))),O$1,"""")"),"")</f>
        <v/>
      </c>
      <c r="P442" s="33" t="str">
        <f>IFERROR(__xludf.DUMMYFUNCTION("IF(IF(P$1="""","""",REGEXMATCH(LOWER($E442),XLOOKUP(P$1,Metadata!$A$2:$A1000,Metadata!$B$2:$B1000))),P$1,"""")"),"")</f>
        <v/>
      </c>
      <c r="Q442" s="33" t="str">
        <f>IFERROR(__xludf.DUMMYFUNCTION("IF(IF(Q$1="""","""",REGEXMATCH(LOWER($E442),XLOOKUP(Q$1,Metadata!$A$2:$A1000,Metadata!$B$2:$B1000))),Q$1,"""")"),"")</f>
        <v/>
      </c>
      <c r="R442" s="33" t="str">
        <f>IFERROR(__xludf.DUMMYFUNCTION("IF(IF(R$1="""","""",REGEXMATCH(LOWER($E442),XLOOKUP(R$1,Metadata!$A$2:$A1000,Metadata!$B$2:$B1000))),R$1,"""")"),"")</f>
        <v/>
      </c>
      <c r="S442" s="33" t="str">
        <f>IFERROR(__xludf.DUMMYFUNCTION("IF(IF(S$1="""","""",REGEXMATCH(LOWER($E442),XLOOKUP(S$1,Metadata!$A$2:$A1000,Metadata!$B$2:$B1000))),S$1,"""")"),"")</f>
        <v/>
      </c>
      <c r="T442" s="33" t="str">
        <f>IFERROR(__xludf.DUMMYFUNCTION("IF(IF(T$1="""","""",REGEXMATCH(LOWER($E442),XLOOKUP(T$1,Metadata!$A$2:$A1000,Metadata!$B$2:$B1000))),T$1,"""")"),"")</f>
        <v/>
      </c>
      <c r="U442" s="33" t="str">
        <f>IFERROR(__xludf.DUMMYFUNCTION("IF(IF(U$1="""","""",REGEXMATCH(LOWER($E442),XLOOKUP(U$1,Metadata!$A$2:$A1000,Metadata!$B$2:$B1000))),U$1,"""")"),"")</f>
        <v/>
      </c>
      <c r="V442" s="33" t="str">
        <f>IFERROR(__xludf.DUMMYFUNCTION("IF(IF(V$1="""","""",REGEXMATCH(LOWER($E442),XLOOKUP(V$1,Metadata!$A$2:$A1000,Metadata!$B$2:$B1000))),V$1,"""")"),"")</f>
        <v/>
      </c>
      <c r="W442" s="33" t="str">
        <f>IFERROR(__xludf.DUMMYFUNCTION("IF(IF(W$1="""","""",REGEXMATCH(LOWER($E442),XLOOKUP(W$1,Metadata!$A$2:$A1000,Metadata!$B$2:$B1000))),W$1,"""")"),"")</f>
        <v/>
      </c>
      <c r="X442" s="33" t="str">
        <f>IFERROR(__xludf.DUMMYFUNCTION("IF(IF(X$1="""","""",REGEXMATCH(LOWER($E442),XLOOKUP(X$1,Metadata!$A$2:$A1000,Metadata!$B$2:$B1000))),X$1,"""")"),"")</f>
        <v/>
      </c>
      <c r="Y442" s="33" t="str">
        <f>IFERROR(__xludf.DUMMYFUNCTION("IF(IF(Y$1="""","""",REGEXMATCH(LOWER($E442),XLOOKUP(Y$1,Metadata!$A$2:$A1000,Metadata!$B$2:$B1000))),Y$1,"""")"),"")</f>
        <v/>
      </c>
      <c r="Z442" s="33" t="str">
        <f>IFERROR(__xludf.DUMMYFUNCTION("IF(IF(Z$1="""","""",REGEXMATCH(LOWER($E442),XLOOKUP(Z$1,Metadata!$A$2:$A1000,Metadata!$B$2:$B1000))),Z$1,"""")"),"")</f>
        <v/>
      </c>
    </row>
    <row r="443">
      <c r="A443" s="33"/>
      <c r="B443" s="33" t="str">
        <f t="array" ref="B443">XLOOKUP($A443,Cards!$A$2:$A1000,Cards!$B$2:$I1000,"")</f>
        <v/>
      </c>
      <c r="C443" s="33"/>
      <c r="D443" s="33"/>
      <c r="E443" s="33"/>
      <c r="F443" s="33"/>
      <c r="G443" s="33"/>
      <c r="H443" s="33"/>
      <c r="I443" s="33"/>
      <c r="J443" s="33">
        <f>IFERROR(__xludf.DUMMYFUNCTION("LEN(REGEXREPLACE(XLOOKUP($A443,Cards!$A$2:$A1000,Cards!$H$2:$H1000,""""),"",\s"",""""))"),0.0)</f>
        <v>0</v>
      </c>
      <c r="K443" s="33" t="str">
        <f t="shared" si="1"/>
        <v>               </v>
      </c>
      <c r="L443" s="33" t="str">
        <f>IFERROR(__xludf.DUMMYFUNCTION("IF(IF(L$1="""","""",REGEXMATCH(LOWER($E443),XLOOKUP(L$1,Metadata!$A$2:$A1000,Metadata!$B$2:$B1000))),L$1,"""")"),"")</f>
        <v/>
      </c>
      <c r="M443" s="33" t="str">
        <f>IFERROR(__xludf.DUMMYFUNCTION("IF(IF(M$1="""","""",REGEXMATCH(LOWER($E443),XLOOKUP(M$1,Metadata!$A$2:$A1000,Metadata!$B$2:$B1000))),M$1,"""")"),"")</f>
        <v/>
      </c>
      <c r="N443" s="33" t="str">
        <f>IFERROR(__xludf.DUMMYFUNCTION("IF(IF(N$1="""","""",REGEXMATCH(LOWER($E443),XLOOKUP(N$1,Metadata!$A$2:$A1000,Metadata!$B$2:$B1000))),N$1,"""")"),"")</f>
        <v/>
      </c>
      <c r="O443" s="33" t="str">
        <f>IFERROR(__xludf.DUMMYFUNCTION("IF(IF(O$1="""","""",REGEXMATCH(LOWER($E443),XLOOKUP(O$1,Metadata!$A$2:$A1000,Metadata!$B$2:$B1000))),O$1,"""")"),"")</f>
        <v/>
      </c>
      <c r="P443" s="33" t="str">
        <f>IFERROR(__xludf.DUMMYFUNCTION("IF(IF(P$1="""","""",REGEXMATCH(LOWER($E443),XLOOKUP(P$1,Metadata!$A$2:$A1000,Metadata!$B$2:$B1000))),P$1,"""")"),"")</f>
        <v/>
      </c>
      <c r="Q443" s="33" t="str">
        <f>IFERROR(__xludf.DUMMYFUNCTION("IF(IF(Q$1="""","""",REGEXMATCH(LOWER($E443),XLOOKUP(Q$1,Metadata!$A$2:$A1000,Metadata!$B$2:$B1000))),Q$1,"""")"),"")</f>
        <v/>
      </c>
      <c r="R443" s="33" t="str">
        <f>IFERROR(__xludf.DUMMYFUNCTION("IF(IF(R$1="""","""",REGEXMATCH(LOWER($E443),XLOOKUP(R$1,Metadata!$A$2:$A1000,Metadata!$B$2:$B1000))),R$1,"""")"),"")</f>
        <v/>
      </c>
      <c r="S443" s="33" t="str">
        <f>IFERROR(__xludf.DUMMYFUNCTION("IF(IF(S$1="""","""",REGEXMATCH(LOWER($E443),XLOOKUP(S$1,Metadata!$A$2:$A1000,Metadata!$B$2:$B1000))),S$1,"""")"),"")</f>
        <v/>
      </c>
      <c r="T443" s="33" t="str">
        <f>IFERROR(__xludf.DUMMYFUNCTION("IF(IF(T$1="""","""",REGEXMATCH(LOWER($E443),XLOOKUP(T$1,Metadata!$A$2:$A1000,Metadata!$B$2:$B1000))),T$1,"""")"),"")</f>
        <v/>
      </c>
      <c r="U443" s="33" t="str">
        <f>IFERROR(__xludf.DUMMYFUNCTION("IF(IF(U$1="""","""",REGEXMATCH(LOWER($E443),XLOOKUP(U$1,Metadata!$A$2:$A1000,Metadata!$B$2:$B1000))),U$1,"""")"),"")</f>
        <v/>
      </c>
      <c r="V443" s="33" t="str">
        <f>IFERROR(__xludf.DUMMYFUNCTION("IF(IF(V$1="""","""",REGEXMATCH(LOWER($E443),XLOOKUP(V$1,Metadata!$A$2:$A1000,Metadata!$B$2:$B1000))),V$1,"""")"),"")</f>
        <v/>
      </c>
      <c r="W443" s="33" t="str">
        <f>IFERROR(__xludf.DUMMYFUNCTION("IF(IF(W$1="""","""",REGEXMATCH(LOWER($E443),XLOOKUP(W$1,Metadata!$A$2:$A1000,Metadata!$B$2:$B1000))),W$1,"""")"),"")</f>
        <v/>
      </c>
      <c r="X443" s="33" t="str">
        <f>IFERROR(__xludf.DUMMYFUNCTION("IF(IF(X$1="""","""",REGEXMATCH(LOWER($E443),XLOOKUP(X$1,Metadata!$A$2:$A1000,Metadata!$B$2:$B1000))),X$1,"""")"),"")</f>
        <v/>
      </c>
      <c r="Y443" s="33" t="str">
        <f>IFERROR(__xludf.DUMMYFUNCTION("IF(IF(Y$1="""","""",REGEXMATCH(LOWER($E443),XLOOKUP(Y$1,Metadata!$A$2:$A1000,Metadata!$B$2:$B1000))),Y$1,"""")"),"")</f>
        <v/>
      </c>
      <c r="Z443" s="33" t="str">
        <f>IFERROR(__xludf.DUMMYFUNCTION("IF(IF(Z$1="""","""",REGEXMATCH(LOWER($E443),XLOOKUP(Z$1,Metadata!$A$2:$A1000,Metadata!$B$2:$B1000))),Z$1,"""")"),"")</f>
        <v/>
      </c>
    </row>
    <row r="444">
      <c r="A444" s="33"/>
      <c r="B444" s="33" t="str">
        <f t="array" ref="B444">XLOOKUP($A444,Cards!$A$2:$A1000,Cards!$B$2:$I1000,"")</f>
        <v/>
      </c>
      <c r="C444" s="33"/>
      <c r="D444" s="33"/>
      <c r="E444" s="33"/>
      <c r="F444" s="33"/>
      <c r="G444" s="33"/>
      <c r="H444" s="33"/>
      <c r="I444" s="33"/>
      <c r="J444" s="33">
        <f>IFERROR(__xludf.DUMMYFUNCTION("LEN(REGEXREPLACE(XLOOKUP($A444,Cards!$A$2:$A1000,Cards!$H$2:$H1000,""""),"",\s"",""""))"),0.0)</f>
        <v>0</v>
      </c>
      <c r="K444" s="33" t="str">
        <f t="shared" si="1"/>
        <v>               </v>
      </c>
      <c r="L444" s="33" t="str">
        <f>IFERROR(__xludf.DUMMYFUNCTION("IF(IF(L$1="""","""",REGEXMATCH(LOWER($E444),XLOOKUP(L$1,Metadata!$A$2:$A1000,Metadata!$B$2:$B1000))),L$1,"""")"),"")</f>
        <v/>
      </c>
      <c r="M444" s="33" t="str">
        <f>IFERROR(__xludf.DUMMYFUNCTION("IF(IF(M$1="""","""",REGEXMATCH(LOWER($E444),XLOOKUP(M$1,Metadata!$A$2:$A1000,Metadata!$B$2:$B1000))),M$1,"""")"),"")</f>
        <v/>
      </c>
      <c r="N444" s="33" t="str">
        <f>IFERROR(__xludf.DUMMYFUNCTION("IF(IF(N$1="""","""",REGEXMATCH(LOWER($E444),XLOOKUP(N$1,Metadata!$A$2:$A1000,Metadata!$B$2:$B1000))),N$1,"""")"),"")</f>
        <v/>
      </c>
      <c r="O444" s="33" t="str">
        <f>IFERROR(__xludf.DUMMYFUNCTION("IF(IF(O$1="""","""",REGEXMATCH(LOWER($E444),XLOOKUP(O$1,Metadata!$A$2:$A1000,Metadata!$B$2:$B1000))),O$1,"""")"),"")</f>
        <v/>
      </c>
      <c r="P444" s="33" t="str">
        <f>IFERROR(__xludf.DUMMYFUNCTION("IF(IF(P$1="""","""",REGEXMATCH(LOWER($E444),XLOOKUP(P$1,Metadata!$A$2:$A1000,Metadata!$B$2:$B1000))),P$1,"""")"),"")</f>
        <v/>
      </c>
      <c r="Q444" s="33" t="str">
        <f>IFERROR(__xludf.DUMMYFUNCTION("IF(IF(Q$1="""","""",REGEXMATCH(LOWER($E444),XLOOKUP(Q$1,Metadata!$A$2:$A1000,Metadata!$B$2:$B1000))),Q$1,"""")"),"")</f>
        <v/>
      </c>
      <c r="R444" s="33" t="str">
        <f>IFERROR(__xludf.DUMMYFUNCTION("IF(IF(R$1="""","""",REGEXMATCH(LOWER($E444),XLOOKUP(R$1,Metadata!$A$2:$A1000,Metadata!$B$2:$B1000))),R$1,"""")"),"")</f>
        <v/>
      </c>
      <c r="S444" s="33" t="str">
        <f>IFERROR(__xludf.DUMMYFUNCTION("IF(IF(S$1="""","""",REGEXMATCH(LOWER($E444),XLOOKUP(S$1,Metadata!$A$2:$A1000,Metadata!$B$2:$B1000))),S$1,"""")"),"")</f>
        <v/>
      </c>
      <c r="T444" s="33" t="str">
        <f>IFERROR(__xludf.DUMMYFUNCTION("IF(IF(T$1="""","""",REGEXMATCH(LOWER($E444),XLOOKUP(T$1,Metadata!$A$2:$A1000,Metadata!$B$2:$B1000))),T$1,"""")"),"")</f>
        <v/>
      </c>
      <c r="U444" s="33" t="str">
        <f>IFERROR(__xludf.DUMMYFUNCTION("IF(IF(U$1="""","""",REGEXMATCH(LOWER($E444),XLOOKUP(U$1,Metadata!$A$2:$A1000,Metadata!$B$2:$B1000))),U$1,"""")"),"")</f>
        <v/>
      </c>
      <c r="V444" s="33" t="str">
        <f>IFERROR(__xludf.DUMMYFUNCTION("IF(IF(V$1="""","""",REGEXMATCH(LOWER($E444),XLOOKUP(V$1,Metadata!$A$2:$A1000,Metadata!$B$2:$B1000))),V$1,"""")"),"")</f>
        <v/>
      </c>
      <c r="W444" s="33" t="str">
        <f>IFERROR(__xludf.DUMMYFUNCTION("IF(IF(W$1="""","""",REGEXMATCH(LOWER($E444),XLOOKUP(W$1,Metadata!$A$2:$A1000,Metadata!$B$2:$B1000))),W$1,"""")"),"")</f>
        <v/>
      </c>
      <c r="X444" s="33" t="str">
        <f>IFERROR(__xludf.DUMMYFUNCTION("IF(IF(X$1="""","""",REGEXMATCH(LOWER($E444),XLOOKUP(X$1,Metadata!$A$2:$A1000,Metadata!$B$2:$B1000))),X$1,"""")"),"")</f>
        <v/>
      </c>
      <c r="Y444" s="33" t="str">
        <f>IFERROR(__xludf.DUMMYFUNCTION("IF(IF(Y$1="""","""",REGEXMATCH(LOWER($E444),XLOOKUP(Y$1,Metadata!$A$2:$A1000,Metadata!$B$2:$B1000))),Y$1,"""")"),"")</f>
        <v/>
      </c>
      <c r="Z444" s="33" t="str">
        <f>IFERROR(__xludf.DUMMYFUNCTION("IF(IF(Z$1="""","""",REGEXMATCH(LOWER($E444),XLOOKUP(Z$1,Metadata!$A$2:$A1000,Metadata!$B$2:$B1000))),Z$1,"""")"),"")</f>
        <v/>
      </c>
    </row>
    <row r="445">
      <c r="A445" s="33"/>
      <c r="B445" s="33" t="str">
        <f t="array" ref="B445">XLOOKUP($A445,Cards!$A$2:$A1000,Cards!$B$2:$I1000,"")</f>
        <v/>
      </c>
      <c r="C445" s="33"/>
      <c r="D445" s="33"/>
      <c r="E445" s="33"/>
      <c r="F445" s="33"/>
      <c r="G445" s="33"/>
      <c r="H445" s="33"/>
      <c r="I445" s="33"/>
      <c r="J445" s="33">
        <f>IFERROR(__xludf.DUMMYFUNCTION("LEN(REGEXREPLACE(XLOOKUP($A445,Cards!$A$2:$A1000,Cards!$H$2:$H1000,""""),"",\s"",""""))"),0.0)</f>
        <v>0</v>
      </c>
      <c r="K445" s="33" t="str">
        <f t="shared" si="1"/>
        <v>               </v>
      </c>
      <c r="L445" s="33" t="str">
        <f>IFERROR(__xludf.DUMMYFUNCTION("IF(IF(L$1="""","""",REGEXMATCH(LOWER($E445),XLOOKUP(L$1,Metadata!$A$2:$A1000,Metadata!$B$2:$B1000))),L$1,"""")"),"")</f>
        <v/>
      </c>
      <c r="M445" s="33" t="str">
        <f>IFERROR(__xludf.DUMMYFUNCTION("IF(IF(M$1="""","""",REGEXMATCH(LOWER($E445),XLOOKUP(M$1,Metadata!$A$2:$A1000,Metadata!$B$2:$B1000))),M$1,"""")"),"")</f>
        <v/>
      </c>
      <c r="N445" s="33" t="str">
        <f>IFERROR(__xludf.DUMMYFUNCTION("IF(IF(N$1="""","""",REGEXMATCH(LOWER($E445),XLOOKUP(N$1,Metadata!$A$2:$A1000,Metadata!$B$2:$B1000))),N$1,"""")"),"")</f>
        <v/>
      </c>
      <c r="O445" s="33" t="str">
        <f>IFERROR(__xludf.DUMMYFUNCTION("IF(IF(O$1="""","""",REGEXMATCH(LOWER($E445),XLOOKUP(O$1,Metadata!$A$2:$A1000,Metadata!$B$2:$B1000))),O$1,"""")"),"")</f>
        <v/>
      </c>
      <c r="P445" s="33" t="str">
        <f>IFERROR(__xludf.DUMMYFUNCTION("IF(IF(P$1="""","""",REGEXMATCH(LOWER($E445),XLOOKUP(P$1,Metadata!$A$2:$A1000,Metadata!$B$2:$B1000))),P$1,"""")"),"")</f>
        <v/>
      </c>
      <c r="Q445" s="33" t="str">
        <f>IFERROR(__xludf.DUMMYFUNCTION("IF(IF(Q$1="""","""",REGEXMATCH(LOWER($E445),XLOOKUP(Q$1,Metadata!$A$2:$A1000,Metadata!$B$2:$B1000))),Q$1,"""")"),"")</f>
        <v/>
      </c>
      <c r="R445" s="33" t="str">
        <f>IFERROR(__xludf.DUMMYFUNCTION("IF(IF(R$1="""","""",REGEXMATCH(LOWER($E445),XLOOKUP(R$1,Metadata!$A$2:$A1000,Metadata!$B$2:$B1000))),R$1,"""")"),"")</f>
        <v/>
      </c>
      <c r="S445" s="33" t="str">
        <f>IFERROR(__xludf.DUMMYFUNCTION("IF(IF(S$1="""","""",REGEXMATCH(LOWER($E445),XLOOKUP(S$1,Metadata!$A$2:$A1000,Metadata!$B$2:$B1000))),S$1,"""")"),"")</f>
        <v/>
      </c>
      <c r="T445" s="33" t="str">
        <f>IFERROR(__xludf.DUMMYFUNCTION("IF(IF(T$1="""","""",REGEXMATCH(LOWER($E445),XLOOKUP(T$1,Metadata!$A$2:$A1000,Metadata!$B$2:$B1000))),T$1,"""")"),"")</f>
        <v/>
      </c>
      <c r="U445" s="33" t="str">
        <f>IFERROR(__xludf.DUMMYFUNCTION("IF(IF(U$1="""","""",REGEXMATCH(LOWER($E445),XLOOKUP(U$1,Metadata!$A$2:$A1000,Metadata!$B$2:$B1000))),U$1,"""")"),"")</f>
        <v/>
      </c>
      <c r="V445" s="33" t="str">
        <f>IFERROR(__xludf.DUMMYFUNCTION("IF(IF(V$1="""","""",REGEXMATCH(LOWER($E445),XLOOKUP(V$1,Metadata!$A$2:$A1000,Metadata!$B$2:$B1000))),V$1,"""")"),"")</f>
        <v/>
      </c>
      <c r="W445" s="33" t="str">
        <f>IFERROR(__xludf.DUMMYFUNCTION("IF(IF(W$1="""","""",REGEXMATCH(LOWER($E445),XLOOKUP(W$1,Metadata!$A$2:$A1000,Metadata!$B$2:$B1000))),W$1,"""")"),"")</f>
        <v/>
      </c>
      <c r="X445" s="33" t="str">
        <f>IFERROR(__xludf.DUMMYFUNCTION("IF(IF(X$1="""","""",REGEXMATCH(LOWER($E445),XLOOKUP(X$1,Metadata!$A$2:$A1000,Metadata!$B$2:$B1000))),X$1,"""")"),"")</f>
        <v/>
      </c>
      <c r="Y445" s="33" t="str">
        <f>IFERROR(__xludf.DUMMYFUNCTION("IF(IF(Y$1="""","""",REGEXMATCH(LOWER($E445),XLOOKUP(Y$1,Metadata!$A$2:$A1000,Metadata!$B$2:$B1000))),Y$1,"""")"),"")</f>
        <v/>
      </c>
      <c r="Z445" s="33" t="str">
        <f>IFERROR(__xludf.DUMMYFUNCTION("IF(IF(Z$1="""","""",REGEXMATCH(LOWER($E445),XLOOKUP(Z$1,Metadata!$A$2:$A1000,Metadata!$B$2:$B1000))),Z$1,"""")"),"")</f>
        <v/>
      </c>
    </row>
    <row r="446">
      <c r="A446" s="33"/>
      <c r="B446" s="33" t="str">
        <f t="array" ref="B446">XLOOKUP($A446,Cards!$A$2:$A1000,Cards!$B$2:$I1000,"")</f>
        <v/>
      </c>
      <c r="C446" s="33"/>
      <c r="D446" s="33"/>
      <c r="E446" s="33"/>
      <c r="F446" s="33"/>
      <c r="G446" s="33"/>
      <c r="H446" s="33"/>
      <c r="I446" s="33"/>
      <c r="J446" s="33">
        <f>IFERROR(__xludf.DUMMYFUNCTION("LEN(REGEXREPLACE(XLOOKUP($A446,Cards!$A$2:$A1000,Cards!$H$2:$H1000,""""),"",\s"",""""))"),0.0)</f>
        <v>0</v>
      </c>
      <c r="K446" s="33" t="str">
        <f t="shared" si="1"/>
        <v>               </v>
      </c>
      <c r="L446" s="33" t="str">
        <f>IFERROR(__xludf.DUMMYFUNCTION("IF(IF(L$1="""","""",REGEXMATCH(LOWER($E446),XLOOKUP(L$1,Metadata!$A$2:$A1000,Metadata!$B$2:$B1000))),L$1,"""")"),"")</f>
        <v/>
      </c>
      <c r="M446" s="33" t="str">
        <f>IFERROR(__xludf.DUMMYFUNCTION("IF(IF(M$1="""","""",REGEXMATCH(LOWER($E446),XLOOKUP(M$1,Metadata!$A$2:$A1000,Metadata!$B$2:$B1000))),M$1,"""")"),"")</f>
        <v/>
      </c>
      <c r="N446" s="33" t="str">
        <f>IFERROR(__xludf.DUMMYFUNCTION("IF(IF(N$1="""","""",REGEXMATCH(LOWER($E446),XLOOKUP(N$1,Metadata!$A$2:$A1000,Metadata!$B$2:$B1000))),N$1,"""")"),"")</f>
        <v/>
      </c>
      <c r="O446" s="33" t="str">
        <f>IFERROR(__xludf.DUMMYFUNCTION("IF(IF(O$1="""","""",REGEXMATCH(LOWER($E446),XLOOKUP(O$1,Metadata!$A$2:$A1000,Metadata!$B$2:$B1000))),O$1,"""")"),"")</f>
        <v/>
      </c>
      <c r="P446" s="33" t="str">
        <f>IFERROR(__xludf.DUMMYFUNCTION("IF(IF(P$1="""","""",REGEXMATCH(LOWER($E446),XLOOKUP(P$1,Metadata!$A$2:$A1000,Metadata!$B$2:$B1000))),P$1,"""")"),"")</f>
        <v/>
      </c>
      <c r="Q446" s="33" t="str">
        <f>IFERROR(__xludf.DUMMYFUNCTION("IF(IF(Q$1="""","""",REGEXMATCH(LOWER($E446),XLOOKUP(Q$1,Metadata!$A$2:$A1000,Metadata!$B$2:$B1000))),Q$1,"""")"),"")</f>
        <v/>
      </c>
      <c r="R446" s="33" t="str">
        <f>IFERROR(__xludf.DUMMYFUNCTION("IF(IF(R$1="""","""",REGEXMATCH(LOWER($E446),XLOOKUP(R$1,Metadata!$A$2:$A1000,Metadata!$B$2:$B1000))),R$1,"""")"),"")</f>
        <v/>
      </c>
      <c r="S446" s="33" t="str">
        <f>IFERROR(__xludf.DUMMYFUNCTION("IF(IF(S$1="""","""",REGEXMATCH(LOWER($E446),XLOOKUP(S$1,Metadata!$A$2:$A1000,Metadata!$B$2:$B1000))),S$1,"""")"),"")</f>
        <v/>
      </c>
      <c r="T446" s="33" t="str">
        <f>IFERROR(__xludf.DUMMYFUNCTION("IF(IF(T$1="""","""",REGEXMATCH(LOWER($E446),XLOOKUP(T$1,Metadata!$A$2:$A1000,Metadata!$B$2:$B1000))),T$1,"""")"),"")</f>
        <v/>
      </c>
      <c r="U446" s="33" t="str">
        <f>IFERROR(__xludf.DUMMYFUNCTION("IF(IF(U$1="""","""",REGEXMATCH(LOWER($E446),XLOOKUP(U$1,Metadata!$A$2:$A1000,Metadata!$B$2:$B1000))),U$1,"""")"),"")</f>
        <v/>
      </c>
      <c r="V446" s="33" t="str">
        <f>IFERROR(__xludf.DUMMYFUNCTION("IF(IF(V$1="""","""",REGEXMATCH(LOWER($E446),XLOOKUP(V$1,Metadata!$A$2:$A1000,Metadata!$B$2:$B1000))),V$1,"""")"),"")</f>
        <v/>
      </c>
      <c r="W446" s="33" t="str">
        <f>IFERROR(__xludf.DUMMYFUNCTION("IF(IF(W$1="""","""",REGEXMATCH(LOWER($E446),XLOOKUP(W$1,Metadata!$A$2:$A1000,Metadata!$B$2:$B1000))),W$1,"""")"),"")</f>
        <v/>
      </c>
      <c r="X446" s="33" t="str">
        <f>IFERROR(__xludf.DUMMYFUNCTION("IF(IF(X$1="""","""",REGEXMATCH(LOWER($E446),XLOOKUP(X$1,Metadata!$A$2:$A1000,Metadata!$B$2:$B1000))),X$1,"""")"),"")</f>
        <v/>
      </c>
      <c r="Y446" s="33" t="str">
        <f>IFERROR(__xludf.DUMMYFUNCTION("IF(IF(Y$1="""","""",REGEXMATCH(LOWER($E446),XLOOKUP(Y$1,Metadata!$A$2:$A1000,Metadata!$B$2:$B1000))),Y$1,"""")"),"")</f>
        <v/>
      </c>
      <c r="Z446" s="33" t="str">
        <f>IFERROR(__xludf.DUMMYFUNCTION("IF(IF(Z$1="""","""",REGEXMATCH(LOWER($E446),XLOOKUP(Z$1,Metadata!$A$2:$A1000,Metadata!$B$2:$B1000))),Z$1,"""")"),"")</f>
        <v/>
      </c>
    </row>
    <row r="447">
      <c r="A447" s="33"/>
      <c r="B447" s="33" t="str">
        <f t="array" ref="B447">XLOOKUP($A447,Cards!$A$2:$A1000,Cards!$B$2:$I1000,"")</f>
        <v/>
      </c>
      <c r="C447" s="33"/>
      <c r="D447" s="33"/>
      <c r="E447" s="33"/>
      <c r="F447" s="33"/>
      <c r="G447" s="33"/>
      <c r="H447" s="33"/>
      <c r="I447" s="33"/>
      <c r="J447" s="33">
        <f>IFERROR(__xludf.DUMMYFUNCTION("LEN(REGEXREPLACE(XLOOKUP($A447,Cards!$A$2:$A1000,Cards!$H$2:$H1000,""""),"",\s"",""""))"),0.0)</f>
        <v>0</v>
      </c>
      <c r="K447" s="33" t="str">
        <f t="shared" si="1"/>
        <v>               </v>
      </c>
      <c r="L447" s="33" t="str">
        <f>IFERROR(__xludf.DUMMYFUNCTION("IF(IF(L$1="""","""",REGEXMATCH(LOWER($E447),XLOOKUP(L$1,Metadata!$A$2:$A1000,Metadata!$B$2:$B1000))),L$1,"""")"),"")</f>
        <v/>
      </c>
      <c r="M447" s="33" t="str">
        <f>IFERROR(__xludf.DUMMYFUNCTION("IF(IF(M$1="""","""",REGEXMATCH(LOWER($E447),XLOOKUP(M$1,Metadata!$A$2:$A1000,Metadata!$B$2:$B1000))),M$1,"""")"),"")</f>
        <v/>
      </c>
      <c r="N447" s="33" t="str">
        <f>IFERROR(__xludf.DUMMYFUNCTION("IF(IF(N$1="""","""",REGEXMATCH(LOWER($E447),XLOOKUP(N$1,Metadata!$A$2:$A1000,Metadata!$B$2:$B1000))),N$1,"""")"),"")</f>
        <v/>
      </c>
      <c r="O447" s="33" t="str">
        <f>IFERROR(__xludf.DUMMYFUNCTION("IF(IF(O$1="""","""",REGEXMATCH(LOWER($E447),XLOOKUP(O$1,Metadata!$A$2:$A1000,Metadata!$B$2:$B1000))),O$1,"""")"),"")</f>
        <v/>
      </c>
      <c r="P447" s="33" t="str">
        <f>IFERROR(__xludf.DUMMYFUNCTION("IF(IF(P$1="""","""",REGEXMATCH(LOWER($E447),XLOOKUP(P$1,Metadata!$A$2:$A1000,Metadata!$B$2:$B1000))),P$1,"""")"),"")</f>
        <v/>
      </c>
      <c r="Q447" s="33" t="str">
        <f>IFERROR(__xludf.DUMMYFUNCTION("IF(IF(Q$1="""","""",REGEXMATCH(LOWER($E447),XLOOKUP(Q$1,Metadata!$A$2:$A1000,Metadata!$B$2:$B1000))),Q$1,"""")"),"")</f>
        <v/>
      </c>
      <c r="R447" s="33" t="str">
        <f>IFERROR(__xludf.DUMMYFUNCTION("IF(IF(R$1="""","""",REGEXMATCH(LOWER($E447),XLOOKUP(R$1,Metadata!$A$2:$A1000,Metadata!$B$2:$B1000))),R$1,"""")"),"")</f>
        <v/>
      </c>
      <c r="S447" s="33" t="str">
        <f>IFERROR(__xludf.DUMMYFUNCTION("IF(IF(S$1="""","""",REGEXMATCH(LOWER($E447),XLOOKUP(S$1,Metadata!$A$2:$A1000,Metadata!$B$2:$B1000))),S$1,"""")"),"")</f>
        <v/>
      </c>
      <c r="T447" s="33" t="str">
        <f>IFERROR(__xludf.DUMMYFUNCTION("IF(IF(T$1="""","""",REGEXMATCH(LOWER($E447),XLOOKUP(T$1,Metadata!$A$2:$A1000,Metadata!$B$2:$B1000))),T$1,"""")"),"")</f>
        <v/>
      </c>
      <c r="U447" s="33" t="str">
        <f>IFERROR(__xludf.DUMMYFUNCTION("IF(IF(U$1="""","""",REGEXMATCH(LOWER($E447),XLOOKUP(U$1,Metadata!$A$2:$A1000,Metadata!$B$2:$B1000))),U$1,"""")"),"")</f>
        <v/>
      </c>
      <c r="V447" s="33" t="str">
        <f>IFERROR(__xludf.DUMMYFUNCTION("IF(IF(V$1="""","""",REGEXMATCH(LOWER($E447),XLOOKUP(V$1,Metadata!$A$2:$A1000,Metadata!$B$2:$B1000))),V$1,"""")"),"")</f>
        <v/>
      </c>
      <c r="W447" s="33" t="str">
        <f>IFERROR(__xludf.DUMMYFUNCTION("IF(IF(W$1="""","""",REGEXMATCH(LOWER($E447),XLOOKUP(W$1,Metadata!$A$2:$A1000,Metadata!$B$2:$B1000))),W$1,"""")"),"")</f>
        <v/>
      </c>
      <c r="X447" s="33" t="str">
        <f>IFERROR(__xludf.DUMMYFUNCTION("IF(IF(X$1="""","""",REGEXMATCH(LOWER($E447),XLOOKUP(X$1,Metadata!$A$2:$A1000,Metadata!$B$2:$B1000))),X$1,"""")"),"")</f>
        <v/>
      </c>
      <c r="Y447" s="33" t="str">
        <f>IFERROR(__xludf.DUMMYFUNCTION("IF(IF(Y$1="""","""",REGEXMATCH(LOWER($E447),XLOOKUP(Y$1,Metadata!$A$2:$A1000,Metadata!$B$2:$B1000))),Y$1,"""")"),"")</f>
        <v/>
      </c>
      <c r="Z447" s="33" t="str">
        <f>IFERROR(__xludf.DUMMYFUNCTION("IF(IF(Z$1="""","""",REGEXMATCH(LOWER($E447),XLOOKUP(Z$1,Metadata!$A$2:$A1000,Metadata!$B$2:$B1000))),Z$1,"""")"),"")</f>
        <v/>
      </c>
    </row>
    <row r="448">
      <c r="A448" s="33"/>
      <c r="B448" s="33" t="str">
        <f t="array" ref="B448">XLOOKUP($A448,Cards!$A$2:$A1000,Cards!$B$2:$I1000,"")</f>
        <v/>
      </c>
      <c r="C448" s="33"/>
      <c r="D448" s="33"/>
      <c r="E448" s="33"/>
      <c r="F448" s="33"/>
      <c r="G448" s="33"/>
      <c r="H448" s="33"/>
      <c r="I448" s="33"/>
      <c r="J448" s="33">
        <f>IFERROR(__xludf.DUMMYFUNCTION("LEN(REGEXREPLACE(XLOOKUP($A448,Cards!$A$2:$A1000,Cards!$H$2:$H1000,""""),"",\s"",""""))"),0.0)</f>
        <v>0</v>
      </c>
      <c r="K448" s="33" t="str">
        <f t="shared" si="1"/>
        <v>               </v>
      </c>
      <c r="L448" s="33" t="str">
        <f>IFERROR(__xludf.DUMMYFUNCTION("IF(IF(L$1="""","""",REGEXMATCH(LOWER($E448),XLOOKUP(L$1,Metadata!$A$2:$A1000,Metadata!$B$2:$B1000))),L$1,"""")"),"")</f>
        <v/>
      </c>
      <c r="M448" s="33" t="str">
        <f>IFERROR(__xludf.DUMMYFUNCTION("IF(IF(M$1="""","""",REGEXMATCH(LOWER($E448),XLOOKUP(M$1,Metadata!$A$2:$A1000,Metadata!$B$2:$B1000))),M$1,"""")"),"")</f>
        <v/>
      </c>
      <c r="N448" s="33" t="str">
        <f>IFERROR(__xludf.DUMMYFUNCTION("IF(IF(N$1="""","""",REGEXMATCH(LOWER($E448),XLOOKUP(N$1,Metadata!$A$2:$A1000,Metadata!$B$2:$B1000))),N$1,"""")"),"")</f>
        <v/>
      </c>
      <c r="O448" s="33" t="str">
        <f>IFERROR(__xludf.DUMMYFUNCTION("IF(IF(O$1="""","""",REGEXMATCH(LOWER($E448),XLOOKUP(O$1,Metadata!$A$2:$A1000,Metadata!$B$2:$B1000))),O$1,"""")"),"")</f>
        <v/>
      </c>
      <c r="P448" s="33" t="str">
        <f>IFERROR(__xludf.DUMMYFUNCTION("IF(IF(P$1="""","""",REGEXMATCH(LOWER($E448),XLOOKUP(P$1,Metadata!$A$2:$A1000,Metadata!$B$2:$B1000))),P$1,"""")"),"")</f>
        <v/>
      </c>
      <c r="Q448" s="33" t="str">
        <f>IFERROR(__xludf.DUMMYFUNCTION("IF(IF(Q$1="""","""",REGEXMATCH(LOWER($E448),XLOOKUP(Q$1,Metadata!$A$2:$A1000,Metadata!$B$2:$B1000))),Q$1,"""")"),"")</f>
        <v/>
      </c>
      <c r="R448" s="33" t="str">
        <f>IFERROR(__xludf.DUMMYFUNCTION("IF(IF(R$1="""","""",REGEXMATCH(LOWER($E448),XLOOKUP(R$1,Metadata!$A$2:$A1000,Metadata!$B$2:$B1000))),R$1,"""")"),"")</f>
        <v/>
      </c>
      <c r="S448" s="33" t="str">
        <f>IFERROR(__xludf.DUMMYFUNCTION("IF(IF(S$1="""","""",REGEXMATCH(LOWER($E448),XLOOKUP(S$1,Metadata!$A$2:$A1000,Metadata!$B$2:$B1000))),S$1,"""")"),"")</f>
        <v/>
      </c>
      <c r="T448" s="33" t="str">
        <f>IFERROR(__xludf.DUMMYFUNCTION("IF(IF(T$1="""","""",REGEXMATCH(LOWER($E448),XLOOKUP(T$1,Metadata!$A$2:$A1000,Metadata!$B$2:$B1000))),T$1,"""")"),"")</f>
        <v/>
      </c>
      <c r="U448" s="33" t="str">
        <f>IFERROR(__xludf.DUMMYFUNCTION("IF(IF(U$1="""","""",REGEXMATCH(LOWER($E448),XLOOKUP(U$1,Metadata!$A$2:$A1000,Metadata!$B$2:$B1000))),U$1,"""")"),"")</f>
        <v/>
      </c>
      <c r="V448" s="33" t="str">
        <f>IFERROR(__xludf.DUMMYFUNCTION("IF(IF(V$1="""","""",REGEXMATCH(LOWER($E448),XLOOKUP(V$1,Metadata!$A$2:$A1000,Metadata!$B$2:$B1000))),V$1,"""")"),"")</f>
        <v/>
      </c>
      <c r="W448" s="33" t="str">
        <f>IFERROR(__xludf.DUMMYFUNCTION("IF(IF(W$1="""","""",REGEXMATCH(LOWER($E448),XLOOKUP(W$1,Metadata!$A$2:$A1000,Metadata!$B$2:$B1000))),W$1,"""")"),"")</f>
        <v/>
      </c>
      <c r="X448" s="33" t="str">
        <f>IFERROR(__xludf.DUMMYFUNCTION("IF(IF(X$1="""","""",REGEXMATCH(LOWER($E448),XLOOKUP(X$1,Metadata!$A$2:$A1000,Metadata!$B$2:$B1000))),X$1,"""")"),"")</f>
        <v/>
      </c>
      <c r="Y448" s="33" t="str">
        <f>IFERROR(__xludf.DUMMYFUNCTION("IF(IF(Y$1="""","""",REGEXMATCH(LOWER($E448),XLOOKUP(Y$1,Metadata!$A$2:$A1000,Metadata!$B$2:$B1000))),Y$1,"""")"),"")</f>
        <v/>
      </c>
      <c r="Z448" s="33" t="str">
        <f>IFERROR(__xludf.DUMMYFUNCTION("IF(IF(Z$1="""","""",REGEXMATCH(LOWER($E448),XLOOKUP(Z$1,Metadata!$A$2:$A1000,Metadata!$B$2:$B1000))),Z$1,"""")"),"")</f>
        <v/>
      </c>
    </row>
    <row r="449">
      <c r="A449" s="33"/>
      <c r="B449" s="33" t="str">
        <f t="array" ref="B449">XLOOKUP($A449,Cards!$A$2:$A1000,Cards!$B$2:$I1000,"")</f>
        <v/>
      </c>
      <c r="C449" s="33"/>
      <c r="D449" s="33"/>
      <c r="E449" s="33"/>
      <c r="F449" s="33"/>
      <c r="G449" s="33"/>
      <c r="H449" s="33"/>
      <c r="I449" s="33"/>
      <c r="J449" s="33">
        <f>IFERROR(__xludf.DUMMYFUNCTION("LEN(REGEXREPLACE(XLOOKUP($A449,Cards!$A$2:$A1000,Cards!$H$2:$H1000,""""),"",\s"",""""))"),0.0)</f>
        <v>0</v>
      </c>
      <c r="K449" s="33" t="str">
        <f t="shared" si="1"/>
        <v>               </v>
      </c>
      <c r="L449" s="33" t="str">
        <f>IFERROR(__xludf.DUMMYFUNCTION("IF(IF(L$1="""","""",REGEXMATCH(LOWER($E449),XLOOKUP(L$1,Metadata!$A$2:$A1000,Metadata!$B$2:$B1000))),L$1,"""")"),"")</f>
        <v/>
      </c>
      <c r="M449" s="33" t="str">
        <f>IFERROR(__xludf.DUMMYFUNCTION("IF(IF(M$1="""","""",REGEXMATCH(LOWER($E449),XLOOKUP(M$1,Metadata!$A$2:$A1000,Metadata!$B$2:$B1000))),M$1,"""")"),"")</f>
        <v/>
      </c>
      <c r="N449" s="33" t="str">
        <f>IFERROR(__xludf.DUMMYFUNCTION("IF(IF(N$1="""","""",REGEXMATCH(LOWER($E449),XLOOKUP(N$1,Metadata!$A$2:$A1000,Metadata!$B$2:$B1000))),N$1,"""")"),"")</f>
        <v/>
      </c>
      <c r="O449" s="33" t="str">
        <f>IFERROR(__xludf.DUMMYFUNCTION("IF(IF(O$1="""","""",REGEXMATCH(LOWER($E449),XLOOKUP(O$1,Metadata!$A$2:$A1000,Metadata!$B$2:$B1000))),O$1,"""")"),"")</f>
        <v/>
      </c>
      <c r="P449" s="33" t="str">
        <f>IFERROR(__xludf.DUMMYFUNCTION("IF(IF(P$1="""","""",REGEXMATCH(LOWER($E449),XLOOKUP(P$1,Metadata!$A$2:$A1000,Metadata!$B$2:$B1000))),P$1,"""")"),"")</f>
        <v/>
      </c>
      <c r="Q449" s="33" t="str">
        <f>IFERROR(__xludf.DUMMYFUNCTION("IF(IF(Q$1="""","""",REGEXMATCH(LOWER($E449),XLOOKUP(Q$1,Metadata!$A$2:$A1000,Metadata!$B$2:$B1000))),Q$1,"""")"),"")</f>
        <v/>
      </c>
      <c r="R449" s="33" t="str">
        <f>IFERROR(__xludf.DUMMYFUNCTION("IF(IF(R$1="""","""",REGEXMATCH(LOWER($E449),XLOOKUP(R$1,Metadata!$A$2:$A1000,Metadata!$B$2:$B1000))),R$1,"""")"),"")</f>
        <v/>
      </c>
      <c r="S449" s="33" t="str">
        <f>IFERROR(__xludf.DUMMYFUNCTION("IF(IF(S$1="""","""",REGEXMATCH(LOWER($E449),XLOOKUP(S$1,Metadata!$A$2:$A1000,Metadata!$B$2:$B1000))),S$1,"""")"),"")</f>
        <v/>
      </c>
      <c r="T449" s="33" t="str">
        <f>IFERROR(__xludf.DUMMYFUNCTION("IF(IF(T$1="""","""",REGEXMATCH(LOWER($E449),XLOOKUP(T$1,Metadata!$A$2:$A1000,Metadata!$B$2:$B1000))),T$1,"""")"),"")</f>
        <v/>
      </c>
      <c r="U449" s="33" t="str">
        <f>IFERROR(__xludf.DUMMYFUNCTION("IF(IF(U$1="""","""",REGEXMATCH(LOWER($E449),XLOOKUP(U$1,Metadata!$A$2:$A1000,Metadata!$B$2:$B1000))),U$1,"""")"),"")</f>
        <v/>
      </c>
      <c r="V449" s="33" t="str">
        <f>IFERROR(__xludf.DUMMYFUNCTION("IF(IF(V$1="""","""",REGEXMATCH(LOWER($E449),XLOOKUP(V$1,Metadata!$A$2:$A1000,Metadata!$B$2:$B1000))),V$1,"""")"),"")</f>
        <v/>
      </c>
      <c r="W449" s="33" t="str">
        <f>IFERROR(__xludf.DUMMYFUNCTION("IF(IF(W$1="""","""",REGEXMATCH(LOWER($E449),XLOOKUP(W$1,Metadata!$A$2:$A1000,Metadata!$B$2:$B1000))),W$1,"""")"),"")</f>
        <v/>
      </c>
      <c r="X449" s="33" t="str">
        <f>IFERROR(__xludf.DUMMYFUNCTION("IF(IF(X$1="""","""",REGEXMATCH(LOWER($E449),XLOOKUP(X$1,Metadata!$A$2:$A1000,Metadata!$B$2:$B1000))),X$1,"""")"),"")</f>
        <v/>
      </c>
      <c r="Y449" s="33" t="str">
        <f>IFERROR(__xludf.DUMMYFUNCTION("IF(IF(Y$1="""","""",REGEXMATCH(LOWER($E449),XLOOKUP(Y$1,Metadata!$A$2:$A1000,Metadata!$B$2:$B1000))),Y$1,"""")"),"")</f>
        <v/>
      </c>
      <c r="Z449" s="33" t="str">
        <f>IFERROR(__xludf.DUMMYFUNCTION("IF(IF(Z$1="""","""",REGEXMATCH(LOWER($E449),XLOOKUP(Z$1,Metadata!$A$2:$A1000,Metadata!$B$2:$B1000))),Z$1,"""")"),"")</f>
        <v/>
      </c>
    </row>
    <row r="450">
      <c r="A450" s="33"/>
      <c r="B450" s="33" t="str">
        <f t="array" ref="B450">XLOOKUP($A450,Cards!$A$2:$A1000,Cards!$B$2:$I1000,"")</f>
        <v/>
      </c>
      <c r="C450" s="33"/>
      <c r="D450" s="33"/>
      <c r="E450" s="33"/>
      <c r="F450" s="33"/>
      <c r="G450" s="33"/>
      <c r="H450" s="33"/>
      <c r="I450" s="33"/>
      <c r="J450" s="33">
        <f>IFERROR(__xludf.DUMMYFUNCTION("LEN(REGEXREPLACE(XLOOKUP($A450,Cards!$A$2:$A1000,Cards!$H$2:$H1000,""""),"",\s"",""""))"),0.0)</f>
        <v>0</v>
      </c>
      <c r="K450" s="33" t="str">
        <f t="shared" si="1"/>
        <v>               </v>
      </c>
      <c r="L450" s="33" t="str">
        <f>IFERROR(__xludf.DUMMYFUNCTION("IF(IF(L$1="""","""",REGEXMATCH(LOWER($E450),XLOOKUP(L$1,Metadata!$A$2:$A1000,Metadata!$B$2:$B1000))),L$1,"""")"),"")</f>
        <v/>
      </c>
      <c r="M450" s="33" t="str">
        <f>IFERROR(__xludf.DUMMYFUNCTION("IF(IF(M$1="""","""",REGEXMATCH(LOWER($E450),XLOOKUP(M$1,Metadata!$A$2:$A1000,Metadata!$B$2:$B1000))),M$1,"""")"),"")</f>
        <v/>
      </c>
      <c r="N450" s="33" t="str">
        <f>IFERROR(__xludf.DUMMYFUNCTION("IF(IF(N$1="""","""",REGEXMATCH(LOWER($E450),XLOOKUP(N$1,Metadata!$A$2:$A1000,Metadata!$B$2:$B1000))),N$1,"""")"),"")</f>
        <v/>
      </c>
      <c r="O450" s="33" t="str">
        <f>IFERROR(__xludf.DUMMYFUNCTION("IF(IF(O$1="""","""",REGEXMATCH(LOWER($E450),XLOOKUP(O$1,Metadata!$A$2:$A1000,Metadata!$B$2:$B1000))),O$1,"""")"),"")</f>
        <v/>
      </c>
      <c r="P450" s="33" t="str">
        <f>IFERROR(__xludf.DUMMYFUNCTION("IF(IF(P$1="""","""",REGEXMATCH(LOWER($E450),XLOOKUP(P$1,Metadata!$A$2:$A1000,Metadata!$B$2:$B1000))),P$1,"""")"),"")</f>
        <v/>
      </c>
      <c r="Q450" s="33" t="str">
        <f>IFERROR(__xludf.DUMMYFUNCTION("IF(IF(Q$1="""","""",REGEXMATCH(LOWER($E450),XLOOKUP(Q$1,Metadata!$A$2:$A1000,Metadata!$B$2:$B1000))),Q$1,"""")"),"")</f>
        <v/>
      </c>
      <c r="R450" s="33" t="str">
        <f>IFERROR(__xludf.DUMMYFUNCTION("IF(IF(R$1="""","""",REGEXMATCH(LOWER($E450),XLOOKUP(R$1,Metadata!$A$2:$A1000,Metadata!$B$2:$B1000))),R$1,"""")"),"")</f>
        <v/>
      </c>
      <c r="S450" s="33" t="str">
        <f>IFERROR(__xludf.DUMMYFUNCTION("IF(IF(S$1="""","""",REGEXMATCH(LOWER($E450),XLOOKUP(S$1,Metadata!$A$2:$A1000,Metadata!$B$2:$B1000))),S$1,"""")"),"")</f>
        <v/>
      </c>
      <c r="T450" s="33" t="str">
        <f>IFERROR(__xludf.DUMMYFUNCTION("IF(IF(T$1="""","""",REGEXMATCH(LOWER($E450),XLOOKUP(T$1,Metadata!$A$2:$A1000,Metadata!$B$2:$B1000))),T$1,"""")"),"")</f>
        <v/>
      </c>
      <c r="U450" s="33" t="str">
        <f>IFERROR(__xludf.DUMMYFUNCTION("IF(IF(U$1="""","""",REGEXMATCH(LOWER($E450),XLOOKUP(U$1,Metadata!$A$2:$A1000,Metadata!$B$2:$B1000))),U$1,"""")"),"")</f>
        <v/>
      </c>
      <c r="V450" s="33" t="str">
        <f>IFERROR(__xludf.DUMMYFUNCTION("IF(IF(V$1="""","""",REGEXMATCH(LOWER($E450),XLOOKUP(V$1,Metadata!$A$2:$A1000,Metadata!$B$2:$B1000))),V$1,"""")"),"")</f>
        <v/>
      </c>
      <c r="W450" s="33" t="str">
        <f>IFERROR(__xludf.DUMMYFUNCTION("IF(IF(W$1="""","""",REGEXMATCH(LOWER($E450),XLOOKUP(W$1,Metadata!$A$2:$A1000,Metadata!$B$2:$B1000))),W$1,"""")"),"")</f>
        <v/>
      </c>
      <c r="X450" s="33" t="str">
        <f>IFERROR(__xludf.DUMMYFUNCTION("IF(IF(X$1="""","""",REGEXMATCH(LOWER($E450),XLOOKUP(X$1,Metadata!$A$2:$A1000,Metadata!$B$2:$B1000))),X$1,"""")"),"")</f>
        <v/>
      </c>
      <c r="Y450" s="33" t="str">
        <f>IFERROR(__xludf.DUMMYFUNCTION("IF(IF(Y$1="""","""",REGEXMATCH(LOWER($E450),XLOOKUP(Y$1,Metadata!$A$2:$A1000,Metadata!$B$2:$B1000))),Y$1,"""")"),"")</f>
        <v/>
      </c>
      <c r="Z450" s="33" t="str">
        <f>IFERROR(__xludf.DUMMYFUNCTION("IF(IF(Z$1="""","""",REGEXMATCH(LOWER($E450),XLOOKUP(Z$1,Metadata!$A$2:$A1000,Metadata!$B$2:$B1000))),Z$1,"""")"),"")</f>
        <v/>
      </c>
    </row>
    <row r="451">
      <c r="A451" s="33"/>
      <c r="B451" s="33" t="str">
        <f t="array" ref="B451">XLOOKUP($A451,Cards!$A$2:$A1000,Cards!$B$2:$I1000,"")</f>
        <v/>
      </c>
      <c r="C451" s="33"/>
      <c r="D451" s="33"/>
      <c r="E451" s="33"/>
      <c r="F451" s="33"/>
      <c r="G451" s="33"/>
      <c r="H451" s="33"/>
      <c r="I451" s="33"/>
      <c r="J451" s="33">
        <f>IFERROR(__xludf.DUMMYFUNCTION("LEN(REGEXREPLACE(XLOOKUP($A451,Cards!$A$2:$A1000,Cards!$H$2:$H1000,""""),"",\s"",""""))"),0.0)</f>
        <v>0</v>
      </c>
      <c r="K451" s="33" t="str">
        <f t="shared" si="1"/>
        <v>               </v>
      </c>
      <c r="L451" s="33" t="str">
        <f>IFERROR(__xludf.DUMMYFUNCTION("IF(IF(L$1="""","""",REGEXMATCH(LOWER($E451),XLOOKUP(L$1,Metadata!$A$2:$A1000,Metadata!$B$2:$B1000))),L$1,"""")"),"")</f>
        <v/>
      </c>
      <c r="M451" s="33" t="str">
        <f>IFERROR(__xludf.DUMMYFUNCTION("IF(IF(M$1="""","""",REGEXMATCH(LOWER($E451),XLOOKUP(M$1,Metadata!$A$2:$A1000,Metadata!$B$2:$B1000))),M$1,"""")"),"")</f>
        <v/>
      </c>
      <c r="N451" s="33" t="str">
        <f>IFERROR(__xludf.DUMMYFUNCTION("IF(IF(N$1="""","""",REGEXMATCH(LOWER($E451),XLOOKUP(N$1,Metadata!$A$2:$A1000,Metadata!$B$2:$B1000))),N$1,"""")"),"")</f>
        <v/>
      </c>
      <c r="O451" s="33" t="str">
        <f>IFERROR(__xludf.DUMMYFUNCTION("IF(IF(O$1="""","""",REGEXMATCH(LOWER($E451),XLOOKUP(O$1,Metadata!$A$2:$A1000,Metadata!$B$2:$B1000))),O$1,"""")"),"")</f>
        <v/>
      </c>
      <c r="P451" s="33" t="str">
        <f>IFERROR(__xludf.DUMMYFUNCTION("IF(IF(P$1="""","""",REGEXMATCH(LOWER($E451),XLOOKUP(P$1,Metadata!$A$2:$A1000,Metadata!$B$2:$B1000))),P$1,"""")"),"")</f>
        <v/>
      </c>
      <c r="Q451" s="33" t="str">
        <f>IFERROR(__xludf.DUMMYFUNCTION("IF(IF(Q$1="""","""",REGEXMATCH(LOWER($E451),XLOOKUP(Q$1,Metadata!$A$2:$A1000,Metadata!$B$2:$B1000))),Q$1,"""")"),"")</f>
        <v/>
      </c>
      <c r="R451" s="33" t="str">
        <f>IFERROR(__xludf.DUMMYFUNCTION("IF(IF(R$1="""","""",REGEXMATCH(LOWER($E451),XLOOKUP(R$1,Metadata!$A$2:$A1000,Metadata!$B$2:$B1000))),R$1,"""")"),"")</f>
        <v/>
      </c>
      <c r="S451" s="33" t="str">
        <f>IFERROR(__xludf.DUMMYFUNCTION("IF(IF(S$1="""","""",REGEXMATCH(LOWER($E451),XLOOKUP(S$1,Metadata!$A$2:$A1000,Metadata!$B$2:$B1000))),S$1,"""")"),"")</f>
        <v/>
      </c>
      <c r="T451" s="33" t="str">
        <f>IFERROR(__xludf.DUMMYFUNCTION("IF(IF(T$1="""","""",REGEXMATCH(LOWER($E451),XLOOKUP(T$1,Metadata!$A$2:$A1000,Metadata!$B$2:$B1000))),T$1,"""")"),"")</f>
        <v/>
      </c>
      <c r="U451" s="33" t="str">
        <f>IFERROR(__xludf.DUMMYFUNCTION("IF(IF(U$1="""","""",REGEXMATCH(LOWER($E451),XLOOKUP(U$1,Metadata!$A$2:$A1000,Metadata!$B$2:$B1000))),U$1,"""")"),"")</f>
        <v/>
      </c>
      <c r="V451" s="33" t="str">
        <f>IFERROR(__xludf.DUMMYFUNCTION("IF(IF(V$1="""","""",REGEXMATCH(LOWER($E451),XLOOKUP(V$1,Metadata!$A$2:$A1000,Metadata!$B$2:$B1000))),V$1,"""")"),"")</f>
        <v/>
      </c>
      <c r="W451" s="33" t="str">
        <f>IFERROR(__xludf.DUMMYFUNCTION("IF(IF(W$1="""","""",REGEXMATCH(LOWER($E451),XLOOKUP(W$1,Metadata!$A$2:$A1000,Metadata!$B$2:$B1000))),W$1,"""")"),"")</f>
        <v/>
      </c>
      <c r="X451" s="33" t="str">
        <f>IFERROR(__xludf.DUMMYFUNCTION("IF(IF(X$1="""","""",REGEXMATCH(LOWER($E451),XLOOKUP(X$1,Metadata!$A$2:$A1000,Metadata!$B$2:$B1000))),X$1,"""")"),"")</f>
        <v/>
      </c>
      <c r="Y451" s="33" t="str">
        <f>IFERROR(__xludf.DUMMYFUNCTION("IF(IF(Y$1="""","""",REGEXMATCH(LOWER($E451),XLOOKUP(Y$1,Metadata!$A$2:$A1000,Metadata!$B$2:$B1000))),Y$1,"""")"),"")</f>
        <v/>
      </c>
      <c r="Z451" s="33" t="str">
        <f>IFERROR(__xludf.DUMMYFUNCTION("IF(IF(Z$1="""","""",REGEXMATCH(LOWER($E451),XLOOKUP(Z$1,Metadata!$A$2:$A1000,Metadata!$B$2:$B1000))),Z$1,"""")"),"")</f>
        <v/>
      </c>
    </row>
    <row r="452">
      <c r="A452" s="33"/>
      <c r="B452" s="33" t="str">
        <f t="array" ref="B452">XLOOKUP($A452,Cards!$A$2:$A1000,Cards!$B$2:$I1000,"")</f>
        <v/>
      </c>
      <c r="C452" s="33"/>
      <c r="D452" s="33"/>
      <c r="E452" s="33"/>
      <c r="F452" s="33"/>
      <c r="G452" s="33"/>
      <c r="H452" s="33"/>
      <c r="I452" s="33"/>
      <c r="J452" s="33">
        <f>IFERROR(__xludf.DUMMYFUNCTION("LEN(REGEXREPLACE(XLOOKUP($A452,Cards!$A$2:$A1000,Cards!$H$2:$H1000,""""),"",\s"",""""))"),0.0)</f>
        <v>0</v>
      </c>
      <c r="K452" s="33" t="str">
        <f t="shared" si="1"/>
        <v>               </v>
      </c>
      <c r="L452" s="33" t="str">
        <f>IFERROR(__xludf.DUMMYFUNCTION("IF(IF(L$1="""","""",REGEXMATCH(LOWER($E452),XLOOKUP(L$1,Metadata!$A$2:$A1000,Metadata!$B$2:$B1000))),L$1,"""")"),"")</f>
        <v/>
      </c>
      <c r="M452" s="33" t="str">
        <f>IFERROR(__xludf.DUMMYFUNCTION("IF(IF(M$1="""","""",REGEXMATCH(LOWER($E452),XLOOKUP(M$1,Metadata!$A$2:$A1000,Metadata!$B$2:$B1000))),M$1,"""")"),"")</f>
        <v/>
      </c>
      <c r="N452" s="33" t="str">
        <f>IFERROR(__xludf.DUMMYFUNCTION("IF(IF(N$1="""","""",REGEXMATCH(LOWER($E452),XLOOKUP(N$1,Metadata!$A$2:$A1000,Metadata!$B$2:$B1000))),N$1,"""")"),"")</f>
        <v/>
      </c>
      <c r="O452" s="33" t="str">
        <f>IFERROR(__xludf.DUMMYFUNCTION("IF(IF(O$1="""","""",REGEXMATCH(LOWER($E452),XLOOKUP(O$1,Metadata!$A$2:$A1000,Metadata!$B$2:$B1000))),O$1,"""")"),"")</f>
        <v/>
      </c>
      <c r="P452" s="33" t="str">
        <f>IFERROR(__xludf.DUMMYFUNCTION("IF(IF(P$1="""","""",REGEXMATCH(LOWER($E452),XLOOKUP(P$1,Metadata!$A$2:$A1000,Metadata!$B$2:$B1000))),P$1,"""")"),"")</f>
        <v/>
      </c>
      <c r="Q452" s="33" t="str">
        <f>IFERROR(__xludf.DUMMYFUNCTION("IF(IF(Q$1="""","""",REGEXMATCH(LOWER($E452),XLOOKUP(Q$1,Metadata!$A$2:$A1000,Metadata!$B$2:$B1000))),Q$1,"""")"),"")</f>
        <v/>
      </c>
      <c r="R452" s="33" t="str">
        <f>IFERROR(__xludf.DUMMYFUNCTION("IF(IF(R$1="""","""",REGEXMATCH(LOWER($E452),XLOOKUP(R$1,Metadata!$A$2:$A1000,Metadata!$B$2:$B1000))),R$1,"""")"),"")</f>
        <v/>
      </c>
      <c r="S452" s="33" t="str">
        <f>IFERROR(__xludf.DUMMYFUNCTION("IF(IF(S$1="""","""",REGEXMATCH(LOWER($E452),XLOOKUP(S$1,Metadata!$A$2:$A1000,Metadata!$B$2:$B1000))),S$1,"""")"),"")</f>
        <v/>
      </c>
      <c r="T452" s="33" t="str">
        <f>IFERROR(__xludf.DUMMYFUNCTION("IF(IF(T$1="""","""",REGEXMATCH(LOWER($E452),XLOOKUP(T$1,Metadata!$A$2:$A1000,Metadata!$B$2:$B1000))),T$1,"""")"),"")</f>
        <v/>
      </c>
      <c r="U452" s="33" t="str">
        <f>IFERROR(__xludf.DUMMYFUNCTION("IF(IF(U$1="""","""",REGEXMATCH(LOWER($E452),XLOOKUP(U$1,Metadata!$A$2:$A1000,Metadata!$B$2:$B1000))),U$1,"""")"),"")</f>
        <v/>
      </c>
      <c r="V452" s="33" t="str">
        <f>IFERROR(__xludf.DUMMYFUNCTION("IF(IF(V$1="""","""",REGEXMATCH(LOWER($E452),XLOOKUP(V$1,Metadata!$A$2:$A1000,Metadata!$B$2:$B1000))),V$1,"""")"),"")</f>
        <v/>
      </c>
      <c r="W452" s="33" t="str">
        <f>IFERROR(__xludf.DUMMYFUNCTION("IF(IF(W$1="""","""",REGEXMATCH(LOWER($E452),XLOOKUP(W$1,Metadata!$A$2:$A1000,Metadata!$B$2:$B1000))),W$1,"""")"),"")</f>
        <v/>
      </c>
      <c r="X452" s="33" t="str">
        <f>IFERROR(__xludf.DUMMYFUNCTION("IF(IF(X$1="""","""",REGEXMATCH(LOWER($E452),XLOOKUP(X$1,Metadata!$A$2:$A1000,Metadata!$B$2:$B1000))),X$1,"""")"),"")</f>
        <v/>
      </c>
      <c r="Y452" s="33" t="str">
        <f>IFERROR(__xludf.DUMMYFUNCTION("IF(IF(Y$1="""","""",REGEXMATCH(LOWER($E452),XLOOKUP(Y$1,Metadata!$A$2:$A1000,Metadata!$B$2:$B1000))),Y$1,"""")"),"")</f>
        <v/>
      </c>
      <c r="Z452" s="33" t="str">
        <f>IFERROR(__xludf.DUMMYFUNCTION("IF(IF(Z$1="""","""",REGEXMATCH(LOWER($E452),XLOOKUP(Z$1,Metadata!$A$2:$A1000,Metadata!$B$2:$B1000))),Z$1,"""")"),"")</f>
        <v/>
      </c>
    </row>
    <row r="453">
      <c r="A453" s="33"/>
      <c r="B453" s="33" t="str">
        <f t="array" ref="B453">XLOOKUP($A453,Cards!$A$2:$A1000,Cards!$B$2:$I1000,"")</f>
        <v/>
      </c>
      <c r="C453" s="33"/>
      <c r="D453" s="33"/>
      <c r="E453" s="33"/>
      <c r="F453" s="33"/>
      <c r="G453" s="33"/>
      <c r="H453" s="33"/>
      <c r="I453" s="33"/>
      <c r="J453" s="33">
        <f>IFERROR(__xludf.DUMMYFUNCTION("LEN(REGEXREPLACE(XLOOKUP($A453,Cards!$A$2:$A1000,Cards!$H$2:$H1000,""""),"",\s"",""""))"),0.0)</f>
        <v>0</v>
      </c>
      <c r="K453" s="33" t="str">
        <f t="shared" si="1"/>
        <v>               </v>
      </c>
      <c r="L453" s="33" t="str">
        <f>IFERROR(__xludf.DUMMYFUNCTION("IF(IF(L$1="""","""",REGEXMATCH(LOWER($E453),XLOOKUP(L$1,Metadata!$A$2:$A1000,Metadata!$B$2:$B1000))),L$1,"""")"),"")</f>
        <v/>
      </c>
      <c r="M453" s="33" t="str">
        <f>IFERROR(__xludf.DUMMYFUNCTION("IF(IF(M$1="""","""",REGEXMATCH(LOWER($E453),XLOOKUP(M$1,Metadata!$A$2:$A1000,Metadata!$B$2:$B1000))),M$1,"""")"),"")</f>
        <v/>
      </c>
      <c r="N453" s="33" t="str">
        <f>IFERROR(__xludf.DUMMYFUNCTION("IF(IF(N$1="""","""",REGEXMATCH(LOWER($E453),XLOOKUP(N$1,Metadata!$A$2:$A1000,Metadata!$B$2:$B1000))),N$1,"""")"),"")</f>
        <v/>
      </c>
      <c r="O453" s="33" t="str">
        <f>IFERROR(__xludf.DUMMYFUNCTION("IF(IF(O$1="""","""",REGEXMATCH(LOWER($E453),XLOOKUP(O$1,Metadata!$A$2:$A1000,Metadata!$B$2:$B1000))),O$1,"""")"),"")</f>
        <v/>
      </c>
      <c r="P453" s="33" t="str">
        <f>IFERROR(__xludf.DUMMYFUNCTION("IF(IF(P$1="""","""",REGEXMATCH(LOWER($E453),XLOOKUP(P$1,Metadata!$A$2:$A1000,Metadata!$B$2:$B1000))),P$1,"""")"),"")</f>
        <v/>
      </c>
      <c r="Q453" s="33" t="str">
        <f>IFERROR(__xludf.DUMMYFUNCTION("IF(IF(Q$1="""","""",REGEXMATCH(LOWER($E453),XLOOKUP(Q$1,Metadata!$A$2:$A1000,Metadata!$B$2:$B1000))),Q$1,"""")"),"")</f>
        <v/>
      </c>
      <c r="R453" s="33" t="str">
        <f>IFERROR(__xludf.DUMMYFUNCTION("IF(IF(R$1="""","""",REGEXMATCH(LOWER($E453),XLOOKUP(R$1,Metadata!$A$2:$A1000,Metadata!$B$2:$B1000))),R$1,"""")"),"")</f>
        <v/>
      </c>
      <c r="S453" s="33" t="str">
        <f>IFERROR(__xludf.DUMMYFUNCTION("IF(IF(S$1="""","""",REGEXMATCH(LOWER($E453),XLOOKUP(S$1,Metadata!$A$2:$A1000,Metadata!$B$2:$B1000))),S$1,"""")"),"")</f>
        <v/>
      </c>
      <c r="T453" s="33" t="str">
        <f>IFERROR(__xludf.DUMMYFUNCTION("IF(IF(T$1="""","""",REGEXMATCH(LOWER($E453),XLOOKUP(T$1,Metadata!$A$2:$A1000,Metadata!$B$2:$B1000))),T$1,"""")"),"")</f>
        <v/>
      </c>
      <c r="U453" s="33" t="str">
        <f>IFERROR(__xludf.DUMMYFUNCTION("IF(IF(U$1="""","""",REGEXMATCH(LOWER($E453),XLOOKUP(U$1,Metadata!$A$2:$A1000,Metadata!$B$2:$B1000))),U$1,"""")"),"")</f>
        <v/>
      </c>
      <c r="V453" s="33" t="str">
        <f>IFERROR(__xludf.DUMMYFUNCTION("IF(IF(V$1="""","""",REGEXMATCH(LOWER($E453),XLOOKUP(V$1,Metadata!$A$2:$A1000,Metadata!$B$2:$B1000))),V$1,"""")"),"")</f>
        <v/>
      </c>
      <c r="W453" s="33" t="str">
        <f>IFERROR(__xludf.DUMMYFUNCTION("IF(IF(W$1="""","""",REGEXMATCH(LOWER($E453),XLOOKUP(W$1,Metadata!$A$2:$A1000,Metadata!$B$2:$B1000))),W$1,"""")"),"")</f>
        <v/>
      </c>
      <c r="X453" s="33" t="str">
        <f>IFERROR(__xludf.DUMMYFUNCTION("IF(IF(X$1="""","""",REGEXMATCH(LOWER($E453),XLOOKUP(X$1,Metadata!$A$2:$A1000,Metadata!$B$2:$B1000))),X$1,"""")"),"")</f>
        <v/>
      </c>
      <c r="Y453" s="33" t="str">
        <f>IFERROR(__xludf.DUMMYFUNCTION("IF(IF(Y$1="""","""",REGEXMATCH(LOWER($E453),XLOOKUP(Y$1,Metadata!$A$2:$A1000,Metadata!$B$2:$B1000))),Y$1,"""")"),"")</f>
        <v/>
      </c>
      <c r="Z453" s="33" t="str">
        <f>IFERROR(__xludf.DUMMYFUNCTION("IF(IF(Z$1="""","""",REGEXMATCH(LOWER($E453),XLOOKUP(Z$1,Metadata!$A$2:$A1000,Metadata!$B$2:$B1000))),Z$1,"""")"),"")</f>
        <v/>
      </c>
    </row>
    <row r="454">
      <c r="A454" s="33"/>
      <c r="B454" s="33" t="str">
        <f t="array" ref="B454">XLOOKUP($A454,Cards!$A$2:$A1000,Cards!$B$2:$I1000,"")</f>
        <v/>
      </c>
      <c r="C454" s="33"/>
      <c r="D454" s="33"/>
      <c r="E454" s="33"/>
      <c r="F454" s="33"/>
      <c r="G454" s="33"/>
      <c r="H454" s="33"/>
      <c r="I454" s="33"/>
      <c r="J454" s="33">
        <f>IFERROR(__xludf.DUMMYFUNCTION("LEN(REGEXREPLACE(XLOOKUP($A454,Cards!$A$2:$A1000,Cards!$H$2:$H1000,""""),"",\s"",""""))"),0.0)</f>
        <v>0</v>
      </c>
      <c r="K454" s="33" t="str">
        <f t="shared" si="1"/>
        <v>               </v>
      </c>
      <c r="L454" s="33" t="str">
        <f>IFERROR(__xludf.DUMMYFUNCTION("IF(IF(L$1="""","""",REGEXMATCH(LOWER($E454),XLOOKUP(L$1,Metadata!$A$2:$A1000,Metadata!$B$2:$B1000))),L$1,"""")"),"")</f>
        <v/>
      </c>
      <c r="M454" s="33" t="str">
        <f>IFERROR(__xludf.DUMMYFUNCTION("IF(IF(M$1="""","""",REGEXMATCH(LOWER($E454),XLOOKUP(M$1,Metadata!$A$2:$A1000,Metadata!$B$2:$B1000))),M$1,"""")"),"")</f>
        <v/>
      </c>
      <c r="N454" s="33" t="str">
        <f>IFERROR(__xludf.DUMMYFUNCTION("IF(IF(N$1="""","""",REGEXMATCH(LOWER($E454),XLOOKUP(N$1,Metadata!$A$2:$A1000,Metadata!$B$2:$B1000))),N$1,"""")"),"")</f>
        <v/>
      </c>
      <c r="O454" s="33" t="str">
        <f>IFERROR(__xludf.DUMMYFUNCTION("IF(IF(O$1="""","""",REGEXMATCH(LOWER($E454),XLOOKUP(O$1,Metadata!$A$2:$A1000,Metadata!$B$2:$B1000))),O$1,"""")"),"")</f>
        <v/>
      </c>
      <c r="P454" s="33" t="str">
        <f>IFERROR(__xludf.DUMMYFUNCTION("IF(IF(P$1="""","""",REGEXMATCH(LOWER($E454),XLOOKUP(P$1,Metadata!$A$2:$A1000,Metadata!$B$2:$B1000))),P$1,"""")"),"")</f>
        <v/>
      </c>
      <c r="Q454" s="33" t="str">
        <f>IFERROR(__xludf.DUMMYFUNCTION("IF(IF(Q$1="""","""",REGEXMATCH(LOWER($E454),XLOOKUP(Q$1,Metadata!$A$2:$A1000,Metadata!$B$2:$B1000))),Q$1,"""")"),"")</f>
        <v/>
      </c>
      <c r="R454" s="33" t="str">
        <f>IFERROR(__xludf.DUMMYFUNCTION("IF(IF(R$1="""","""",REGEXMATCH(LOWER($E454),XLOOKUP(R$1,Metadata!$A$2:$A1000,Metadata!$B$2:$B1000))),R$1,"""")"),"")</f>
        <v/>
      </c>
      <c r="S454" s="33" t="str">
        <f>IFERROR(__xludf.DUMMYFUNCTION("IF(IF(S$1="""","""",REGEXMATCH(LOWER($E454),XLOOKUP(S$1,Metadata!$A$2:$A1000,Metadata!$B$2:$B1000))),S$1,"""")"),"")</f>
        <v/>
      </c>
      <c r="T454" s="33" t="str">
        <f>IFERROR(__xludf.DUMMYFUNCTION("IF(IF(T$1="""","""",REGEXMATCH(LOWER($E454),XLOOKUP(T$1,Metadata!$A$2:$A1000,Metadata!$B$2:$B1000))),T$1,"""")"),"")</f>
        <v/>
      </c>
      <c r="U454" s="33" t="str">
        <f>IFERROR(__xludf.DUMMYFUNCTION("IF(IF(U$1="""","""",REGEXMATCH(LOWER($E454),XLOOKUP(U$1,Metadata!$A$2:$A1000,Metadata!$B$2:$B1000))),U$1,"""")"),"")</f>
        <v/>
      </c>
      <c r="V454" s="33" t="str">
        <f>IFERROR(__xludf.DUMMYFUNCTION("IF(IF(V$1="""","""",REGEXMATCH(LOWER($E454),XLOOKUP(V$1,Metadata!$A$2:$A1000,Metadata!$B$2:$B1000))),V$1,"""")"),"")</f>
        <v/>
      </c>
      <c r="W454" s="33" t="str">
        <f>IFERROR(__xludf.DUMMYFUNCTION("IF(IF(W$1="""","""",REGEXMATCH(LOWER($E454),XLOOKUP(W$1,Metadata!$A$2:$A1000,Metadata!$B$2:$B1000))),W$1,"""")"),"")</f>
        <v/>
      </c>
      <c r="X454" s="33" t="str">
        <f>IFERROR(__xludf.DUMMYFUNCTION("IF(IF(X$1="""","""",REGEXMATCH(LOWER($E454),XLOOKUP(X$1,Metadata!$A$2:$A1000,Metadata!$B$2:$B1000))),X$1,"""")"),"")</f>
        <v/>
      </c>
      <c r="Y454" s="33" t="str">
        <f>IFERROR(__xludf.DUMMYFUNCTION("IF(IF(Y$1="""","""",REGEXMATCH(LOWER($E454),XLOOKUP(Y$1,Metadata!$A$2:$A1000,Metadata!$B$2:$B1000))),Y$1,"""")"),"")</f>
        <v/>
      </c>
      <c r="Z454" s="33" t="str">
        <f>IFERROR(__xludf.DUMMYFUNCTION("IF(IF(Z$1="""","""",REGEXMATCH(LOWER($E454),XLOOKUP(Z$1,Metadata!$A$2:$A1000,Metadata!$B$2:$B1000))),Z$1,"""")"),"")</f>
        <v/>
      </c>
    </row>
    <row r="455">
      <c r="A455" s="33"/>
      <c r="B455" s="33" t="str">
        <f t="array" ref="B455">XLOOKUP($A455,Cards!$A$2:$A1000,Cards!$B$2:$I1000,"")</f>
        <v/>
      </c>
      <c r="C455" s="33"/>
      <c r="D455" s="33"/>
      <c r="E455" s="33"/>
      <c r="F455" s="33"/>
      <c r="G455" s="33"/>
      <c r="H455" s="33"/>
      <c r="I455" s="33"/>
      <c r="J455" s="33">
        <f>IFERROR(__xludf.DUMMYFUNCTION("LEN(REGEXREPLACE(XLOOKUP($A455,Cards!$A$2:$A1000,Cards!$H$2:$H1000,""""),"",\s"",""""))"),0.0)</f>
        <v>0</v>
      </c>
      <c r="K455" s="33" t="str">
        <f t="shared" si="1"/>
        <v>               </v>
      </c>
      <c r="L455" s="33" t="str">
        <f>IFERROR(__xludf.DUMMYFUNCTION("IF(IF(L$1="""","""",REGEXMATCH(LOWER($E455),XLOOKUP(L$1,Metadata!$A$2:$A1000,Metadata!$B$2:$B1000))),L$1,"""")"),"")</f>
        <v/>
      </c>
      <c r="M455" s="33" t="str">
        <f>IFERROR(__xludf.DUMMYFUNCTION("IF(IF(M$1="""","""",REGEXMATCH(LOWER($E455),XLOOKUP(M$1,Metadata!$A$2:$A1000,Metadata!$B$2:$B1000))),M$1,"""")"),"")</f>
        <v/>
      </c>
      <c r="N455" s="33" t="str">
        <f>IFERROR(__xludf.DUMMYFUNCTION("IF(IF(N$1="""","""",REGEXMATCH(LOWER($E455),XLOOKUP(N$1,Metadata!$A$2:$A1000,Metadata!$B$2:$B1000))),N$1,"""")"),"")</f>
        <v/>
      </c>
      <c r="O455" s="33" t="str">
        <f>IFERROR(__xludf.DUMMYFUNCTION("IF(IF(O$1="""","""",REGEXMATCH(LOWER($E455),XLOOKUP(O$1,Metadata!$A$2:$A1000,Metadata!$B$2:$B1000))),O$1,"""")"),"")</f>
        <v/>
      </c>
      <c r="P455" s="33" t="str">
        <f>IFERROR(__xludf.DUMMYFUNCTION("IF(IF(P$1="""","""",REGEXMATCH(LOWER($E455),XLOOKUP(P$1,Metadata!$A$2:$A1000,Metadata!$B$2:$B1000))),P$1,"""")"),"")</f>
        <v/>
      </c>
      <c r="Q455" s="33" t="str">
        <f>IFERROR(__xludf.DUMMYFUNCTION("IF(IF(Q$1="""","""",REGEXMATCH(LOWER($E455),XLOOKUP(Q$1,Metadata!$A$2:$A1000,Metadata!$B$2:$B1000))),Q$1,"""")"),"")</f>
        <v/>
      </c>
      <c r="R455" s="33" t="str">
        <f>IFERROR(__xludf.DUMMYFUNCTION("IF(IF(R$1="""","""",REGEXMATCH(LOWER($E455),XLOOKUP(R$1,Metadata!$A$2:$A1000,Metadata!$B$2:$B1000))),R$1,"""")"),"")</f>
        <v/>
      </c>
      <c r="S455" s="33" t="str">
        <f>IFERROR(__xludf.DUMMYFUNCTION("IF(IF(S$1="""","""",REGEXMATCH(LOWER($E455),XLOOKUP(S$1,Metadata!$A$2:$A1000,Metadata!$B$2:$B1000))),S$1,"""")"),"")</f>
        <v/>
      </c>
      <c r="T455" s="33" t="str">
        <f>IFERROR(__xludf.DUMMYFUNCTION("IF(IF(T$1="""","""",REGEXMATCH(LOWER($E455),XLOOKUP(T$1,Metadata!$A$2:$A1000,Metadata!$B$2:$B1000))),T$1,"""")"),"")</f>
        <v/>
      </c>
      <c r="U455" s="33" t="str">
        <f>IFERROR(__xludf.DUMMYFUNCTION("IF(IF(U$1="""","""",REGEXMATCH(LOWER($E455),XLOOKUP(U$1,Metadata!$A$2:$A1000,Metadata!$B$2:$B1000))),U$1,"""")"),"")</f>
        <v/>
      </c>
      <c r="V455" s="33" t="str">
        <f>IFERROR(__xludf.DUMMYFUNCTION("IF(IF(V$1="""","""",REGEXMATCH(LOWER($E455),XLOOKUP(V$1,Metadata!$A$2:$A1000,Metadata!$B$2:$B1000))),V$1,"""")"),"")</f>
        <v/>
      </c>
      <c r="W455" s="33" t="str">
        <f>IFERROR(__xludf.DUMMYFUNCTION("IF(IF(W$1="""","""",REGEXMATCH(LOWER($E455),XLOOKUP(W$1,Metadata!$A$2:$A1000,Metadata!$B$2:$B1000))),W$1,"""")"),"")</f>
        <v/>
      </c>
      <c r="X455" s="33" t="str">
        <f>IFERROR(__xludf.DUMMYFUNCTION("IF(IF(X$1="""","""",REGEXMATCH(LOWER($E455),XLOOKUP(X$1,Metadata!$A$2:$A1000,Metadata!$B$2:$B1000))),X$1,"""")"),"")</f>
        <v/>
      </c>
      <c r="Y455" s="33" t="str">
        <f>IFERROR(__xludf.DUMMYFUNCTION("IF(IF(Y$1="""","""",REGEXMATCH(LOWER($E455),XLOOKUP(Y$1,Metadata!$A$2:$A1000,Metadata!$B$2:$B1000))),Y$1,"""")"),"")</f>
        <v/>
      </c>
      <c r="Z455" s="33" t="str">
        <f>IFERROR(__xludf.DUMMYFUNCTION("IF(IF(Z$1="""","""",REGEXMATCH(LOWER($E455),XLOOKUP(Z$1,Metadata!$A$2:$A1000,Metadata!$B$2:$B1000))),Z$1,"""")"),"")</f>
        <v/>
      </c>
    </row>
    <row r="456">
      <c r="A456" s="33"/>
      <c r="B456" s="33" t="str">
        <f t="array" ref="B456">XLOOKUP($A456,Cards!$A$2:$A1000,Cards!$B$2:$I1000,"")</f>
        <v/>
      </c>
      <c r="C456" s="33"/>
      <c r="D456" s="33"/>
      <c r="E456" s="33"/>
      <c r="F456" s="33"/>
      <c r="G456" s="33"/>
      <c r="H456" s="33"/>
      <c r="I456" s="33"/>
      <c r="J456" s="33">
        <f>IFERROR(__xludf.DUMMYFUNCTION("LEN(REGEXREPLACE(XLOOKUP($A456,Cards!$A$2:$A1000,Cards!$H$2:$H1000,""""),"",\s"",""""))"),0.0)</f>
        <v>0</v>
      </c>
      <c r="K456" s="33" t="str">
        <f t="shared" si="1"/>
        <v>               </v>
      </c>
      <c r="L456" s="33" t="str">
        <f>IFERROR(__xludf.DUMMYFUNCTION("IF(IF(L$1="""","""",REGEXMATCH(LOWER($E456),XLOOKUP(L$1,Metadata!$A$2:$A1000,Metadata!$B$2:$B1000))),L$1,"""")"),"")</f>
        <v/>
      </c>
      <c r="M456" s="33" t="str">
        <f>IFERROR(__xludf.DUMMYFUNCTION("IF(IF(M$1="""","""",REGEXMATCH(LOWER($E456),XLOOKUP(M$1,Metadata!$A$2:$A1000,Metadata!$B$2:$B1000))),M$1,"""")"),"")</f>
        <v/>
      </c>
      <c r="N456" s="33" t="str">
        <f>IFERROR(__xludf.DUMMYFUNCTION("IF(IF(N$1="""","""",REGEXMATCH(LOWER($E456),XLOOKUP(N$1,Metadata!$A$2:$A1000,Metadata!$B$2:$B1000))),N$1,"""")"),"")</f>
        <v/>
      </c>
      <c r="O456" s="33" t="str">
        <f>IFERROR(__xludf.DUMMYFUNCTION("IF(IF(O$1="""","""",REGEXMATCH(LOWER($E456),XLOOKUP(O$1,Metadata!$A$2:$A1000,Metadata!$B$2:$B1000))),O$1,"""")"),"")</f>
        <v/>
      </c>
      <c r="P456" s="33" t="str">
        <f>IFERROR(__xludf.DUMMYFUNCTION("IF(IF(P$1="""","""",REGEXMATCH(LOWER($E456),XLOOKUP(P$1,Metadata!$A$2:$A1000,Metadata!$B$2:$B1000))),P$1,"""")"),"")</f>
        <v/>
      </c>
      <c r="Q456" s="33" t="str">
        <f>IFERROR(__xludf.DUMMYFUNCTION("IF(IF(Q$1="""","""",REGEXMATCH(LOWER($E456),XLOOKUP(Q$1,Metadata!$A$2:$A1000,Metadata!$B$2:$B1000))),Q$1,"""")"),"")</f>
        <v/>
      </c>
      <c r="R456" s="33" t="str">
        <f>IFERROR(__xludf.DUMMYFUNCTION("IF(IF(R$1="""","""",REGEXMATCH(LOWER($E456),XLOOKUP(R$1,Metadata!$A$2:$A1000,Metadata!$B$2:$B1000))),R$1,"""")"),"")</f>
        <v/>
      </c>
      <c r="S456" s="33" t="str">
        <f>IFERROR(__xludf.DUMMYFUNCTION("IF(IF(S$1="""","""",REGEXMATCH(LOWER($E456),XLOOKUP(S$1,Metadata!$A$2:$A1000,Metadata!$B$2:$B1000))),S$1,"""")"),"")</f>
        <v/>
      </c>
      <c r="T456" s="33" t="str">
        <f>IFERROR(__xludf.DUMMYFUNCTION("IF(IF(T$1="""","""",REGEXMATCH(LOWER($E456),XLOOKUP(T$1,Metadata!$A$2:$A1000,Metadata!$B$2:$B1000))),T$1,"""")"),"")</f>
        <v/>
      </c>
      <c r="U456" s="33" t="str">
        <f>IFERROR(__xludf.DUMMYFUNCTION("IF(IF(U$1="""","""",REGEXMATCH(LOWER($E456),XLOOKUP(U$1,Metadata!$A$2:$A1000,Metadata!$B$2:$B1000))),U$1,"""")"),"")</f>
        <v/>
      </c>
      <c r="V456" s="33" t="str">
        <f>IFERROR(__xludf.DUMMYFUNCTION("IF(IF(V$1="""","""",REGEXMATCH(LOWER($E456),XLOOKUP(V$1,Metadata!$A$2:$A1000,Metadata!$B$2:$B1000))),V$1,"""")"),"")</f>
        <v/>
      </c>
      <c r="W456" s="33" t="str">
        <f>IFERROR(__xludf.DUMMYFUNCTION("IF(IF(W$1="""","""",REGEXMATCH(LOWER($E456),XLOOKUP(W$1,Metadata!$A$2:$A1000,Metadata!$B$2:$B1000))),W$1,"""")"),"")</f>
        <v/>
      </c>
      <c r="X456" s="33" t="str">
        <f>IFERROR(__xludf.DUMMYFUNCTION("IF(IF(X$1="""","""",REGEXMATCH(LOWER($E456),XLOOKUP(X$1,Metadata!$A$2:$A1000,Metadata!$B$2:$B1000))),X$1,"""")"),"")</f>
        <v/>
      </c>
      <c r="Y456" s="33" t="str">
        <f>IFERROR(__xludf.DUMMYFUNCTION("IF(IF(Y$1="""","""",REGEXMATCH(LOWER($E456),XLOOKUP(Y$1,Metadata!$A$2:$A1000,Metadata!$B$2:$B1000))),Y$1,"""")"),"")</f>
        <v/>
      </c>
      <c r="Z456" s="33" t="str">
        <f>IFERROR(__xludf.DUMMYFUNCTION("IF(IF(Z$1="""","""",REGEXMATCH(LOWER($E456),XLOOKUP(Z$1,Metadata!$A$2:$A1000,Metadata!$B$2:$B1000))),Z$1,"""")"),"")</f>
        <v/>
      </c>
    </row>
    <row r="457">
      <c r="A457" s="33"/>
      <c r="B457" s="33" t="str">
        <f t="array" ref="B457">XLOOKUP($A457,Cards!$A$2:$A1000,Cards!$B$2:$I1000,"")</f>
        <v/>
      </c>
      <c r="C457" s="33"/>
      <c r="D457" s="33"/>
      <c r="E457" s="33"/>
      <c r="F457" s="33"/>
      <c r="G457" s="33"/>
      <c r="H457" s="33"/>
      <c r="I457" s="33"/>
      <c r="J457" s="33">
        <f>IFERROR(__xludf.DUMMYFUNCTION("LEN(REGEXREPLACE(XLOOKUP($A457,Cards!$A$2:$A1000,Cards!$H$2:$H1000,""""),"",\s"",""""))"),0.0)</f>
        <v>0</v>
      </c>
      <c r="K457" s="33" t="str">
        <f t="shared" si="1"/>
        <v>               </v>
      </c>
      <c r="L457" s="33" t="str">
        <f>IFERROR(__xludf.DUMMYFUNCTION("IF(IF(L$1="""","""",REGEXMATCH(LOWER($E457),XLOOKUP(L$1,Metadata!$A$2:$A1000,Metadata!$B$2:$B1000))),L$1,"""")"),"")</f>
        <v/>
      </c>
      <c r="M457" s="33" t="str">
        <f>IFERROR(__xludf.DUMMYFUNCTION("IF(IF(M$1="""","""",REGEXMATCH(LOWER($E457),XLOOKUP(M$1,Metadata!$A$2:$A1000,Metadata!$B$2:$B1000))),M$1,"""")"),"")</f>
        <v/>
      </c>
      <c r="N457" s="33" t="str">
        <f>IFERROR(__xludf.DUMMYFUNCTION("IF(IF(N$1="""","""",REGEXMATCH(LOWER($E457),XLOOKUP(N$1,Metadata!$A$2:$A1000,Metadata!$B$2:$B1000))),N$1,"""")"),"")</f>
        <v/>
      </c>
      <c r="O457" s="33" t="str">
        <f>IFERROR(__xludf.DUMMYFUNCTION("IF(IF(O$1="""","""",REGEXMATCH(LOWER($E457),XLOOKUP(O$1,Metadata!$A$2:$A1000,Metadata!$B$2:$B1000))),O$1,"""")"),"")</f>
        <v/>
      </c>
      <c r="P457" s="33" t="str">
        <f>IFERROR(__xludf.DUMMYFUNCTION("IF(IF(P$1="""","""",REGEXMATCH(LOWER($E457),XLOOKUP(P$1,Metadata!$A$2:$A1000,Metadata!$B$2:$B1000))),P$1,"""")"),"")</f>
        <v/>
      </c>
      <c r="Q457" s="33" t="str">
        <f>IFERROR(__xludf.DUMMYFUNCTION("IF(IF(Q$1="""","""",REGEXMATCH(LOWER($E457),XLOOKUP(Q$1,Metadata!$A$2:$A1000,Metadata!$B$2:$B1000))),Q$1,"""")"),"")</f>
        <v/>
      </c>
      <c r="R457" s="33" t="str">
        <f>IFERROR(__xludf.DUMMYFUNCTION("IF(IF(R$1="""","""",REGEXMATCH(LOWER($E457),XLOOKUP(R$1,Metadata!$A$2:$A1000,Metadata!$B$2:$B1000))),R$1,"""")"),"")</f>
        <v/>
      </c>
      <c r="S457" s="33" t="str">
        <f>IFERROR(__xludf.DUMMYFUNCTION("IF(IF(S$1="""","""",REGEXMATCH(LOWER($E457),XLOOKUP(S$1,Metadata!$A$2:$A1000,Metadata!$B$2:$B1000))),S$1,"""")"),"")</f>
        <v/>
      </c>
      <c r="T457" s="33" t="str">
        <f>IFERROR(__xludf.DUMMYFUNCTION("IF(IF(T$1="""","""",REGEXMATCH(LOWER($E457),XLOOKUP(T$1,Metadata!$A$2:$A1000,Metadata!$B$2:$B1000))),T$1,"""")"),"")</f>
        <v/>
      </c>
      <c r="U457" s="33" t="str">
        <f>IFERROR(__xludf.DUMMYFUNCTION("IF(IF(U$1="""","""",REGEXMATCH(LOWER($E457),XLOOKUP(U$1,Metadata!$A$2:$A1000,Metadata!$B$2:$B1000))),U$1,"""")"),"")</f>
        <v/>
      </c>
      <c r="V457" s="33" t="str">
        <f>IFERROR(__xludf.DUMMYFUNCTION("IF(IF(V$1="""","""",REGEXMATCH(LOWER($E457),XLOOKUP(V$1,Metadata!$A$2:$A1000,Metadata!$B$2:$B1000))),V$1,"""")"),"")</f>
        <v/>
      </c>
      <c r="W457" s="33" t="str">
        <f>IFERROR(__xludf.DUMMYFUNCTION("IF(IF(W$1="""","""",REGEXMATCH(LOWER($E457),XLOOKUP(W$1,Metadata!$A$2:$A1000,Metadata!$B$2:$B1000))),W$1,"""")"),"")</f>
        <v/>
      </c>
      <c r="X457" s="33" t="str">
        <f>IFERROR(__xludf.DUMMYFUNCTION("IF(IF(X$1="""","""",REGEXMATCH(LOWER($E457),XLOOKUP(X$1,Metadata!$A$2:$A1000,Metadata!$B$2:$B1000))),X$1,"""")"),"")</f>
        <v/>
      </c>
      <c r="Y457" s="33" t="str">
        <f>IFERROR(__xludf.DUMMYFUNCTION("IF(IF(Y$1="""","""",REGEXMATCH(LOWER($E457),XLOOKUP(Y$1,Metadata!$A$2:$A1000,Metadata!$B$2:$B1000))),Y$1,"""")"),"")</f>
        <v/>
      </c>
      <c r="Z457" s="33" t="str">
        <f>IFERROR(__xludf.DUMMYFUNCTION("IF(IF(Z$1="""","""",REGEXMATCH(LOWER($E457),XLOOKUP(Z$1,Metadata!$A$2:$A1000,Metadata!$B$2:$B1000))),Z$1,"""")"),"")</f>
        <v/>
      </c>
    </row>
    <row r="458">
      <c r="A458" s="33"/>
      <c r="B458" s="33" t="str">
        <f t="array" ref="B458">XLOOKUP($A458,Cards!$A$2:$A1000,Cards!$B$2:$I1000,"")</f>
        <v/>
      </c>
      <c r="C458" s="33"/>
      <c r="D458" s="33"/>
      <c r="E458" s="33"/>
      <c r="F458" s="33"/>
      <c r="G458" s="33"/>
      <c r="H458" s="33"/>
      <c r="I458" s="33"/>
      <c r="J458" s="33">
        <f>IFERROR(__xludf.DUMMYFUNCTION("LEN(REGEXREPLACE(XLOOKUP($A458,Cards!$A$2:$A1000,Cards!$H$2:$H1000,""""),"",\s"",""""))"),0.0)</f>
        <v>0</v>
      </c>
      <c r="K458" s="33" t="str">
        <f t="shared" si="1"/>
        <v>               </v>
      </c>
      <c r="L458" s="33" t="str">
        <f>IFERROR(__xludf.DUMMYFUNCTION("IF(IF(L$1="""","""",REGEXMATCH(LOWER($E458),XLOOKUP(L$1,Metadata!$A$2:$A1000,Metadata!$B$2:$B1000))),L$1,"""")"),"")</f>
        <v/>
      </c>
      <c r="M458" s="33" t="str">
        <f>IFERROR(__xludf.DUMMYFUNCTION("IF(IF(M$1="""","""",REGEXMATCH(LOWER($E458),XLOOKUP(M$1,Metadata!$A$2:$A1000,Metadata!$B$2:$B1000))),M$1,"""")"),"")</f>
        <v/>
      </c>
      <c r="N458" s="33" t="str">
        <f>IFERROR(__xludf.DUMMYFUNCTION("IF(IF(N$1="""","""",REGEXMATCH(LOWER($E458),XLOOKUP(N$1,Metadata!$A$2:$A1000,Metadata!$B$2:$B1000))),N$1,"""")"),"")</f>
        <v/>
      </c>
      <c r="O458" s="33" t="str">
        <f>IFERROR(__xludf.DUMMYFUNCTION("IF(IF(O$1="""","""",REGEXMATCH(LOWER($E458),XLOOKUP(O$1,Metadata!$A$2:$A1000,Metadata!$B$2:$B1000))),O$1,"""")"),"")</f>
        <v/>
      </c>
      <c r="P458" s="33" t="str">
        <f>IFERROR(__xludf.DUMMYFUNCTION("IF(IF(P$1="""","""",REGEXMATCH(LOWER($E458),XLOOKUP(P$1,Metadata!$A$2:$A1000,Metadata!$B$2:$B1000))),P$1,"""")"),"")</f>
        <v/>
      </c>
      <c r="Q458" s="33" t="str">
        <f>IFERROR(__xludf.DUMMYFUNCTION("IF(IF(Q$1="""","""",REGEXMATCH(LOWER($E458),XLOOKUP(Q$1,Metadata!$A$2:$A1000,Metadata!$B$2:$B1000))),Q$1,"""")"),"")</f>
        <v/>
      </c>
      <c r="R458" s="33" t="str">
        <f>IFERROR(__xludf.DUMMYFUNCTION("IF(IF(R$1="""","""",REGEXMATCH(LOWER($E458),XLOOKUP(R$1,Metadata!$A$2:$A1000,Metadata!$B$2:$B1000))),R$1,"""")"),"")</f>
        <v/>
      </c>
      <c r="S458" s="33" t="str">
        <f>IFERROR(__xludf.DUMMYFUNCTION("IF(IF(S$1="""","""",REGEXMATCH(LOWER($E458),XLOOKUP(S$1,Metadata!$A$2:$A1000,Metadata!$B$2:$B1000))),S$1,"""")"),"")</f>
        <v/>
      </c>
      <c r="T458" s="33" t="str">
        <f>IFERROR(__xludf.DUMMYFUNCTION("IF(IF(T$1="""","""",REGEXMATCH(LOWER($E458),XLOOKUP(T$1,Metadata!$A$2:$A1000,Metadata!$B$2:$B1000))),T$1,"""")"),"")</f>
        <v/>
      </c>
      <c r="U458" s="33" t="str">
        <f>IFERROR(__xludf.DUMMYFUNCTION("IF(IF(U$1="""","""",REGEXMATCH(LOWER($E458),XLOOKUP(U$1,Metadata!$A$2:$A1000,Metadata!$B$2:$B1000))),U$1,"""")"),"")</f>
        <v/>
      </c>
      <c r="V458" s="33" t="str">
        <f>IFERROR(__xludf.DUMMYFUNCTION("IF(IF(V$1="""","""",REGEXMATCH(LOWER($E458),XLOOKUP(V$1,Metadata!$A$2:$A1000,Metadata!$B$2:$B1000))),V$1,"""")"),"")</f>
        <v/>
      </c>
      <c r="W458" s="33" t="str">
        <f>IFERROR(__xludf.DUMMYFUNCTION("IF(IF(W$1="""","""",REGEXMATCH(LOWER($E458),XLOOKUP(W$1,Metadata!$A$2:$A1000,Metadata!$B$2:$B1000))),W$1,"""")"),"")</f>
        <v/>
      </c>
      <c r="X458" s="33" t="str">
        <f>IFERROR(__xludf.DUMMYFUNCTION("IF(IF(X$1="""","""",REGEXMATCH(LOWER($E458),XLOOKUP(X$1,Metadata!$A$2:$A1000,Metadata!$B$2:$B1000))),X$1,"""")"),"")</f>
        <v/>
      </c>
      <c r="Y458" s="33" t="str">
        <f>IFERROR(__xludf.DUMMYFUNCTION("IF(IF(Y$1="""","""",REGEXMATCH(LOWER($E458),XLOOKUP(Y$1,Metadata!$A$2:$A1000,Metadata!$B$2:$B1000))),Y$1,"""")"),"")</f>
        <v/>
      </c>
      <c r="Z458" s="33" t="str">
        <f>IFERROR(__xludf.DUMMYFUNCTION("IF(IF(Z$1="""","""",REGEXMATCH(LOWER($E458),XLOOKUP(Z$1,Metadata!$A$2:$A1000,Metadata!$B$2:$B1000))),Z$1,"""")"),"")</f>
        <v/>
      </c>
    </row>
    <row r="459">
      <c r="A459" s="33"/>
      <c r="B459" s="33" t="str">
        <f t="array" ref="B459">XLOOKUP($A459,Cards!$A$2:$A1000,Cards!$B$2:$I1000,"")</f>
        <v/>
      </c>
      <c r="C459" s="33"/>
      <c r="D459" s="33"/>
      <c r="E459" s="33"/>
      <c r="F459" s="33"/>
      <c r="G459" s="33"/>
      <c r="H459" s="33"/>
      <c r="I459" s="33"/>
      <c r="J459" s="33">
        <f>IFERROR(__xludf.DUMMYFUNCTION("LEN(REGEXREPLACE(XLOOKUP($A459,Cards!$A$2:$A1000,Cards!$H$2:$H1000,""""),"",\s"",""""))"),0.0)</f>
        <v>0</v>
      </c>
      <c r="K459" s="33" t="str">
        <f t="shared" si="1"/>
        <v>               </v>
      </c>
      <c r="L459" s="33" t="str">
        <f>IFERROR(__xludf.DUMMYFUNCTION("IF(IF(L$1="""","""",REGEXMATCH(LOWER($E459),XLOOKUP(L$1,Metadata!$A$2:$A1000,Metadata!$B$2:$B1000))),L$1,"""")"),"")</f>
        <v/>
      </c>
      <c r="M459" s="33" t="str">
        <f>IFERROR(__xludf.DUMMYFUNCTION("IF(IF(M$1="""","""",REGEXMATCH(LOWER($E459),XLOOKUP(M$1,Metadata!$A$2:$A1000,Metadata!$B$2:$B1000))),M$1,"""")"),"")</f>
        <v/>
      </c>
      <c r="N459" s="33" t="str">
        <f>IFERROR(__xludf.DUMMYFUNCTION("IF(IF(N$1="""","""",REGEXMATCH(LOWER($E459),XLOOKUP(N$1,Metadata!$A$2:$A1000,Metadata!$B$2:$B1000))),N$1,"""")"),"")</f>
        <v/>
      </c>
      <c r="O459" s="33" t="str">
        <f>IFERROR(__xludf.DUMMYFUNCTION("IF(IF(O$1="""","""",REGEXMATCH(LOWER($E459),XLOOKUP(O$1,Metadata!$A$2:$A1000,Metadata!$B$2:$B1000))),O$1,"""")"),"")</f>
        <v/>
      </c>
      <c r="P459" s="33" t="str">
        <f>IFERROR(__xludf.DUMMYFUNCTION("IF(IF(P$1="""","""",REGEXMATCH(LOWER($E459),XLOOKUP(P$1,Metadata!$A$2:$A1000,Metadata!$B$2:$B1000))),P$1,"""")"),"")</f>
        <v/>
      </c>
      <c r="Q459" s="33" t="str">
        <f>IFERROR(__xludf.DUMMYFUNCTION("IF(IF(Q$1="""","""",REGEXMATCH(LOWER($E459),XLOOKUP(Q$1,Metadata!$A$2:$A1000,Metadata!$B$2:$B1000))),Q$1,"""")"),"")</f>
        <v/>
      </c>
      <c r="R459" s="33" t="str">
        <f>IFERROR(__xludf.DUMMYFUNCTION("IF(IF(R$1="""","""",REGEXMATCH(LOWER($E459),XLOOKUP(R$1,Metadata!$A$2:$A1000,Metadata!$B$2:$B1000))),R$1,"""")"),"")</f>
        <v/>
      </c>
      <c r="S459" s="33" t="str">
        <f>IFERROR(__xludf.DUMMYFUNCTION("IF(IF(S$1="""","""",REGEXMATCH(LOWER($E459),XLOOKUP(S$1,Metadata!$A$2:$A1000,Metadata!$B$2:$B1000))),S$1,"""")"),"")</f>
        <v/>
      </c>
      <c r="T459" s="33" t="str">
        <f>IFERROR(__xludf.DUMMYFUNCTION("IF(IF(T$1="""","""",REGEXMATCH(LOWER($E459),XLOOKUP(T$1,Metadata!$A$2:$A1000,Metadata!$B$2:$B1000))),T$1,"""")"),"")</f>
        <v/>
      </c>
      <c r="U459" s="33" t="str">
        <f>IFERROR(__xludf.DUMMYFUNCTION("IF(IF(U$1="""","""",REGEXMATCH(LOWER($E459),XLOOKUP(U$1,Metadata!$A$2:$A1000,Metadata!$B$2:$B1000))),U$1,"""")"),"")</f>
        <v/>
      </c>
      <c r="V459" s="33" t="str">
        <f>IFERROR(__xludf.DUMMYFUNCTION("IF(IF(V$1="""","""",REGEXMATCH(LOWER($E459),XLOOKUP(V$1,Metadata!$A$2:$A1000,Metadata!$B$2:$B1000))),V$1,"""")"),"")</f>
        <v/>
      </c>
      <c r="W459" s="33" t="str">
        <f>IFERROR(__xludf.DUMMYFUNCTION("IF(IF(W$1="""","""",REGEXMATCH(LOWER($E459),XLOOKUP(W$1,Metadata!$A$2:$A1000,Metadata!$B$2:$B1000))),W$1,"""")"),"")</f>
        <v/>
      </c>
      <c r="X459" s="33" t="str">
        <f>IFERROR(__xludf.DUMMYFUNCTION("IF(IF(X$1="""","""",REGEXMATCH(LOWER($E459),XLOOKUP(X$1,Metadata!$A$2:$A1000,Metadata!$B$2:$B1000))),X$1,"""")"),"")</f>
        <v/>
      </c>
      <c r="Y459" s="33" t="str">
        <f>IFERROR(__xludf.DUMMYFUNCTION("IF(IF(Y$1="""","""",REGEXMATCH(LOWER($E459),XLOOKUP(Y$1,Metadata!$A$2:$A1000,Metadata!$B$2:$B1000))),Y$1,"""")"),"")</f>
        <v/>
      </c>
      <c r="Z459" s="33" t="str">
        <f>IFERROR(__xludf.DUMMYFUNCTION("IF(IF(Z$1="""","""",REGEXMATCH(LOWER($E459),XLOOKUP(Z$1,Metadata!$A$2:$A1000,Metadata!$B$2:$B1000))),Z$1,"""")"),"")</f>
        <v/>
      </c>
    </row>
    <row r="460">
      <c r="A460" s="33"/>
      <c r="B460" s="33" t="str">
        <f t="array" ref="B460">XLOOKUP($A460,Cards!$A$2:$A1000,Cards!$B$2:$I1000,"")</f>
        <v/>
      </c>
      <c r="C460" s="33"/>
      <c r="D460" s="33"/>
      <c r="E460" s="33"/>
      <c r="F460" s="33"/>
      <c r="G460" s="33"/>
      <c r="H460" s="33"/>
      <c r="I460" s="33"/>
      <c r="J460" s="33">
        <f>IFERROR(__xludf.DUMMYFUNCTION("LEN(REGEXREPLACE(XLOOKUP($A460,Cards!$A$2:$A1000,Cards!$H$2:$H1000,""""),"",\s"",""""))"),0.0)</f>
        <v>0</v>
      </c>
      <c r="K460" s="33" t="str">
        <f t="shared" si="1"/>
        <v>               </v>
      </c>
      <c r="L460" s="33" t="str">
        <f>IFERROR(__xludf.DUMMYFUNCTION("IF(IF(L$1="""","""",REGEXMATCH(LOWER($E460),XLOOKUP(L$1,Metadata!$A$2:$A1000,Metadata!$B$2:$B1000))),L$1,"""")"),"")</f>
        <v/>
      </c>
      <c r="M460" s="33" t="str">
        <f>IFERROR(__xludf.DUMMYFUNCTION("IF(IF(M$1="""","""",REGEXMATCH(LOWER($E460),XLOOKUP(M$1,Metadata!$A$2:$A1000,Metadata!$B$2:$B1000))),M$1,"""")"),"")</f>
        <v/>
      </c>
      <c r="N460" s="33" t="str">
        <f>IFERROR(__xludf.DUMMYFUNCTION("IF(IF(N$1="""","""",REGEXMATCH(LOWER($E460),XLOOKUP(N$1,Metadata!$A$2:$A1000,Metadata!$B$2:$B1000))),N$1,"""")"),"")</f>
        <v/>
      </c>
      <c r="O460" s="33" t="str">
        <f>IFERROR(__xludf.DUMMYFUNCTION("IF(IF(O$1="""","""",REGEXMATCH(LOWER($E460),XLOOKUP(O$1,Metadata!$A$2:$A1000,Metadata!$B$2:$B1000))),O$1,"""")"),"")</f>
        <v/>
      </c>
      <c r="P460" s="33" t="str">
        <f>IFERROR(__xludf.DUMMYFUNCTION("IF(IF(P$1="""","""",REGEXMATCH(LOWER($E460),XLOOKUP(P$1,Metadata!$A$2:$A1000,Metadata!$B$2:$B1000))),P$1,"""")"),"")</f>
        <v/>
      </c>
      <c r="Q460" s="33" t="str">
        <f>IFERROR(__xludf.DUMMYFUNCTION("IF(IF(Q$1="""","""",REGEXMATCH(LOWER($E460),XLOOKUP(Q$1,Metadata!$A$2:$A1000,Metadata!$B$2:$B1000))),Q$1,"""")"),"")</f>
        <v/>
      </c>
      <c r="R460" s="33" t="str">
        <f>IFERROR(__xludf.DUMMYFUNCTION("IF(IF(R$1="""","""",REGEXMATCH(LOWER($E460),XLOOKUP(R$1,Metadata!$A$2:$A1000,Metadata!$B$2:$B1000))),R$1,"""")"),"")</f>
        <v/>
      </c>
      <c r="S460" s="33" t="str">
        <f>IFERROR(__xludf.DUMMYFUNCTION("IF(IF(S$1="""","""",REGEXMATCH(LOWER($E460),XLOOKUP(S$1,Metadata!$A$2:$A1000,Metadata!$B$2:$B1000))),S$1,"""")"),"")</f>
        <v/>
      </c>
      <c r="T460" s="33" t="str">
        <f>IFERROR(__xludf.DUMMYFUNCTION("IF(IF(T$1="""","""",REGEXMATCH(LOWER($E460),XLOOKUP(T$1,Metadata!$A$2:$A1000,Metadata!$B$2:$B1000))),T$1,"""")"),"")</f>
        <v/>
      </c>
      <c r="U460" s="33" t="str">
        <f>IFERROR(__xludf.DUMMYFUNCTION("IF(IF(U$1="""","""",REGEXMATCH(LOWER($E460),XLOOKUP(U$1,Metadata!$A$2:$A1000,Metadata!$B$2:$B1000))),U$1,"""")"),"")</f>
        <v/>
      </c>
      <c r="V460" s="33" t="str">
        <f>IFERROR(__xludf.DUMMYFUNCTION("IF(IF(V$1="""","""",REGEXMATCH(LOWER($E460),XLOOKUP(V$1,Metadata!$A$2:$A1000,Metadata!$B$2:$B1000))),V$1,"""")"),"")</f>
        <v/>
      </c>
      <c r="W460" s="33" t="str">
        <f>IFERROR(__xludf.DUMMYFUNCTION("IF(IF(W$1="""","""",REGEXMATCH(LOWER($E460),XLOOKUP(W$1,Metadata!$A$2:$A1000,Metadata!$B$2:$B1000))),W$1,"""")"),"")</f>
        <v/>
      </c>
      <c r="X460" s="33" t="str">
        <f>IFERROR(__xludf.DUMMYFUNCTION("IF(IF(X$1="""","""",REGEXMATCH(LOWER($E460),XLOOKUP(X$1,Metadata!$A$2:$A1000,Metadata!$B$2:$B1000))),X$1,"""")"),"")</f>
        <v/>
      </c>
      <c r="Y460" s="33" t="str">
        <f>IFERROR(__xludf.DUMMYFUNCTION("IF(IF(Y$1="""","""",REGEXMATCH(LOWER($E460),XLOOKUP(Y$1,Metadata!$A$2:$A1000,Metadata!$B$2:$B1000))),Y$1,"""")"),"")</f>
        <v/>
      </c>
      <c r="Z460" s="33" t="str">
        <f>IFERROR(__xludf.DUMMYFUNCTION("IF(IF(Z$1="""","""",REGEXMATCH(LOWER($E460),XLOOKUP(Z$1,Metadata!$A$2:$A1000,Metadata!$B$2:$B1000))),Z$1,"""")"),"")</f>
        <v/>
      </c>
    </row>
    <row r="461">
      <c r="A461" s="33"/>
      <c r="B461" s="33" t="str">
        <f t="array" ref="B461">XLOOKUP($A461,Cards!$A$2:$A1000,Cards!$B$2:$I1000,"")</f>
        <v/>
      </c>
      <c r="C461" s="33"/>
      <c r="D461" s="33"/>
      <c r="E461" s="33"/>
      <c r="F461" s="33"/>
      <c r="G461" s="33"/>
      <c r="H461" s="33"/>
      <c r="I461" s="33"/>
      <c r="J461" s="33">
        <f>IFERROR(__xludf.DUMMYFUNCTION("LEN(REGEXREPLACE(XLOOKUP($A461,Cards!$A$2:$A1000,Cards!$H$2:$H1000,""""),"",\s"",""""))"),0.0)</f>
        <v>0</v>
      </c>
      <c r="K461" s="33" t="str">
        <f t="shared" si="1"/>
        <v>               </v>
      </c>
      <c r="L461" s="33" t="str">
        <f>IFERROR(__xludf.DUMMYFUNCTION("IF(IF(L$1="""","""",REGEXMATCH(LOWER($E461),XLOOKUP(L$1,Metadata!$A$2:$A1000,Metadata!$B$2:$B1000))),L$1,"""")"),"")</f>
        <v/>
      </c>
      <c r="M461" s="33" t="str">
        <f>IFERROR(__xludf.DUMMYFUNCTION("IF(IF(M$1="""","""",REGEXMATCH(LOWER($E461),XLOOKUP(M$1,Metadata!$A$2:$A1000,Metadata!$B$2:$B1000))),M$1,"""")"),"")</f>
        <v/>
      </c>
      <c r="N461" s="33" t="str">
        <f>IFERROR(__xludf.DUMMYFUNCTION("IF(IF(N$1="""","""",REGEXMATCH(LOWER($E461),XLOOKUP(N$1,Metadata!$A$2:$A1000,Metadata!$B$2:$B1000))),N$1,"""")"),"")</f>
        <v/>
      </c>
      <c r="O461" s="33" t="str">
        <f>IFERROR(__xludf.DUMMYFUNCTION("IF(IF(O$1="""","""",REGEXMATCH(LOWER($E461),XLOOKUP(O$1,Metadata!$A$2:$A1000,Metadata!$B$2:$B1000))),O$1,"""")"),"")</f>
        <v/>
      </c>
      <c r="P461" s="33" t="str">
        <f>IFERROR(__xludf.DUMMYFUNCTION("IF(IF(P$1="""","""",REGEXMATCH(LOWER($E461),XLOOKUP(P$1,Metadata!$A$2:$A1000,Metadata!$B$2:$B1000))),P$1,"""")"),"")</f>
        <v/>
      </c>
      <c r="Q461" s="33" t="str">
        <f>IFERROR(__xludf.DUMMYFUNCTION("IF(IF(Q$1="""","""",REGEXMATCH(LOWER($E461),XLOOKUP(Q$1,Metadata!$A$2:$A1000,Metadata!$B$2:$B1000))),Q$1,"""")"),"")</f>
        <v/>
      </c>
      <c r="R461" s="33" t="str">
        <f>IFERROR(__xludf.DUMMYFUNCTION("IF(IF(R$1="""","""",REGEXMATCH(LOWER($E461),XLOOKUP(R$1,Metadata!$A$2:$A1000,Metadata!$B$2:$B1000))),R$1,"""")"),"")</f>
        <v/>
      </c>
      <c r="S461" s="33" t="str">
        <f>IFERROR(__xludf.DUMMYFUNCTION("IF(IF(S$1="""","""",REGEXMATCH(LOWER($E461),XLOOKUP(S$1,Metadata!$A$2:$A1000,Metadata!$B$2:$B1000))),S$1,"""")"),"")</f>
        <v/>
      </c>
      <c r="T461" s="33" t="str">
        <f>IFERROR(__xludf.DUMMYFUNCTION("IF(IF(T$1="""","""",REGEXMATCH(LOWER($E461),XLOOKUP(T$1,Metadata!$A$2:$A1000,Metadata!$B$2:$B1000))),T$1,"""")"),"")</f>
        <v/>
      </c>
      <c r="U461" s="33" t="str">
        <f>IFERROR(__xludf.DUMMYFUNCTION("IF(IF(U$1="""","""",REGEXMATCH(LOWER($E461),XLOOKUP(U$1,Metadata!$A$2:$A1000,Metadata!$B$2:$B1000))),U$1,"""")"),"")</f>
        <v/>
      </c>
      <c r="V461" s="33" t="str">
        <f>IFERROR(__xludf.DUMMYFUNCTION("IF(IF(V$1="""","""",REGEXMATCH(LOWER($E461),XLOOKUP(V$1,Metadata!$A$2:$A1000,Metadata!$B$2:$B1000))),V$1,"""")"),"")</f>
        <v/>
      </c>
      <c r="W461" s="33" t="str">
        <f>IFERROR(__xludf.DUMMYFUNCTION("IF(IF(W$1="""","""",REGEXMATCH(LOWER($E461),XLOOKUP(W$1,Metadata!$A$2:$A1000,Metadata!$B$2:$B1000))),W$1,"""")"),"")</f>
        <v/>
      </c>
      <c r="X461" s="33" t="str">
        <f>IFERROR(__xludf.DUMMYFUNCTION("IF(IF(X$1="""","""",REGEXMATCH(LOWER($E461),XLOOKUP(X$1,Metadata!$A$2:$A1000,Metadata!$B$2:$B1000))),X$1,"""")"),"")</f>
        <v/>
      </c>
      <c r="Y461" s="33" t="str">
        <f>IFERROR(__xludf.DUMMYFUNCTION("IF(IF(Y$1="""","""",REGEXMATCH(LOWER($E461),XLOOKUP(Y$1,Metadata!$A$2:$A1000,Metadata!$B$2:$B1000))),Y$1,"""")"),"")</f>
        <v/>
      </c>
      <c r="Z461" s="33" t="str">
        <f>IFERROR(__xludf.DUMMYFUNCTION("IF(IF(Z$1="""","""",REGEXMATCH(LOWER($E461),XLOOKUP(Z$1,Metadata!$A$2:$A1000,Metadata!$B$2:$B1000))),Z$1,"""")"),"")</f>
        <v/>
      </c>
    </row>
    <row r="462">
      <c r="A462" s="33"/>
      <c r="B462" s="33" t="str">
        <f t="array" ref="B462">XLOOKUP($A462,Cards!$A$2:$A1000,Cards!$B$2:$I1000,"")</f>
        <v/>
      </c>
      <c r="C462" s="33"/>
      <c r="D462" s="33"/>
      <c r="E462" s="33"/>
      <c r="F462" s="33"/>
      <c r="G462" s="33"/>
      <c r="H462" s="33"/>
      <c r="I462" s="33"/>
      <c r="J462" s="33">
        <f>IFERROR(__xludf.DUMMYFUNCTION("LEN(REGEXREPLACE(XLOOKUP($A462,Cards!$A$2:$A1000,Cards!$H$2:$H1000,""""),"",\s"",""""))"),0.0)</f>
        <v>0</v>
      </c>
      <c r="K462" s="33" t="str">
        <f t="shared" si="1"/>
        <v>               </v>
      </c>
      <c r="L462" s="33" t="str">
        <f>IFERROR(__xludf.DUMMYFUNCTION("IF(IF(L$1="""","""",REGEXMATCH(LOWER($E462),XLOOKUP(L$1,Metadata!$A$2:$A1000,Metadata!$B$2:$B1000))),L$1,"""")"),"")</f>
        <v/>
      </c>
      <c r="M462" s="33" t="str">
        <f>IFERROR(__xludf.DUMMYFUNCTION("IF(IF(M$1="""","""",REGEXMATCH(LOWER($E462),XLOOKUP(M$1,Metadata!$A$2:$A1000,Metadata!$B$2:$B1000))),M$1,"""")"),"")</f>
        <v/>
      </c>
      <c r="N462" s="33" t="str">
        <f>IFERROR(__xludf.DUMMYFUNCTION("IF(IF(N$1="""","""",REGEXMATCH(LOWER($E462),XLOOKUP(N$1,Metadata!$A$2:$A1000,Metadata!$B$2:$B1000))),N$1,"""")"),"")</f>
        <v/>
      </c>
      <c r="O462" s="33" t="str">
        <f>IFERROR(__xludf.DUMMYFUNCTION("IF(IF(O$1="""","""",REGEXMATCH(LOWER($E462),XLOOKUP(O$1,Metadata!$A$2:$A1000,Metadata!$B$2:$B1000))),O$1,"""")"),"")</f>
        <v/>
      </c>
      <c r="P462" s="33" t="str">
        <f>IFERROR(__xludf.DUMMYFUNCTION("IF(IF(P$1="""","""",REGEXMATCH(LOWER($E462),XLOOKUP(P$1,Metadata!$A$2:$A1000,Metadata!$B$2:$B1000))),P$1,"""")"),"")</f>
        <v/>
      </c>
      <c r="Q462" s="33" t="str">
        <f>IFERROR(__xludf.DUMMYFUNCTION("IF(IF(Q$1="""","""",REGEXMATCH(LOWER($E462),XLOOKUP(Q$1,Metadata!$A$2:$A1000,Metadata!$B$2:$B1000))),Q$1,"""")"),"")</f>
        <v/>
      </c>
      <c r="R462" s="33" t="str">
        <f>IFERROR(__xludf.DUMMYFUNCTION("IF(IF(R$1="""","""",REGEXMATCH(LOWER($E462),XLOOKUP(R$1,Metadata!$A$2:$A1000,Metadata!$B$2:$B1000))),R$1,"""")"),"")</f>
        <v/>
      </c>
      <c r="S462" s="33" t="str">
        <f>IFERROR(__xludf.DUMMYFUNCTION("IF(IF(S$1="""","""",REGEXMATCH(LOWER($E462),XLOOKUP(S$1,Metadata!$A$2:$A1000,Metadata!$B$2:$B1000))),S$1,"""")"),"")</f>
        <v/>
      </c>
      <c r="T462" s="33" t="str">
        <f>IFERROR(__xludf.DUMMYFUNCTION("IF(IF(T$1="""","""",REGEXMATCH(LOWER($E462),XLOOKUP(T$1,Metadata!$A$2:$A1000,Metadata!$B$2:$B1000))),T$1,"""")"),"")</f>
        <v/>
      </c>
      <c r="U462" s="33" t="str">
        <f>IFERROR(__xludf.DUMMYFUNCTION("IF(IF(U$1="""","""",REGEXMATCH(LOWER($E462),XLOOKUP(U$1,Metadata!$A$2:$A1000,Metadata!$B$2:$B1000))),U$1,"""")"),"")</f>
        <v/>
      </c>
      <c r="V462" s="33" t="str">
        <f>IFERROR(__xludf.DUMMYFUNCTION("IF(IF(V$1="""","""",REGEXMATCH(LOWER($E462),XLOOKUP(V$1,Metadata!$A$2:$A1000,Metadata!$B$2:$B1000))),V$1,"""")"),"")</f>
        <v/>
      </c>
      <c r="W462" s="33" t="str">
        <f>IFERROR(__xludf.DUMMYFUNCTION("IF(IF(W$1="""","""",REGEXMATCH(LOWER($E462),XLOOKUP(W$1,Metadata!$A$2:$A1000,Metadata!$B$2:$B1000))),W$1,"""")"),"")</f>
        <v/>
      </c>
      <c r="X462" s="33" t="str">
        <f>IFERROR(__xludf.DUMMYFUNCTION("IF(IF(X$1="""","""",REGEXMATCH(LOWER($E462),XLOOKUP(X$1,Metadata!$A$2:$A1000,Metadata!$B$2:$B1000))),X$1,"""")"),"")</f>
        <v/>
      </c>
      <c r="Y462" s="33" t="str">
        <f>IFERROR(__xludf.DUMMYFUNCTION("IF(IF(Y$1="""","""",REGEXMATCH(LOWER($E462),XLOOKUP(Y$1,Metadata!$A$2:$A1000,Metadata!$B$2:$B1000))),Y$1,"""")"),"")</f>
        <v/>
      </c>
      <c r="Z462" s="33" t="str">
        <f>IFERROR(__xludf.DUMMYFUNCTION("IF(IF(Z$1="""","""",REGEXMATCH(LOWER($E462),XLOOKUP(Z$1,Metadata!$A$2:$A1000,Metadata!$B$2:$B1000))),Z$1,"""")"),"")</f>
        <v/>
      </c>
    </row>
    <row r="463">
      <c r="A463" s="33"/>
      <c r="B463" s="33" t="str">
        <f t="array" ref="B463">XLOOKUP($A463,Cards!$A$2:$A1000,Cards!$B$2:$I1000,"")</f>
        <v/>
      </c>
      <c r="C463" s="33"/>
      <c r="D463" s="33"/>
      <c r="E463" s="33"/>
      <c r="F463" s="33"/>
      <c r="G463" s="33"/>
      <c r="H463" s="33"/>
      <c r="I463" s="33"/>
      <c r="J463" s="33">
        <f>IFERROR(__xludf.DUMMYFUNCTION("LEN(REGEXREPLACE(XLOOKUP($A463,Cards!$A$2:$A1000,Cards!$H$2:$H1000,""""),"",\s"",""""))"),0.0)</f>
        <v>0</v>
      </c>
      <c r="K463" s="33" t="str">
        <f t="shared" si="1"/>
        <v>               </v>
      </c>
      <c r="L463" s="33" t="str">
        <f>IFERROR(__xludf.DUMMYFUNCTION("IF(IF(L$1="""","""",REGEXMATCH(LOWER($E463),XLOOKUP(L$1,Metadata!$A$2:$A1000,Metadata!$B$2:$B1000))),L$1,"""")"),"")</f>
        <v/>
      </c>
      <c r="M463" s="33" t="str">
        <f>IFERROR(__xludf.DUMMYFUNCTION("IF(IF(M$1="""","""",REGEXMATCH(LOWER($E463),XLOOKUP(M$1,Metadata!$A$2:$A1000,Metadata!$B$2:$B1000))),M$1,"""")"),"")</f>
        <v/>
      </c>
      <c r="N463" s="33" t="str">
        <f>IFERROR(__xludf.DUMMYFUNCTION("IF(IF(N$1="""","""",REGEXMATCH(LOWER($E463),XLOOKUP(N$1,Metadata!$A$2:$A1000,Metadata!$B$2:$B1000))),N$1,"""")"),"")</f>
        <v/>
      </c>
      <c r="O463" s="33" t="str">
        <f>IFERROR(__xludf.DUMMYFUNCTION("IF(IF(O$1="""","""",REGEXMATCH(LOWER($E463),XLOOKUP(O$1,Metadata!$A$2:$A1000,Metadata!$B$2:$B1000))),O$1,"""")"),"")</f>
        <v/>
      </c>
      <c r="P463" s="33" t="str">
        <f>IFERROR(__xludf.DUMMYFUNCTION("IF(IF(P$1="""","""",REGEXMATCH(LOWER($E463),XLOOKUP(P$1,Metadata!$A$2:$A1000,Metadata!$B$2:$B1000))),P$1,"""")"),"")</f>
        <v/>
      </c>
      <c r="Q463" s="33" t="str">
        <f>IFERROR(__xludf.DUMMYFUNCTION("IF(IF(Q$1="""","""",REGEXMATCH(LOWER($E463),XLOOKUP(Q$1,Metadata!$A$2:$A1000,Metadata!$B$2:$B1000))),Q$1,"""")"),"")</f>
        <v/>
      </c>
      <c r="R463" s="33" t="str">
        <f>IFERROR(__xludf.DUMMYFUNCTION("IF(IF(R$1="""","""",REGEXMATCH(LOWER($E463),XLOOKUP(R$1,Metadata!$A$2:$A1000,Metadata!$B$2:$B1000))),R$1,"""")"),"")</f>
        <v/>
      </c>
      <c r="S463" s="33" t="str">
        <f>IFERROR(__xludf.DUMMYFUNCTION("IF(IF(S$1="""","""",REGEXMATCH(LOWER($E463),XLOOKUP(S$1,Metadata!$A$2:$A1000,Metadata!$B$2:$B1000))),S$1,"""")"),"")</f>
        <v/>
      </c>
      <c r="T463" s="33" t="str">
        <f>IFERROR(__xludf.DUMMYFUNCTION("IF(IF(T$1="""","""",REGEXMATCH(LOWER($E463),XLOOKUP(T$1,Metadata!$A$2:$A1000,Metadata!$B$2:$B1000))),T$1,"""")"),"")</f>
        <v/>
      </c>
      <c r="U463" s="33" t="str">
        <f>IFERROR(__xludf.DUMMYFUNCTION("IF(IF(U$1="""","""",REGEXMATCH(LOWER($E463),XLOOKUP(U$1,Metadata!$A$2:$A1000,Metadata!$B$2:$B1000))),U$1,"""")"),"")</f>
        <v/>
      </c>
      <c r="V463" s="33" t="str">
        <f>IFERROR(__xludf.DUMMYFUNCTION("IF(IF(V$1="""","""",REGEXMATCH(LOWER($E463),XLOOKUP(V$1,Metadata!$A$2:$A1000,Metadata!$B$2:$B1000))),V$1,"""")"),"")</f>
        <v/>
      </c>
      <c r="W463" s="33" t="str">
        <f>IFERROR(__xludf.DUMMYFUNCTION("IF(IF(W$1="""","""",REGEXMATCH(LOWER($E463),XLOOKUP(W$1,Metadata!$A$2:$A1000,Metadata!$B$2:$B1000))),W$1,"""")"),"")</f>
        <v/>
      </c>
      <c r="X463" s="33" t="str">
        <f>IFERROR(__xludf.DUMMYFUNCTION("IF(IF(X$1="""","""",REGEXMATCH(LOWER($E463),XLOOKUP(X$1,Metadata!$A$2:$A1000,Metadata!$B$2:$B1000))),X$1,"""")"),"")</f>
        <v/>
      </c>
      <c r="Y463" s="33" t="str">
        <f>IFERROR(__xludf.DUMMYFUNCTION("IF(IF(Y$1="""","""",REGEXMATCH(LOWER($E463),XLOOKUP(Y$1,Metadata!$A$2:$A1000,Metadata!$B$2:$B1000))),Y$1,"""")"),"")</f>
        <v/>
      </c>
      <c r="Z463" s="33" t="str">
        <f>IFERROR(__xludf.DUMMYFUNCTION("IF(IF(Z$1="""","""",REGEXMATCH(LOWER($E463),XLOOKUP(Z$1,Metadata!$A$2:$A1000,Metadata!$B$2:$B1000))),Z$1,"""")"),"")</f>
        <v/>
      </c>
    </row>
    <row r="464">
      <c r="A464" s="33"/>
      <c r="B464" s="33" t="str">
        <f t="array" ref="B464">XLOOKUP($A464,Cards!$A$2:$A1000,Cards!$B$2:$I1000,"")</f>
        <v/>
      </c>
      <c r="C464" s="33"/>
      <c r="D464" s="33"/>
      <c r="E464" s="33"/>
      <c r="F464" s="33"/>
      <c r="G464" s="33"/>
      <c r="H464" s="33"/>
      <c r="I464" s="33"/>
      <c r="J464" s="33">
        <f>IFERROR(__xludf.DUMMYFUNCTION("LEN(REGEXREPLACE(XLOOKUP($A464,Cards!$A$2:$A1000,Cards!$H$2:$H1000,""""),"",\s"",""""))"),0.0)</f>
        <v>0</v>
      </c>
      <c r="K464" s="33" t="str">
        <f t="shared" si="1"/>
        <v>               </v>
      </c>
      <c r="L464" s="33" t="str">
        <f>IFERROR(__xludf.DUMMYFUNCTION("IF(IF(L$1="""","""",REGEXMATCH(LOWER($E464),XLOOKUP(L$1,Metadata!$A$2:$A1000,Metadata!$B$2:$B1000))),L$1,"""")"),"")</f>
        <v/>
      </c>
      <c r="M464" s="33" t="str">
        <f>IFERROR(__xludf.DUMMYFUNCTION("IF(IF(M$1="""","""",REGEXMATCH(LOWER($E464),XLOOKUP(M$1,Metadata!$A$2:$A1000,Metadata!$B$2:$B1000))),M$1,"""")"),"")</f>
        <v/>
      </c>
      <c r="N464" s="33" t="str">
        <f>IFERROR(__xludf.DUMMYFUNCTION("IF(IF(N$1="""","""",REGEXMATCH(LOWER($E464),XLOOKUP(N$1,Metadata!$A$2:$A1000,Metadata!$B$2:$B1000))),N$1,"""")"),"")</f>
        <v/>
      </c>
      <c r="O464" s="33" t="str">
        <f>IFERROR(__xludf.DUMMYFUNCTION("IF(IF(O$1="""","""",REGEXMATCH(LOWER($E464),XLOOKUP(O$1,Metadata!$A$2:$A1000,Metadata!$B$2:$B1000))),O$1,"""")"),"")</f>
        <v/>
      </c>
      <c r="P464" s="33" t="str">
        <f>IFERROR(__xludf.DUMMYFUNCTION("IF(IF(P$1="""","""",REGEXMATCH(LOWER($E464),XLOOKUP(P$1,Metadata!$A$2:$A1000,Metadata!$B$2:$B1000))),P$1,"""")"),"")</f>
        <v/>
      </c>
      <c r="Q464" s="33" t="str">
        <f>IFERROR(__xludf.DUMMYFUNCTION("IF(IF(Q$1="""","""",REGEXMATCH(LOWER($E464),XLOOKUP(Q$1,Metadata!$A$2:$A1000,Metadata!$B$2:$B1000))),Q$1,"""")"),"")</f>
        <v/>
      </c>
      <c r="R464" s="33" t="str">
        <f>IFERROR(__xludf.DUMMYFUNCTION("IF(IF(R$1="""","""",REGEXMATCH(LOWER($E464),XLOOKUP(R$1,Metadata!$A$2:$A1000,Metadata!$B$2:$B1000))),R$1,"""")"),"")</f>
        <v/>
      </c>
      <c r="S464" s="33" t="str">
        <f>IFERROR(__xludf.DUMMYFUNCTION("IF(IF(S$1="""","""",REGEXMATCH(LOWER($E464),XLOOKUP(S$1,Metadata!$A$2:$A1000,Metadata!$B$2:$B1000))),S$1,"""")"),"")</f>
        <v/>
      </c>
      <c r="T464" s="33" t="str">
        <f>IFERROR(__xludf.DUMMYFUNCTION("IF(IF(T$1="""","""",REGEXMATCH(LOWER($E464),XLOOKUP(T$1,Metadata!$A$2:$A1000,Metadata!$B$2:$B1000))),T$1,"""")"),"")</f>
        <v/>
      </c>
      <c r="U464" s="33" t="str">
        <f>IFERROR(__xludf.DUMMYFUNCTION("IF(IF(U$1="""","""",REGEXMATCH(LOWER($E464),XLOOKUP(U$1,Metadata!$A$2:$A1000,Metadata!$B$2:$B1000))),U$1,"""")"),"")</f>
        <v/>
      </c>
      <c r="V464" s="33" t="str">
        <f>IFERROR(__xludf.DUMMYFUNCTION("IF(IF(V$1="""","""",REGEXMATCH(LOWER($E464),XLOOKUP(V$1,Metadata!$A$2:$A1000,Metadata!$B$2:$B1000))),V$1,"""")"),"")</f>
        <v/>
      </c>
      <c r="W464" s="33" t="str">
        <f>IFERROR(__xludf.DUMMYFUNCTION("IF(IF(W$1="""","""",REGEXMATCH(LOWER($E464),XLOOKUP(W$1,Metadata!$A$2:$A1000,Metadata!$B$2:$B1000))),W$1,"""")"),"")</f>
        <v/>
      </c>
      <c r="X464" s="33" t="str">
        <f>IFERROR(__xludf.DUMMYFUNCTION("IF(IF(X$1="""","""",REGEXMATCH(LOWER($E464),XLOOKUP(X$1,Metadata!$A$2:$A1000,Metadata!$B$2:$B1000))),X$1,"""")"),"")</f>
        <v/>
      </c>
      <c r="Y464" s="33" t="str">
        <f>IFERROR(__xludf.DUMMYFUNCTION("IF(IF(Y$1="""","""",REGEXMATCH(LOWER($E464),XLOOKUP(Y$1,Metadata!$A$2:$A1000,Metadata!$B$2:$B1000))),Y$1,"""")"),"")</f>
        <v/>
      </c>
      <c r="Z464" s="33" t="str">
        <f>IFERROR(__xludf.DUMMYFUNCTION("IF(IF(Z$1="""","""",REGEXMATCH(LOWER($E464),XLOOKUP(Z$1,Metadata!$A$2:$A1000,Metadata!$B$2:$B1000))),Z$1,"""")"),"")</f>
        <v/>
      </c>
    </row>
    <row r="465">
      <c r="A465" s="33"/>
      <c r="B465" s="33" t="str">
        <f t="array" ref="B465">XLOOKUP($A465,Cards!$A$2:$A1000,Cards!$B$2:$I1000,"")</f>
        <v/>
      </c>
      <c r="C465" s="33"/>
      <c r="D465" s="33"/>
      <c r="E465" s="33"/>
      <c r="F465" s="33"/>
      <c r="G465" s="33"/>
      <c r="H465" s="33"/>
      <c r="I465" s="33"/>
      <c r="J465" s="33">
        <f>IFERROR(__xludf.DUMMYFUNCTION("LEN(REGEXREPLACE(XLOOKUP($A465,Cards!$A$2:$A1000,Cards!$H$2:$H1000,""""),"",\s"",""""))"),0.0)</f>
        <v>0</v>
      </c>
      <c r="K465" s="33" t="str">
        <f t="shared" si="1"/>
        <v>               </v>
      </c>
      <c r="L465" s="33" t="str">
        <f>IFERROR(__xludf.DUMMYFUNCTION("IF(IF(L$1="""","""",REGEXMATCH(LOWER($E465),XLOOKUP(L$1,Metadata!$A$2:$A1000,Metadata!$B$2:$B1000))),L$1,"""")"),"")</f>
        <v/>
      </c>
      <c r="M465" s="33" t="str">
        <f>IFERROR(__xludf.DUMMYFUNCTION("IF(IF(M$1="""","""",REGEXMATCH(LOWER($E465),XLOOKUP(M$1,Metadata!$A$2:$A1000,Metadata!$B$2:$B1000))),M$1,"""")"),"")</f>
        <v/>
      </c>
      <c r="N465" s="33" t="str">
        <f>IFERROR(__xludf.DUMMYFUNCTION("IF(IF(N$1="""","""",REGEXMATCH(LOWER($E465),XLOOKUP(N$1,Metadata!$A$2:$A1000,Metadata!$B$2:$B1000))),N$1,"""")"),"")</f>
        <v/>
      </c>
      <c r="O465" s="33" t="str">
        <f>IFERROR(__xludf.DUMMYFUNCTION("IF(IF(O$1="""","""",REGEXMATCH(LOWER($E465),XLOOKUP(O$1,Metadata!$A$2:$A1000,Metadata!$B$2:$B1000))),O$1,"""")"),"")</f>
        <v/>
      </c>
      <c r="P465" s="33" t="str">
        <f>IFERROR(__xludf.DUMMYFUNCTION("IF(IF(P$1="""","""",REGEXMATCH(LOWER($E465),XLOOKUP(P$1,Metadata!$A$2:$A1000,Metadata!$B$2:$B1000))),P$1,"""")"),"")</f>
        <v/>
      </c>
      <c r="Q465" s="33" t="str">
        <f>IFERROR(__xludf.DUMMYFUNCTION("IF(IF(Q$1="""","""",REGEXMATCH(LOWER($E465),XLOOKUP(Q$1,Metadata!$A$2:$A1000,Metadata!$B$2:$B1000))),Q$1,"""")"),"")</f>
        <v/>
      </c>
      <c r="R465" s="33" t="str">
        <f>IFERROR(__xludf.DUMMYFUNCTION("IF(IF(R$1="""","""",REGEXMATCH(LOWER($E465),XLOOKUP(R$1,Metadata!$A$2:$A1000,Metadata!$B$2:$B1000))),R$1,"""")"),"")</f>
        <v/>
      </c>
      <c r="S465" s="33" t="str">
        <f>IFERROR(__xludf.DUMMYFUNCTION("IF(IF(S$1="""","""",REGEXMATCH(LOWER($E465),XLOOKUP(S$1,Metadata!$A$2:$A1000,Metadata!$B$2:$B1000))),S$1,"""")"),"")</f>
        <v/>
      </c>
      <c r="T465" s="33" t="str">
        <f>IFERROR(__xludf.DUMMYFUNCTION("IF(IF(T$1="""","""",REGEXMATCH(LOWER($E465),XLOOKUP(T$1,Metadata!$A$2:$A1000,Metadata!$B$2:$B1000))),T$1,"""")"),"")</f>
        <v/>
      </c>
      <c r="U465" s="33" t="str">
        <f>IFERROR(__xludf.DUMMYFUNCTION("IF(IF(U$1="""","""",REGEXMATCH(LOWER($E465),XLOOKUP(U$1,Metadata!$A$2:$A1000,Metadata!$B$2:$B1000))),U$1,"""")"),"")</f>
        <v/>
      </c>
      <c r="V465" s="33" t="str">
        <f>IFERROR(__xludf.DUMMYFUNCTION("IF(IF(V$1="""","""",REGEXMATCH(LOWER($E465),XLOOKUP(V$1,Metadata!$A$2:$A1000,Metadata!$B$2:$B1000))),V$1,"""")"),"")</f>
        <v/>
      </c>
      <c r="W465" s="33" t="str">
        <f>IFERROR(__xludf.DUMMYFUNCTION("IF(IF(W$1="""","""",REGEXMATCH(LOWER($E465),XLOOKUP(W$1,Metadata!$A$2:$A1000,Metadata!$B$2:$B1000))),W$1,"""")"),"")</f>
        <v/>
      </c>
      <c r="X465" s="33" t="str">
        <f>IFERROR(__xludf.DUMMYFUNCTION("IF(IF(X$1="""","""",REGEXMATCH(LOWER($E465),XLOOKUP(X$1,Metadata!$A$2:$A1000,Metadata!$B$2:$B1000))),X$1,"""")"),"")</f>
        <v/>
      </c>
      <c r="Y465" s="33" t="str">
        <f>IFERROR(__xludf.DUMMYFUNCTION("IF(IF(Y$1="""","""",REGEXMATCH(LOWER($E465),XLOOKUP(Y$1,Metadata!$A$2:$A1000,Metadata!$B$2:$B1000))),Y$1,"""")"),"")</f>
        <v/>
      </c>
      <c r="Z465" s="33" t="str">
        <f>IFERROR(__xludf.DUMMYFUNCTION("IF(IF(Z$1="""","""",REGEXMATCH(LOWER($E465),XLOOKUP(Z$1,Metadata!$A$2:$A1000,Metadata!$B$2:$B1000))),Z$1,"""")"),"")</f>
        <v/>
      </c>
    </row>
    <row r="466">
      <c r="A466" s="33"/>
      <c r="B466" s="33" t="str">
        <f t="array" ref="B466">XLOOKUP($A466,Cards!$A$2:$A1000,Cards!$B$2:$I1000,"")</f>
        <v/>
      </c>
      <c r="C466" s="33"/>
      <c r="D466" s="33"/>
      <c r="E466" s="33"/>
      <c r="F466" s="33"/>
      <c r="G466" s="33"/>
      <c r="H466" s="33"/>
      <c r="I466" s="33"/>
      <c r="J466" s="33">
        <f>IFERROR(__xludf.DUMMYFUNCTION("LEN(REGEXREPLACE(XLOOKUP($A466,Cards!$A$2:$A1000,Cards!$H$2:$H1000,""""),"",\s"",""""))"),0.0)</f>
        <v>0</v>
      </c>
      <c r="K466" s="33" t="str">
        <f t="shared" si="1"/>
        <v>               </v>
      </c>
      <c r="L466" s="33" t="str">
        <f>IFERROR(__xludf.DUMMYFUNCTION("IF(IF(L$1="""","""",REGEXMATCH(LOWER($E466),XLOOKUP(L$1,Metadata!$A$2:$A1000,Metadata!$B$2:$B1000))),L$1,"""")"),"")</f>
        <v/>
      </c>
      <c r="M466" s="33" t="str">
        <f>IFERROR(__xludf.DUMMYFUNCTION("IF(IF(M$1="""","""",REGEXMATCH(LOWER($E466),XLOOKUP(M$1,Metadata!$A$2:$A1000,Metadata!$B$2:$B1000))),M$1,"""")"),"")</f>
        <v/>
      </c>
      <c r="N466" s="33" t="str">
        <f>IFERROR(__xludf.DUMMYFUNCTION("IF(IF(N$1="""","""",REGEXMATCH(LOWER($E466),XLOOKUP(N$1,Metadata!$A$2:$A1000,Metadata!$B$2:$B1000))),N$1,"""")"),"")</f>
        <v/>
      </c>
      <c r="O466" s="33" t="str">
        <f>IFERROR(__xludf.DUMMYFUNCTION("IF(IF(O$1="""","""",REGEXMATCH(LOWER($E466),XLOOKUP(O$1,Metadata!$A$2:$A1000,Metadata!$B$2:$B1000))),O$1,"""")"),"")</f>
        <v/>
      </c>
      <c r="P466" s="33" t="str">
        <f>IFERROR(__xludf.DUMMYFUNCTION("IF(IF(P$1="""","""",REGEXMATCH(LOWER($E466),XLOOKUP(P$1,Metadata!$A$2:$A1000,Metadata!$B$2:$B1000))),P$1,"""")"),"")</f>
        <v/>
      </c>
      <c r="Q466" s="33" t="str">
        <f>IFERROR(__xludf.DUMMYFUNCTION("IF(IF(Q$1="""","""",REGEXMATCH(LOWER($E466),XLOOKUP(Q$1,Metadata!$A$2:$A1000,Metadata!$B$2:$B1000))),Q$1,"""")"),"")</f>
        <v/>
      </c>
      <c r="R466" s="33" t="str">
        <f>IFERROR(__xludf.DUMMYFUNCTION("IF(IF(R$1="""","""",REGEXMATCH(LOWER($E466),XLOOKUP(R$1,Metadata!$A$2:$A1000,Metadata!$B$2:$B1000))),R$1,"""")"),"")</f>
        <v/>
      </c>
      <c r="S466" s="33" t="str">
        <f>IFERROR(__xludf.DUMMYFUNCTION("IF(IF(S$1="""","""",REGEXMATCH(LOWER($E466),XLOOKUP(S$1,Metadata!$A$2:$A1000,Metadata!$B$2:$B1000))),S$1,"""")"),"")</f>
        <v/>
      </c>
      <c r="T466" s="33" t="str">
        <f>IFERROR(__xludf.DUMMYFUNCTION("IF(IF(T$1="""","""",REGEXMATCH(LOWER($E466),XLOOKUP(T$1,Metadata!$A$2:$A1000,Metadata!$B$2:$B1000))),T$1,"""")"),"")</f>
        <v/>
      </c>
      <c r="U466" s="33" t="str">
        <f>IFERROR(__xludf.DUMMYFUNCTION("IF(IF(U$1="""","""",REGEXMATCH(LOWER($E466),XLOOKUP(U$1,Metadata!$A$2:$A1000,Metadata!$B$2:$B1000))),U$1,"""")"),"")</f>
        <v/>
      </c>
      <c r="V466" s="33" t="str">
        <f>IFERROR(__xludf.DUMMYFUNCTION("IF(IF(V$1="""","""",REGEXMATCH(LOWER($E466),XLOOKUP(V$1,Metadata!$A$2:$A1000,Metadata!$B$2:$B1000))),V$1,"""")"),"")</f>
        <v/>
      </c>
      <c r="W466" s="33" t="str">
        <f>IFERROR(__xludf.DUMMYFUNCTION("IF(IF(W$1="""","""",REGEXMATCH(LOWER($E466),XLOOKUP(W$1,Metadata!$A$2:$A1000,Metadata!$B$2:$B1000))),W$1,"""")"),"")</f>
        <v/>
      </c>
      <c r="X466" s="33" t="str">
        <f>IFERROR(__xludf.DUMMYFUNCTION("IF(IF(X$1="""","""",REGEXMATCH(LOWER($E466),XLOOKUP(X$1,Metadata!$A$2:$A1000,Metadata!$B$2:$B1000))),X$1,"""")"),"")</f>
        <v/>
      </c>
      <c r="Y466" s="33" t="str">
        <f>IFERROR(__xludf.DUMMYFUNCTION("IF(IF(Y$1="""","""",REGEXMATCH(LOWER($E466),XLOOKUP(Y$1,Metadata!$A$2:$A1000,Metadata!$B$2:$B1000))),Y$1,"""")"),"")</f>
        <v/>
      </c>
      <c r="Z466" s="33" t="str">
        <f>IFERROR(__xludf.DUMMYFUNCTION("IF(IF(Z$1="""","""",REGEXMATCH(LOWER($E466),XLOOKUP(Z$1,Metadata!$A$2:$A1000,Metadata!$B$2:$B1000))),Z$1,"""")"),"")</f>
        <v/>
      </c>
    </row>
    <row r="467">
      <c r="A467" s="33"/>
      <c r="B467" s="33" t="str">
        <f t="array" ref="B467">XLOOKUP($A467,Cards!$A$2:$A1000,Cards!$B$2:$I1000,"")</f>
        <v/>
      </c>
      <c r="C467" s="33"/>
      <c r="D467" s="33"/>
      <c r="E467" s="33"/>
      <c r="F467" s="33"/>
      <c r="G467" s="33"/>
      <c r="H467" s="33"/>
      <c r="I467" s="33"/>
      <c r="J467" s="33">
        <f>IFERROR(__xludf.DUMMYFUNCTION("LEN(REGEXREPLACE(XLOOKUP($A467,Cards!$A$2:$A1000,Cards!$H$2:$H1000,""""),"",\s"",""""))"),0.0)</f>
        <v>0</v>
      </c>
      <c r="K467" s="33" t="str">
        <f t="shared" si="1"/>
        <v>               </v>
      </c>
      <c r="L467" s="33" t="str">
        <f>IFERROR(__xludf.DUMMYFUNCTION("IF(IF(L$1="""","""",REGEXMATCH(LOWER($E467),XLOOKUP(L$1,Metadata!$A$2:$A1000,Metadata!$B$2:$B1000))),L$1,"""")"),"")</f>
        <v/>
      </c>
      <c r="M467" s="33" t="str">
        <f>IFERROR(__xludf.DUMMYFUNCTION("IF(IF(M$1="""","""",REGEXMATCH(LOWER($E467),XLOOKUP(M$1,Metadata!$A$2:$A1000,Metadata!$B$2:$B1000))),M$1,"""")"),"")</f>
        <v/>
      </c>
      <c r="N467" s="33" t="str">
        <f>IFERROR(__xludf.DUMMYFUNCTION("IF(IF(N$1="""","""",REGEXMATCH(LOWER($E467),XLOOKUP(N$1,Metadata!$A$2:$A1000,Metadata!$B$2:$B1000))),N$1,"""")"),"")</f>
        <v/>
      </c>
      <c r="O467" s="33" t="str">
        <f>IFERROR(__xludf.DUMMYFUNCTION("IF(IF(O$1="""","""",REGEXMATCH(LOWER($E467),XLOOKUP(O$1,Metadata!$A$2:$A1000,Metadata!$B$2:$B1000))),O$1,"""")"),"")</f>
        <v/>
      </c>
      <c r="P467" s="33" t="str">
        <f>IFERROR(__xludf.DUMMYFUNCTION("IF(IF(P$1="""","""",REGEXMATCH(LOWER($E467),XLOOKUP(P$1,Metadata!$A$2:$A1000,Metadata!$B$2:$B1000))),P$1,"""")"),"")</f>
        <v/>
      </c>
      <c r="Q467" s="33" t="str">
        <f>IFERROR(__xludf.DUMMYFUNCTION("IF(IF(Q$1="""","""",REGEXMATCH(LOWER($E467),XLOOKUP(Q$1,Metadata!$A$2:$A1000,Metadata!$B$2:$B1000))),Q$1,"""")"),"")</f>
        <v/>
      </c>
      <c r="R467" s="33" t="str">
        <f>IFERROR(__xludf.DUMMYFUNCTION("IF(IF(R$1="""","""",REGEXMATCH(LOWER($E467),XLOOKUP(R$1,Metadata!$A$2:$A1000,Metadata!$B$2:$B1000))),R$1,"""")"),"")</f>
        <v/>
      </c>
      <c r="S467" s="33" t="str">
        <f>IFERROR(__xludf.DUMMYFUNCTION("IF(IF(S$1="""","""",REGEXMATCH(LOWER($E467),XLOOKUP(S$1,Metadata!$A$2:$A1000,Metadata!$B$2:$B1000))),S$1,"""")"),"")</f>
        <v/>
      </c>
      <c r="T467" s="33" t="str">
        <f>IFERROR(__xludf.DUMMYFUNCTION("IF(IF(T$1="""","""",REGEXMATCH(LOWER($E467),XLOOKUP(T$1,Metadata!$A$2:$A1000,Metadata!$B$2:$B1000))),T$1,"""")"),"")</f>
        <v/>
      </c>
      <c r="U467" s="33" t="str">
        <f>IFERROR(__xludf.DUMMYFUNCTION("IF(IF(U$1="""","""",REGEXMATCH(LOWER($E467),XLOOKUP(U$1,Metadata!$A$2:$A1000,Metadata!$B$2:$B1000))),U$1,"""")"),"")</f>
        <v/>
      </c>
      <c r="V467" s="33" t="str">
        <f>IFERROR(__xludf.DUMMYFUNCTION("IF(IF(V$1="""","""",REGEXMATCH(LOWER($E467),XLOOKUP(V$1,Metadata!$A$2:$A1000,Metadata!$B$2:$B1000))),V$1,"""")"),"")</f>
        <v/>
      </c>
      <c r="W467" s="33" t="str">
        <f>IFERROR(__xludf.DUMMYFUNCTION("IF(IF(W$1="""","""",REGEXMATCH(LOWER($E467),XLOOKUP(W$1,Metadata!$A$2:$A1000,Metadata!$B$2:$B1000))),W$1,"""")"),"")</f>
        <v/>
      </c>
      <c r="X467" s="33" t="str">
        <f>IFERROR(__xludf.DUMMYFUNCTION("IF(IF(X$1="""","""",REGEXMATCH(LOWER($E467),XLOOKUP(X$1,Metadata!$A$2:$A1000,Metadata!$B$2:$B1000))),X$1,"""")"),"")</f>
        <v/>
      </c>
      <c r="Y467" s="33" t="str">
        <f>IFERROR(__xludf.DUMMYFUNCTION("IF(IF(Y$1="""","""",REGEXMATCH(LOWER($E467),XLOOKUP(Y$1,Metadata!$A$2:$A1000,Metadata!$B$2:$B1000))),Y$1,"""")"),"")</f>
        <v/>
      </c>
      <c r="Z467" s="33" t="str">
        <f>IFERROR(__xludf.DUMMYFUNCTION("IF(IF(Z$1="""","""",REGEXMATCH(LOWER($E467),XLOOKUP(Z$1,Metadata!$A$2:$A1000,Metadata!$B$2:$B1000))),Z$1,"""")"),"")</f>
        <v/>
      </c>
    </row>
    <row r="468">
      <c r="A468" s="33"/>
      <c r="B468" s="33" t="str">
        <f t="array" ref="B468">XLOOKUP($A468,Cards!$A$2:$A1000,Cards!$B$2:$I1000,"")</f>
        <v/>
      </c>
      <c r="C468" s="33"/>
      <c r="D468" s="33"/>
      <c r="E468" s="33"/>
      <c r="F468" s="33"/>
      <c r="G468" s="33"/>
      <c r="H468" s="33"/>
      <c r="I468" s="33"/>
      <c r="J468" s="33">
        <f>IFERROR(__xludf.DUMMYFUNCTION("LEN(REGEXREPLACE(XLOOKUP($A468,Cards!$A$2:$A1000,Cards!$H$2:$H1000,""""),"",\s"",""""))"),0.0)</f>
        <v>0</v>
      </c>
      <c r="K468" s="33" t="str">
        <f t="shared" si="1"/>
        <v>               </v>
      </c>
      <c r="L468" s="33" t="str">
        <f>IFERROR(__xludf.DUMMYFUNCTION("IF(IF(L$1="""","""",REGEXMATCH(LOWER($E468),XLOOKUP(L$1,Metadata!$A$2:$A1000,Metadata!$B$2:$B1000))),L$1,"""")"),"")</f>
        <v/>
      </c>
      <c r="M468" s="33" t="str">
        <f>IFERROR(__xludf.DUMMYFUNCTION("IF(IF(M$1="""","""",REGEXMATCH(LOWER($E468),XLOOKUP(M$1,Metadata!$A$2:$A1000,Metadata!$B$2:$B1000))),M$1,"""")"),"")</f>
        <v/>
      </c>
      <c r="N468" s="33" t="str">
        <f>IFERROR(__xludf.DUMMYFUNCTION("IF(IF(N$1="""","""",REGEXMATCH(LOWER($E468),XLOOKUP(N$1,Metadata!$A$2:$A1000,Metadata!$B$2:$B1000))),N$1,"""")"),"")</f>
        <v/>
      </c>
      <c r="O468" s="33" t="str">
        <f>IFERROR(__xludf.DUMMYFUNCTION("IF(IF(O$1="""","""",REGEXMATCH(LOWER($E468),XLOOKUP(O$1,Metadata!$A$2:$A1000,Metadata!$B$2:$B1000))),O$1,"""")"),"")</f>
        <v/>
      </c>
      <c r="P468" s="33" t="str">
        <f>IFERROR(__xludf.DUMMYFUNCTION("IF(IF(P$1="""","""",REGEXMATCH(LOWER($E468),XLOOKUP(P$1,Metadata!$A$2:$A1000,Metadata!$B$2:$B1000))),P$1,"""")"),"")</f>
        <v/>
      </c>
      <c r="Q468" s="33" t="str">
        <f>IFERROR(__xludf.DUMMYFUNCTION("IF(IF(Q$1="""","""",REGEXMATCH(LOWER($E468),XLOOKUP(Q$1,Metadata!$A$2:$A1000,Metadata!$B$2:$B1000))),Q$1,"""")"),"")</f>
        <v/>
      </c>
      <c r="R468" s="33" t="str">
        <f>IFERROR(__xludf.DUMMYFUNCTION("IF(IF(R$1="""","""",REGEXMATCH(LOWER($E468),XLOOKUP(R$1,Metadata!$A$2:$A1000,Metadata!$B$2:$B1000))),R$1,"""")"),"")</f>
        <v/>
      </c>
      <c r="S468" s="33" t="str">
        <f>IFERROR(__xludf.DUMMYFUNCTION("IF(IF(S$1="""","""",REGEXMATCH(LOWER($E468),XLOOKUP(S$1,Metadata!$A$2:$A1000,Metadata!$B$2:$B1000))),S$1,"""")"),"")</f>
        <v/>
      </c>
      <c r="T468" s="33" t="str">
        <f>IFERROR(__xludf.DUMMYFUNCTION("IF(IF(T$1="""","""",REGEXMATCH(LOWER($E468),XLOOKUP(T$1,Metadata!$A$2:$A1000,Metadata!$B$2:$B1000))),T$1,"""")"),"")</f>
        <v/>
      </c>
      <c r="U468" s="33" t="str">
        <f>IFERROR(__xludf.DUMMYFUNCTION("IF(IF(U$1="""","""",REGEXMATCH(LOWER($E468),XLOOKUP(U$1,Metadata!$A$2:$A1000,Metadata!$B$2:$B1000))),U$1,"""")"),"")</f>
        <v/>
      </c>
      <c r="V468" s="33" t="str">
        <f>IFERROR(__xludf.DUMMYFUNCTION("IF(IF(V$1="""","""",REGEXMATCH(LOWER($E468),XLOOKUP(V$1,Metadata!$A$2:$A1000,Metadata!$B$2:$B1000))),V$1,"""")"),"")</f>
        <v/>
      </c>
      <c r="W468" s="33" t="str">
        <f>IFERROR(__xludf.DUMMYFUNCTION("IF(IF(W$1="""","""",REGEXMATCH(LOWER($E468),XLOOKUP(W$1,Metadata!$A$2:$A1000,Metadata!$B$2:$B1000))),W$1,"""")"),"")</f>
        <v/>
      </c>
      <c r="X468" s="33" t="str">
        <f>IFERROR(__xludf.DUMMYFUNCTION("IF(IF(X$1="""","""",REGEXMATCH(LOWER($E468),XLOOKUP(X$1,Metadata!$A$2:$A1000,Metadata!$B$2:$B1000))),X$1,"""")"),"")</f>
        <v/>
      </c>
      <c r="Y468" s="33" t="str">
        <f>IFERROR(__xludf.DUMMYFUNCTION("IF(IF(Y$1="""","""",REGEXMATCH(LOWER($E468),XLOOKUP(Y$1,Metadata!$A$2:$A1000,Metadata!$B$2:$B1000))),Y$1,"""")"),"")</f>
        <v/>
      </c>
      <c r="Z468" s="33" t="str">
        <f>IFERROR(__xludf.DUMMYFUNCTION("IF(IF(Z$1="""","""",REGEXMATCH(LOWER($E468),XLOOKUP(Z$1,Metadata!$A$2:$A1000,Metadata!$B$2:$B1000))),Z$1,"""")"),"")</f>
        <v/>
      </c>
    </row>
    <row r="469">
      <c r="A469" s="33"/>
      <c r="B469" s="33" t="str">
        <f t="array" ref="B469">XLOOKUP($A469,Cards!$A$2:$A1000,Cards!$B$2:$I1000,"")</f>
        <v/>
      </c>
      <c r="C469" s="33"/>
      <c r="D469" s="33"/>
      <c r="E469" s="33"/>
      <c r="F469" s="33"/>
      <c r="G469" s="33"/>
      <c r="H469" s="33"/>
      <c r="I469" s="33"/>
      <c r="J469" s="33">
        <f>IFERROR(__xludf.DUMMYFUNCTION("LEN(REGEXREPLACE(XLOOKUP($A469,Cards!$A$2:$A1000,Cards!$H$2:$H1000,""""),"",\s"",""""))"),0.0)</f>
        <v>0</v>
      </c>
      <c r="K469" s="33" t="str">
        <f t="shared" si="1"/>
        <v>               </v>
      </c>
      <c r="L469" s="33" t="str">
        <f>IFERROR(__xludf.DUMMYFUNCTION("IF(IF(L$1="""","""",REGEXMATCH(LOWER($E469),XLOOKUP(L$1,Metadata!$A$2:$A1000,Metadata!$B$2:$B1000))),L$1,"""")"),"")</f>
        <v/>
      </c>
      <c r="M469" s="33" t="str">
        <f>IFERROR(__xludf.DUMMYFUNCTION("IF(IF(M$1="""","""",REGEXMATCH(LOWER($E469),XLOOKUP(M$1,Metadata!$A$2:$A1000,Metadata!$B$2:$B1000))),M$1,"""")"),"")</f>
        <v/>
      </c>
      <c r="N469" s="33" t="str">
        <f>IFERROR(__xludf.DUMMYFUNCTION("IF(IF(N$1="""","""",REGEXMATCH(LOWER($E469),XLOOKUP(N$1,Metadata!$A$2:$A1000,Metadata!$B$2:$B1000))),N$1,"""")"),"")</f>
        <v/>
      </c>
      <c r="O469" s="33" t="str">
        <f>IFERROR(__xludf.DUMMYFUNCTION("IF(IF(O$1="""","""",REGEXMATCH(LOWER($E469),XLOOKUP(O$1,Metadata!$A$2:$A1000,Metadata!$B$2:$B1000))),O$1,"""")"),"")</f>
        <v/>
      </c>
      <c r="P469" s="33" t="str">
        <f>IFERROR(__xludf.DUMMYFUNCTION("IF(IF(P$1="""","""",REGEXMATCH(LOWER($E469),XLOOKUP(P$1,Metadata!$A$2:$A1000,Metadata!$B$2:$B1000))),P$1,"""")"),"")</f>
        <v/>
      </c>
      <c r="Q469" s="33" t="str">
        <f>IFERROR(__xludf.DUMMYFUNCTION("IF(IF(Q$1="""","""",REGEXMATCH(LOWER($E469),XLOOKUP(Q$1,Metadata!$A$2:$A1000,Metadata!$B$2:$B1000))),Q$1,"""")"),"")</f>
        <v/>
      </c>
      <c r="R469" s="33" t="str">
        <f>IFERROR(__xludf.DUMMYFUNCTION("IF(IF(R$1="""","""",REGEXMATCH(LOWER($E469),XLOOKUP(R$1,Metadata!$A$2:$A1000,Metadata!$B$2:$B1000))),R$1,"""")"),"")</f>
        <v/>
      </c>
      <c r="S469" s="33" t="str">
        <f>IFERROR(__xludf.DUMMYFUNCTION("IF(IF(S$1="""","""",REGEXMATCH(LOWER($E469),XLOOKUP(S$1,Metadata!$A$2:$A1000,Metadata!$B$2:$B1000))),S$1,"""")"),"")</f>
        <v/>
      </c>
      <c r="T469" s="33" t="str">
        <f>IFERROR(__xludf.DUMMYFUNCTION("IF(IF(T$1="""","""",REGEXMATCH(LOWER($E469),XLOOKUP(T$1,Metadata!$A$2:$A1000,Metadata!$B$2:$B1000))),T$1,"""")"),"")</f>
        <v/>
      </c>
      <c r="U469" s="33" t="str">
        <f>IFERROR(__xludf.DUMMYFUNCTION("IF(IF(U$1="""","""",REGEXMATCH(LOWER($E469),XLOOKUP(U$1,Metadata!$A$2:$A1000,Metadata!$B$2:$B1000))),U$1,"""")"),"")</f>
        <v/>
      </c>
      <c r="V469" s="33" t="str">
        <f>IFERROR(__xludf.DUMMYFUNCTION("IF(IF(V$1="""","""",REGEXMATCH(LOWER($E469),XLOOKUP(V$1,Metadata!$A$2:$A1000,Metadata!$B$2:$B1000))),V$1,"""")"),"")</f>
        <v/>
      </c>
      <c r="W469" s="33" t="str">
        <f>IFERROR(__xludf.DUMMYFUNCTION("IF(IF(W$1="""","""",REGEXMATCH(LOWER($E469),XLOOKUP(W$1,Metadata!$A$2:$A1000,Metadata!$B$2:$B1000))),W$1,"""")"),"")</f>
        <v/>
      </c>
      <c r="X469" s="33" t="str">
        <f>IFERROR(__xludf.DUMMYFUNCTION("IF(IF(X$1="""","""",REGEXMATCH(LOWER($E469),XLOOKUP(X$1,Metadata!$A$2:$A1000,Metadata!$B$2:$B1000))),X$1,"""")"),"")</f>
        <v/>
      </c>
      <c r="Y469" s="33" t="str">
        <f>IFERROR(__xludf.DUMMYFUNCTION("IF(IF(Y$1="""","""",REGEXMATCH(LOWER($E469),XLOOKUP(Y$1,Metadata!$A$2:$A1000,Metadata!$B$2:$B1000))),Y$1,"""")"),"")</f>
        <v/>
      </c>
      <c r="Z469" s="33" t="str">
        <f>IFERROR(__xludf.DUMMYFUNCTION("IF(IF(Z$1="""","""",REGEXMATCH(LOWER($E469),XLOOKUP(Z$1,Metadata!$A$2:$A1000,Metadata!$B$2:$B1000))),Z$1,"""")"),"")</f>
        <v/>
      </c>
    </row>
    <row r="470">
      <c r="A470" s="33"/>
      <c r="B470" s="33" t="str">
        <f t="array" ref="B470">XLOOKUP($A470,Cards!$A$2:$A1000,Cards!$B$2:$I1000,"")</f>
        <v/>
      </c>
      <c r="C470" s="33"/>
      <c r="D470" s="33"/>
      <c r="E470" s="33"/>
      <c r="F470" s="33"/>
      <c r="G470" s="33"/>
      <c r="H470" s="33"/>
      <c r="I470" s="33"/>
      <c r="J470" s="33">
        <f>IFERROR(__xludf.DUMMYFUNCTION("LEN(REGEXREPLACE(XLOOKUP($A470,Cards!$A$2:$A1000,Cards!$H$2:$H1000,""""),"",\s"",""""))"),0.0)</f>
        <v>0</v>
      </c>
      <c r="K470" s="33" t="str">
        <f t="shared" si="1"/>
        <v>               </v>
      </c>
      <c r="L470" s="33" t="str">
        <f>IFERROR(__xludf.DUMMYFUNCTION("IF(IF(L$1="""","""",REGEXMATCH(LOWER($E470),XLOOKUP(L$1,Metadata!$A$2:$A1000,Metadata!$B$2:$B1000))),L$1,"""")"),"")</f>
        <v/>
      </c>
      <c r="M470" s="33" t="str">
        <f>IFERROR(__xludf.DUMMYFUNCTION("IF(IF(M$1="""","""",REGEXMATCH(LOWER($E470),XLOOKUP(M$1,Metadata!$A$2:$A1000,Metadata!$B$2:$B1000))),M$1,"""")"),"")</f>
        <v/>
      </c>
      <c r="N470" s="33" t="str">
        <f>IFERROR(__xludf.DUMMYFUNCTION("IF(IF(N$1="""","""",REGEXMATCH(LOWER($E470),XLOOKUP(N$1,Metadata!$A$2:$A1000,Metadata!$B$2:$B1000))),N$1,"""")"),"")</f>
        <v/>
      </c>
      <c r="O470" s="33" t="str">
        <f>IFERROR(__xludf.DUMMYFUNCTION("IF(IF(O$1="""","""",REGEXMATCH(LOWER($E470),XLOOKUP(O$1,Metadata!$A$2:$A1000,Metadata!$B$2:$B1000))),O$1,"""")"),"")</f>
        <v/>
      </c>
      <c r="P470" s="33" t="str">
        <f>IFERROR(__xludf.DUMMYFUNCTION("IF(IF(P$1="""","""",REGEXMATCH(LOWER($E470),XLOOKUP(P$1,Metadata!$A$2:$A1000,Metadata!$B$2:$B1000))),P$1,"""")"),"")</f>
        <v/>
      </c>
      <c r="Q470" s="33" t="str">
        <f>IFERROR(__xludf.DUMMYFUNCTION("IF(IF(Q$1="""","""",REGEXMATCH(LOWER($E470),XLOOKUP(Q$1,Metadata!$A$2:$A1000,Metadata!$B$2:$B1000))),Q$1,"""")"),"")</f>
        <v/>
      </c>
      <c r="R470" s="33" t="str">
        <f>IFERROR(__xludf.DUMMYFUNCTION("IF(IF(R$1="""","""",REGEXMATCH(LOWER($E470),XLOOKUP(R$1,Metadata!$A$2:$A1000,Metadata!$B$2:$B1000))),R$1,"""")"),"")</f>
        <v/>
      </c>
      <c r="S470" s="33" t="str">
        <f>IFERROR(__xludf.DUMMYFUNCTION("IF(IF(S$1="""","""",REGEXMATCH(LOWER($E470),XLOOKUP(S$1,Metadata!$A$2:$A1000,Metadata!$B$2:$B1000))),S$1,"""")"),"")</f>
        <v/>
      </c>
      <c r="T470" s="33" t="str">
        <f>IFERROR(__xludf.DUMMYFUNCTION("IF(IF(T$1="""","""",REGEXMATCH(LOWER($E470),XLOOKUP(T$1,Metadata!$A$2:$A1000,Metadata!$B$2:$B1000))),T$1,"""")"),"")</f>
        <v/>
      </c>
      <c r="U470" s="33" t="str">
        <f>IFERROR(__xludf.DUMMYFUNCTION("IF(IF(U$1="""","""",REGEXMATCH(LOWER($E470),XLOOKUP(U$1,Metadata!$A$2:$A1000,Metadata!$B$2:$B1000))),U$1,"""")"),"")</f>
        <v/>
      </c>
      <c r="V470" s="33" t="str">
        <f>IFERROR(__xludf.DUMMYFUNCTION("IF(IF(V$1="""","""",REGEXMATCH(LOWER($E470),XLOOKUP(V$1,Metadata!$A$2:$A1000,Metadata!$B$2:$B1000))),V$1,"""")"),"")</f>
        <v/>
      </c>
      <c r="W470" s="33" t="str">
        <f>IFERROR(__xludf.DUMMYFUNCTION("IF(IF(W$1="""","""",REGEXMATCH(LOWER($E470),XLOOKUP(W$1,Metadata!$A$2:$A1000,Metadata!$B$2:$B1000))),W$1,"""")"),"")</f>
        <v/>
      </c>
      <c r="X470" s="33" t="str">
        <f>IFERROR(__xludf.DUMMYFUNCTION("IF(IF(X$1="""","""",REGEXMATCH(LOWER($E470),XLOOKUP(X$1,Metadata!$A$2:$A1000,Metadata!$B$2:$B1000))),X$1,"""")"),"")</f>
        <v/>
      </c>
      <c r="Y470" s="33" t="str">
        <f>IFERROR(__xludf.DUMMYFUNCTION("IF(IF(Y$1="""","""",REGEXMATCH(LOWER($E470),XLOOKUP(Y$1,Metadata!$A$2:$A1000,Metadata!$B$2:$B1000))),Y$1,"""")"),"")</f>
        <v/>
      </c>
      <c r="Z470" s="33" t="str">
        <f>IFERROR(__xludf.DUMMYFUNCTION("IF(IF(Z$1="""","""",REGEXMATCH(LOWER($E470),XLOOKUP(Z$1,Metadata!$A$2:$A1000,Metadata!$B$2:$B1000))),Z$1,"""")"),"")</f>
        <v/>
      </c>
    </row>
    <row r="471">
      <c r="A471" s="33"/>
      <c r="B471" s="33" t="str">
        <f t="array" ref="B471">XLOOKUP($A471,Cards!$A$2:$A1000,Cards!$B$2:$I1000,"")</f>
        <v/>
      </c>
      <c r="C471" s="33"/>
      <c r="D471" s="33"/>
      <c r="E471" s="33"/>
      <c r="F471" s="33"/>
      <c r="G471" s="33"/>
      <c r="H471" s="33"/>
      <c r="I471" s="33"/>
      <c r="J471" s="33">
        <f>IFERROR(__xludf.DUMMYFUNCTION("LEN(REGEXREPLACE(XLOOKUP($A471,Cards!$A$2:$A1000,Cards!$H$2:$H1000,""""),"",\s"",""""))"),0.0)</f>
        <v>0</v>
      </c>
      <c r="K471" s="33" t="str">
        <f t="shared" si="1"/>
        <v>               </v>
      </c>
      <c r="L471" s="33" t="str">
        <f>IFERROR(__xludf.DUMMYFUNCTION("IF(IF(L$1="""","""",REGEXMATCH(LOWER($E471),XLOOKUP(L$1,Metadata!$A$2:$A1000,Metadata!$B$2:$B1000))),L$1,"""")"),"")</f>
        <v/>
      </c>
      <c r="M471" s="33" t="str">
        <f>IFERROR(__xludf.DUMMYFUNCTION("IF(IF(M$1="""","""",REGEXMATCH(LOWER($E471),XLOOKUP(M$1,Metadata!$A$2:$A1000,Metadata!$B$2:$B1000))),M$1,"""")"),"")</f>
        <v/>
      </c>
      <c r="N471" s="33" t="str">
        <f>IFERROR(__xludf.DUMMYFUNCTION("IF(IF(N$1="""","""",REGEXMATCH(LOWER($E471),XLOOKUP(N$1,Metadata!$A$2:$A1000,Metadata!$B$2:$B1000))),N$1,"""")"),"")</f>
        <v/>
      </c>
      <c r="O471" s="33" t="str">
        <f>IFERROR(__xludf.DUMMYFUNCTION("IF(IF(O$1="""","""",REGEXMATCH(LOWER($E471),XLOOKUP(O$1,Metadata!$A$2:$A1000,Metadata!$B$2:$B1000))),O$1,"""")"),"")</f>
        <v/>
      </c>
      <c r="P471" s="33" t="str">
        <f>IFERROR(__xludf.DUMMYFUNCTION("IF(IF(P$1="""","""",REGEXMATCH(LOWER($E471),XLOOKUP(P$1,Metadata!$A$2:$A1000,Metadata!$B$2:$B1000))),P$1,"""")"),"")</f>
        <v/>
      </c>
      <c r="Q471" s="33" t="str">
        <f>IFERROR(__xludf.DUMMYFUNCTION("IF(IF(Q$1="""","""",REGEXMATCH(LOWER($E471),XLOOKUP(Q$1,Metadata!$A$2:$A1000,Metadata!$B$2:$B1000))),Q$1,"""")"),"")</f>
        <v/>
      </c>
      <c r="R471" s="33" t="str">
        <f>IFERROR(__xludf.DUMMYFUNCTION("IF(IF(R$1="""","""",REGEXMATCH(LOWER($E471),XLOOKUP(R$1,Metadata!$A$2:$A1000,Metadata!$B$2:$B1000))),R$1,"""")"),"")</f>
        <v/>
      </c>
      <c r="S471" s="33" t="str">
        <f>IFERROR(__xludf.DUMMYFUNCTION("IF(IF(S$1="""","""",REGEXMATCH(LOWER($E471),XLOOKUP(S$1,Metadata!$A$2:$A1000,Metadata!$B$2:$B1000))),S$1,"""")"),"")</f>
        <v/>
      </c>
      <c r="T471" s="33" t="str">
        <f>IFERROR(__xludf.DUMMYFUNCTION("IF(IF(T$1="""","""",REGEXMATCH(LOWER($E471),XLOOKUP(T$1,Metadata!$A$2:$A1000,Metadata!$B$2:$B1000))),T$1,"""")"),"")</f>
        <v/>
      </c>
      <c r="U471" s="33" t="str">
        <f>IFERROR(__xludf.DUMMYFUNCTION("IF(IF(U$1="""","""",REGEXMATCH(LOWER($E471),XLOOKUP(U$1,Metadata!$A$2:$A1000,Metadata!$B$2:$B1000))),U$1,"""")"),"")</f>
        <v/>
      </c>
      <c r="V471" s="33" t="str">
        <f>IFERROR(__xludf.DUMMYFUNCTION("IF(IF(V$1="""","""",REGEXMATCH(LOWER($E471),XLOOKUP(V$1,Metadata!$A$2:$A1000,Metadata!$B$2:$B1000))),V$1,"""")"),"")</f>
        <v/>
      </c>
      <c r="W471" s="33" t="str">
        <f>IFERROR(__xludf.DUMMYFUNCTION("IF(IF(W$1="""","""",REGEXMATCH(LOWER($E471),XLOOKUP(W$1,Metadata!$A$2:$A1000,Metadata!$B$2:$B1000))),W$1,"""")"),"")</f>
        <v/>
      </c>
      <c r="X471" s="33" t="str">
        <f>IFERROR(__xludf.DUMMYFUNCTION("IF(IF(X$1="""","""",REGEXMATCH(LOWER($E471),XLOOKUP(X$1,Metadata!$A$2:$A1000,Metadata!$B$2:$B1000))),X$1,"""")"),"")</f>
        <v/>
      </c>
      <c r="Y471" s="33" t="str">
        <f>IFERROR(__xludf.DUMMYFUNCTION("IF(IF(Y$1="""","""",REGEXMATCH(LOWER($E471),XLOOKUP(Y$1,Metadata!$A$2:$A1000,Metadata!$B$2:$B1000))),Y$1,"""")"),"")</f>
        <v/>
      </c>
      <c r="Z471" s="33" t="str">
        <f>IFERROR(__xludf.DUMMYFUNCTION("IF(IF(Z$1="""","""",REGEXMATCH(LOWER($E471),XLOOKUP(Z$1,Metadata!$A$2:$A1000,Metadata!$B$2:$B1000))),Z$1,"""")"),"")</f>
        <v/>
      </c>
    </row>
    <row r="472">
      <c r="A472" s="33"/>
      <c r="B472" s="33" t="str">
        <f t="array" ref="B472">XLOOKUP($A472,Cards!$A$2:$A1000,Cards!$B$2:$I1000,"")</f>
        <v/>
      </c>
      <c r="C472" s="33"/>
      <c r="D472" s="33"/>
      <c r="E472" s="33"/>
      <c r="F472" s="33"/>
      <c r="G472" s="33"/>
      <c r="H472" s="33"/>
      <c r="I472" s="33"/>
      <c r="J472" s="33">
        <f>IFERROR(__xludf.DUMMYFUNCTION("LEN(REGEXREPLACE(XLOOKUP($A472,Cards!$A$2:$A1000,Cards!$H$2:$H1000,""""),"",\s"",""""))"),0.0)</f>
        <v>0</v>
      </c>
      <c r="K472" s="33" t="str">
        <f t="shared" si="1"/>
        <v>               </v>
      </c>
      <c r="L472" s="33" t="str">
        <f>IFERROR(__xludf.DUMMYFUNCTION("IF(IF(L$1="""","""",REGEXMATCH(LOWER($E472),XLOOKUP(L$1,Metadata!$A$2:$A1000,Metadata!$B$2:$B1000))),L$1,"""")"),"")</f>
        <v/>
      </c>
      <c r="M472" s="33" t="str">
        <f>IFERROR(__xludf.DUMMYFUNCTION("IF(IF(M$1="""","""",REGEXMATCH(LOWER($E472),XLOOKUP(M$1,Metadata!$A$2:$A1000,Metadata!$B$2:$B1000))),M$1,"""")"),"")</f>
        <v/>
      </c>
      <c r="N472" s="33" t="str">
        <f>IFERROR(__xludf.DUMMYFUNCTION("IF(IF(N$1="""","""",REGEXMATCH(LOWER($E472),XLOOKUP(N$1,Metadata!$A$2:$A1000,Metadata!$B$2:$B1000))),N$1,"""")"),"")</f>
        <v/>
      </c>
      <c r="O472" s="33" t="str">
        <f>IFERROR(__xludf.DUMMYFUNCTION("IF(IF(O$1="""","""",REGEXMATCH(LOWER($E472),XLOOKUP(O$1,Metadata!$A$2:$A1000,Metadata!$B$2:$B1000))),O$1,"""")"),"")</f>
        <v/>
      </c>
      <c r="P472" s="33" t="str">
        <f>IFERROR(__xludf.DUMMYFUNCTION("IF(IF(P$1="""","""",REGEXMATCH(LOWER($E472),XLOOKUP(P$1,Metadata!$A$2:$A1000,Metadata!$B$2:$B1000))),P$1,"""")"),"")</f>
        <v/>
      </c>
      <c r="Q472" s="33" t="str">
        <f>IFERROR(__xludf.DUMMYFUNCTION("IF(IF(Q$1="""","""",REGEXMATCH(LOWER($E472),XLOOKUP(Q$1,Metadata!$A$2:$A1000,Metadata!$B$2:$B1000))),Q$1,"""")"),"")</f>
        <v/>
      </c>
      <c r="R472" s="33" t="str">
        <f>IFERROR(__xludf.DUMMYFUNCTION("IF(IF(R$1="""","""",REGEXMATCH(LOWER($E472),XLOOKUP(R$1,Metadata!$A$2:$A1000,Metadata!$B$2:$B1000))),R$1,"""")"),"")</f>
        <v/>
      </c>
      <c r="S472" s="33" t="str">
        <f>IFERROR(__xludf.DUMMYFUNCTION("IF(IF(S$1="""","""",REGEXMATCH(LOWER($E472),XLOOKUP(S$1,Metadata!$A$2:$A1000,Metadata!$B$2:$B1000))),S$1,"""")"),"")</f>
        <v/>
      </c>
      <c r="T472" s="33" t="str">
        <f>IFERROR(__xludf.DUMMYFUNCTION("IF(IF(T$1="""","""",REGEXMATCH(LOWER($E472),XLOOKUP(T$1,Metadata!$A$2:$A1000,Metadata!$B$2:$B1000))),T$1,"""")"),"")</f>
        <v/>
      </c>
      <c r="U472" s="33" t="str">
        <f>IFERROR(__xludf.DUMMYFUNCTION("IF(IF(U$1="""","""",REGEXMATCH(LOWER($E472),XLOOKUP(U$1,Metadata!$A$2:$A1000,Metadata!$B$2:$B1000))),U$1,"""")"),"")</f>
        <v/>
      </c>
      <c r="V472" s="33" t="str">
        <f>IFERROR(__xludf.DUMMYFUNCTION("IF(IF(V$1="""","""",REGEXMATCH(LOWER($E472),XLOOKUP(V$1,Metadata!$A$2:$A1000,Metadata!$B$2:$B1000))),V$1,"""")"),"")</f>
        <v/>
      </c>
      <c r="W472" s="33" t="str">
        <f>IFERROR(__xludf.DUMMYFUNCTION("IF(IF(W$1="""","""",REGEXMATCH(LOWER($E472),XLOOKUP(W$1,Metadata!$A$2:$A1000,Metadata!$B$2:$B1000))),W$1,"""")"),"")</f>
        <v/>
      </c>
      <c r="X472" s="33" t="str">
        <f>IFERROR(__xludf.DUMMYFUNCTION("IF(IF(X$1="""","""",REGEXMATCH(LOWER($E472),XLOOKUP(X$1,Metadata!$A$2:$A1000,Metadata!$B$2:$B1000))),X$1,"""")"),"")</f>
        <v/>
      </c>
      <c r="Y472" s="33" t="str">
        <f>IFERROR(__xludf.DUMMYFUNCTION("IF(IF(Y$1="""","""",REGEXMATCH(LOWER($E472),XLOOKUP(Y$1,Metadata!$A$2:$A1000,Metadata!$B$2:$B1000))),Y$1,"""")"),"")</f>
        <v/>
      </c>
      <c r="Z472" s="33" t="str">
        <f>IFERROR(__xludf.DUMMYFUNCTION("IF(IF(Z$1="""","""",REGEXMATCH(LOWER($E472),XLOOKUP(Z$1,Metadata!$A$2:$A1000,Metadata!$B$2:$B1000))),Z$1,"""")"),"")</f>
        <v/>
      </c>
    </row>
    <row r="473">
      <c r="A473" s="33"/>
      <c r="B473" s="33" t="str">
        <f t="array" ref="B473">XLOOKUP($A473,Cards!$A$2:$A1000,Cards!$B$2:$I1000,"")</f>
        <v/>
      </c>
      <c r="C473" s="33"/>
      <c r="D473" s="33"/>
      <c r="E473" s="33"/>
      <c r="F473" s="33"/>
      <c r="G473" s="33"/>
      <c r="H473" s="33"/>
      <c r="I473" s="33"/>
      <c r="J473" s="33">
        <f>IFERROR(__xludf.DUMMYFUNCTION("LEN(REGEXREPLACE(XLOOKUP($A473,Cards!$A$2:$A1000,Cards!$H$2:$H1000,""""),"",\s"",""""))"),0.0)</f>
        <v>0</v>
      </c>
      <c r="K473" s="33" t="str">
        <f t="shared" si="1"/>
        <v>               </v>
      </c>
      <c r="L473" s="33" t="str">
        <f>IFERROR(__xludf.DUMMYFUNCTION("IF(IF(L$1="""","""",REGEXMATCH(LOWER($E473),XLOOKUP(L$1,Metadata!$A$2:$A1000,Metadata!$B$2:$B1000))),L$1,"""")"),"")</f>
        <v/>
      </c>
      <c r="M473" s="33" t="str">
        <f>IFERROR(__xludf.DUMMYFUNCTION("IF(IF(M$1="""","""",REGEXMATCH(LOWER($E473),XLOOKUP(M$1,Metadata!$A$2:$A1000,Metadata!$B$2:$B1000))),M$1,"""")"),"")</f>
        <v/>
      </c>
      <c r="N473" s="33" t="str">
        <f>IFERROR(__xludf.DUMMYFUNCTION("IF(IF(N$1="""","""",REGEXMATCH(LOWER($E473),XLOOKUP(N$1,Metadata!$A$2:$A1000,Metadata!$B$2:$B1000))),N$1,"""")"),"")</f>
        <v/>
      </c>
      <c r="O473" s="33" t="str">
        <f>IFERROR(__xludf.DUMMYFUNCTION("IF(IF(O$1="""","""",REGEXMATCH(LOWER($E473),XLOOKUP(O$1,Metadata!$A$2:$A1000,Metadata!$B$2:$B1000))),O$1,"""")"),"")</f>
        <v/>
      </c>
      <c r="P473" s="33" t="str">
        <f>IFERROR(__xludf.DUMMYFUNCTION("IF(IF(P$1="""","""",REGEXMATCH(LOWER($E473),XLOOKUP(P$1,Metadata!$A$2:$A1000,Metadata!$B$2:$B1000))),P$1,"""")"),"")</f>
        <v/>
      </c>
      <c r="Q473" s="33" t="str">
        <f>IFERROR(__xludf.DUMMYFUNCTION("IF(IF(Q$1="""","""",REGEXMATCH(LOWER($E473),XLOOKUP(Q$1,Metadata!$A$2:$A1000,Metadata!$B$2:$B1000))),Q$1,"""")"),"")</f>
        <v/>
      </c>
      <c r="R473" s="33" t="str">
        <f>IFERROR(__xludf.DUMMYFUNCTION("IF(IF(R$1="""","""",REGEXMATCH(LOWER($E473),XLOOKUP(R$1,Metadata!$A$2:$A1000,Metadata!$B$2:$B1000))),R$1,"""")"),"")</f>
        <v/>
      </c>
      <c r="S473" s="33" t="str">
        <f>IFERROR(__xludf.DUMMYFUNCTION("IF(IF(S$1="""","""",REGEXMATCH(LOWER($E473),XLOOKUP(S$1,Metadata!$A$2:$A1000,Metadata!$B$2:$B1000))),S$1,"""")"),"")</f>
        <v/>
      </c>
      <c r="T473" s="33" t="str">
        <f>IFERROR(__xludf.DUMMYFUNCTION("IF(IF(T$1="""","""",REGEXMATCH(LOWER($E473),XLOOKUP(T$1,Metadata!$A$2:$A1000,Metadata!$B$2:$B1000))),T$1,"""")"),"")</f>
        <v/>
      </c>
      <c r="U473" s="33" t="str">
        <f>IFERROR(__xludf.DUMMYFUNCTION("IF(IF(U$1="""","""",REGEXMATCH(LOWER($E473),XLOOKUP(U$1,Metadata!$A$2:$A1000,Metadata!$B$2:$B1000))),U$1,"""")"),"")</f>
        <v/>
      </c>
      <c r="V473" s="33" t="str">
        <f>IFERROR(__xludf.DUMMYFUNCTION("IF(IF(V$1="""","""",REGEXMATCH(LOWER($E473),XLOOKUP(V$1,Metadata!$A$2:$A1000,Metadata!$B$2:$B1000))),V$1,"""")"),"")</f>
        <v/>
      </c>
      <c r="W473" s="33" t="str">
        <f>IFERROR(__xludf.DUMMYFUNCTION("IF(IF(W$1="""","""",REGEXMATCH(LOWER($E473),XLOOKUP(W$1,Metadata!$A$2:$A1000,Metadata!$B$2:$B1000))),W$1,"""")"),"")</f>
        <v/>
      </c>
      <c r="X473" s="33" t="str">
        <f>IFERROR(__xludf.DUMMYFUNCTION("IF(IF(X$1="""","""",REGEXMATCH(LOWER($E473),XLOOKUP(X$1,Metadata!$A$2:$A1000,Metadata!$B$2:$B1000))),X$1,"""")"),"")</f>
        <v/>
      </c>
      <c r="Y473" s="33" t="str">
        <f>IFERROR(__xludf.DUMMYFUNCTION("IF(IF(Y$1="""","""",REGEXMATCH(LOWER($E473),XLOOKUP(Y$1,Metadata!$A$2:$A1000,Metadata!$B$2:$B1000))),Y$1,"""")"),"")</f>
        <v/>
      </c>
      <c r="Z473" s="33" t="str">
        <f>IFERROR(__xludf.DUMMYFUNCTION("IF(IF(Z$1="""","""",REGEXMATCH(LOWER($E473),XLOOKUP(Z$1,Metadata!$A$2:$A1000,Metadata!$B$2:$B1000))),Z$1,"""")"),"")</f>
        <v/>
      </c>
    </row>
    <row r="474">
      <c r="A474" s="33"/>
      <c r="B474" s="33" t="str">
        <f t="array" ref="B474">XLOOKUP($A474,Cards!$A$2:$A1000,Cards!$B$2:$I1000,"")</f>
        <v/>
      </c>
      <c r="C474" s="33"/>
      <c r="D474" s="33"/>
      <c r="E474" s="33"/>
      <c r="F474" s="33"/>
      <c r="G474" s="33"/>
      <c r="H474" s="33"/>
      <c r="I474" s="33"/>
      <c r="J474" s="33">
        <f>IFERROR(__xludf.DUMMYFUNCTION("LEN(REGEXREPLACE(XLOOKUP($A474,Cards!$A$2:$A1000,Cards!$H$2:$H1000,""""),"",\s"",""""))"),0.0)</f>
        <v>0</v>
      </c>
      <c r="K474" s="33" t="str">
        <f t="shared" si="1"/>
        <v>               </v>
      </c>
      <c r="L474" s="33" t="str">
        <f>IFERROR(__xludf.DUMMYFUNCTION("IF(IF(L$1="""","""",REGEXMATCH(LOWER($E474),XLOOKUP(L$1,Metadata!$A$2:$A1000,Metadata!$B$2:$B1000))),L$1,"""")"),"")</f>
        <v/>
      </c>
      <c r="M474" s="33" t="str">
        <f>IFERROR(__xludf.DUMMYFUNCTION("IF(IF(M$1="""","""",REGEXMATCH(LOWER($E474),XLOOKUP(M$1,Metadata!$A$2:$A1000,Metadata!$B$2:$B1000))),M$1,"""")"),"")</f>
        <v/>
      </c>
      <c r="N474" s="33" t="str">
        <f>IFERROR(__xludf.DUMMYFUNCTION("IF(IF(N$1="""","""",REGEXMATCH(LOWER($E474),XLOOKUP(N$1,Metadata!$A$2:$A1000,Metadata!$B$2:$B1000))),N$1,"""")"),"")</f>
        <v/>
      </c>
      <c r="O474" s="33" t="str">
        <f>IFERROR(__xludf.DUMMYFUNCTION("IF(IF(O$1="""","""",REGEXMATCH(LOWER($E474),XLOOKUP(O$1,Metadata!$A$2:$A1000,Metadata!$B$2:$B1000))),O$1,"""")"),"")</f>
        <v/>
      </c>
      <c r="P474" s="33" t="str">
        <f>IFERROR(__xludf.DUMMYFUNCTION("IF(IF(P$1="""","""",REGEXMATCH(LOWER($E474),XLOOKUP(P$1,Metadata!$A$2:$A1000,Metadata!$B$2:$B1000))),P$1,"""")"),"")</f>
        <v/>
      </c>
      <c r="Q474" s="33" t="str">
        <f>IFERROR(__xludf.DUMMYFUNCTION("IF(IF(Q$1="""","""",REGEXMATCH(LOWER($E474),XLOOKUP(Q$1,Metadata!$A$2:$A1000,Metadata!$B$2:$B1000))),Q$1,"""")"),"")</f>
        <v/>
      </c>
      <c r="R474" s="33" t="str">
        <f>IFERROR(__xludf.DUMMYFUNCTION("IF(IF(R$1="""","""",REGEXMATCH(LOWER($E474),XLOOKUP(R$1,Metadata!$A$2:$A1000,Metadata!$B$2:$B1000))),R$1,"""")"),"")</f>
        <v/>
      </c>
      <c r="S474" s="33" t="str">
        <f>IFERROR(__xludf.DUMMYFUNCTION("IF(IF(S$1="""","""",REGEXMATCH(LOWER($E474),XLOOKUP(S$1,Metadata!$A$2:$A1000,Metadata!$B$2:$B1000))),S$1,"""")"),"")</f>
        <v/>
      </c>
      <c r="T474" s="33" t="str">
        <f>IFERROR(__xludf.DUMMYFUNCTION("IF(IF(T$1="""","""",REGEXMATCH(LOWER($E474),XLOOKUP(T$1,Metadata!$A$2:$A1000,Metadata!$B$2:$B1000))),T$1,"""")"),"")</f>
        <v/>
      </c>
      <c r="U474" s="33" t="str">
        <f>IFERROR(__xludf.DUMMYFUNCTION("IF(IF(U$1="""","""",REGEXMATCH(LOWER($E474),XLOOKUP(U$1,Metadata!$A$2:$A1000,Metadata!$B$2:$B1000))),U$1,"""")"),"")</f>
        <v/>
      </c>
      <c r="V474" s="33" t="str">
        <f>IFERROR(__xludf.DUMMYFUNCTION("IF(IF(V$1="""","""",REGEXMATCH(LOWER($E474),XLOOKUP(V$1,Metadata!$A$2:$A1000,Metadata!$B$2:$B1000))),V$1,"""")"),"")</f>
        <v/>
      </c>
      <c r="W474" s="33" t="str">
        <f>IFERROR(__xludf.DUMMYFUNCTION("IF(IF(W$1="""","""",REGEXMATCH(LOWER($E474),XLOOKUP(W$1,Metadata!$A$2:$A1000,Metadata!$B$2:$B1000))),W$1,"""")"),"")</f>
        <v/>
      </c>
      <c r="X474" s="33" t="str">
        <f>IFERROR(__xludf.DUMMYFUNCTION("IF(IF(X$1="""","""",REGEXMATCH(LOWER($E474),XLOOKUP(X$1,Metadata!$A$2:$A1000,Metadata!$B$2:$B1000))),X$1,"""")"),"")</f>
        <v/>
      </c>
      <c r="Y474" s="33" t="str">
        <f>IFERROR(__xludf.DUMMYFUNCTION("IF(IF(Y$1="""","""",REGEXMATCH(LOWER($E474),XLOOKUP(Y$1,Metadata!$A$2:$A1000,Metadata!$B$2:$B1000))),Y$1,"""")"),"")</f>
        <v/>
      </c>
      <c r="Z474" s="33" t="str">
        <f>IFERROR(__xludf.DUMMYFUNCTION("IF(IF(Z$1="""","""",REGEXMATCH(LOWER($E474),XLOOKUP(Z$1,Metadata!$A$2:$A1000,Metadata!$B$2:$B1000))),Z$1,"""")"),"")</f>
        <v/>
      </c>
    </row>
    <row r="475">
      <c r="A475" s="33"/>
      <c r="B475" s="33" t="str">
        <f t="array" ref="B475">XLOOKUP($A475,Cards!$A$2:$A1000,Cards!$B$2:$I1000,"")</f>
        <v/>
      </c>
      <c r="C475" s="33"/>
      <c r="D475" s="33"/>
      <c r="E475" s="33"/>
      <c r="F475" s="33"/>
      <c r="G475" s="33"/>
      <c r="H475" s="33"/>
      <c r="I475" s="33"/>
      <c r="J475" s="33">
        <f>IFERROR(__xludf.DUMMYFUNCTION("LEN(REGEXREPLACE(XLOOKUP($A475,Cards!$A$2:$A1000,Cards!$H$2:$H1000,""""),"",\s"",""""))"),0.0)</f>
        <v>0</v>
      </c>
      <c r="K475" s="33" t="str">
        <f t="shared" si="1"/>
        <v>               </v>
      </c>
      <c r="L475" s="33" t="str">
        <f>IFERROR(__xludf.DUMMYFUNCTION("IF(IF(L$1="""","""",REGEXMATCH(LOWER($E475),XLOOKUP(L$1,Metadata!$A$2:$A1000,Metadata!$B$2:$B1000))),L$1,"""")"),"")</f>
        <v/>
      </c>
      <c r="M475" s="33" t="str">
        <f>IFERROR(__xludf.DUMMYFUNCTION("IF(IF(M$1="""","""",REGEXMATCH(LOWER($E475),XLOOKUP(M$1,Metadata!$A$2:$A1000,Metadata!$B$2:$B1000))),M$1,"""")"),"")</f>
        <v/>
      </c>
      <c r="N475" s="33" t="str">
        <f>IFERROR(__xludf.DUMMYFUNCTION("IF(IF(N$1="""","""",REGEXMATCH(LOWER($E475),XLOOKUP(N$1,Metadata!$A$2:$A1000,Metadata!$B$2:$B1000))),N$1,"""")"),"")</f>
        <v/>
      </c>
      <c r="O475" s="33" t="str">
        <f>IFERROR(__xludf.DUMMYFUNCTION("IF(IF(O$1="""","""",REGEXMATCH(LOWER($E475),XLOOKUP(O$1,Metadata!$A$2:$A1000,Metadata!$B$2:$B1000))),O$1,"""")"),"")</f>
        <v/>
      </c>
      <c r="P475" s="33" t="str">
        <f>IFERROR(__xludf.DUMMYFUNCTION("IF(IF(P$1="""","""",REGEXMATCH(LOWER($E475),XLOOKUP(P$1,Metadata!$A$2:$A1000,Metadata!$B$2:$B1000))),P$1,"""")"),"")</f>
        <v/>
      </c>
      <c r="Q475" s="33" t="str">
        <f>IFERROR(__xludf.DUMMYFUNCTION("IF(IF(Q$1="""","""",REGEXMATCH(LOWER($E475),XLOOKUP(Q$1,Metadata!$A$2:$A1000,Metadata!$B$2:$B1000))),Q$1,"""")"),"")</f>
        <v/>
      </c>
      <c r="R475" s="33" t="str">
        <f>IFERROR(__xludf.DUMMYFUNCTION("IF(IF(R$1="""","""",REGEXMATCH(LOWER($E475),XLOOKUP(R$1,Metadata!$A$2:$A1000,Metadata!$B$2:$B1000))),R$1,"""")"),"")</f>
        <v/>
      </c>
      <c r="S475" s="33" t="str">
        <f>IFERROR(__xludf.DUMMYFUNCTION("IF(IF(S$1="""","""",REGEXMATCH(LOWER($E475),XLOOKUP(S$1,Metadata!$A$2:$A1000,Metadata!$B$2:$B1000))),S$1,"""")"),"")</f>
        <v/>
      </c>
      <c r="T475" s="33" t="str">
        <f>IFERROR(__xludf.DUMMYFUNCTION("IF(IF(T$1="""","""",REGEXMATCH(LOWER($E475),XLOOKUP(T$1,Metadata!$A$2:$A1000,Metadata!$B$2:$B1000))),T$1,"""")"),"")</f>
        <v/>
      </c>
      <c r="U475" s="33" t="str">
        <f>IFERROR(__xludf.DUMMYFUNCTION("IF(IF(U$1="""","""",REGEXMATCH(LOWER($E475),XLOOKUP(U$1,Metadata!$A$2:$A1000,Metadata!$B$2:$B1000))),U$1,"""")"),"")</f>
        <v/>
      </c>
      <c r="V475" s="33" t="str">
        <f>IFERROR(__xludf.DUMMYFUNCTION("IF(IF(V$1="""","""",REGEXMATCH(LOWER($E475),XLOOKUP(V$1,Metadata!$A$2:$A1000,Metadata!$B$2:$B1000))),V$1,"""")"),"")</f>
        <v/>
      </c>
      <c r="W475" s="33" t="str">
        <f>IFERROR(__xludf.DUMMYFUNCTION("IF(IF(W$1="""","""",REGEXMATCH(LOWER($E475),XLOOKUP(W$1,Metadata!$A$2:$A1000,Metadata!$B$2:$B1000))),W$1,"""")"),"")</f>
        <v/>
      </c>
      <c r="X475" s="33" t="str">
        <f>IFERROR(__xludf.DUMMYFUNCTION("IF(IF(X$1="""","""",REGEXMATCH(LOWER($E475),XLOOKUP(X$1,Metadata!$A$2:$A1000,Metadata!$B$2:$B1000))),X$1,"""")"),"")</f>
        <v/>
      </c>
      <c r="Y475" s="33" t="str">
        <f>IFERROR(__xludf.DUMMYFUNCTION("IF(IF(Y$1="""","""",REGEXMATCH(LOWER($E475),XLOOKUP(Y$1,Metadata!$A$2:$A1000,Metadata!$B$2:$B1000))),Y$1,"""")"),"")</f>
        <v/>
      </c>
      <c r="Z475" s="33" t="str">
        <f>IFERROR(__xludf.DUMMYFUNCTION("IF(IF(Z$1="""","""",REGEXMATCH(LOWER($E475),XLOOKUP(Z$1,Metadata!$A$2:$A1000,Metadata!$B$2:$B1000))),Z$1,"""")"),"")</f>
        <v/>
      </c>
    </row>
    <row r="476">
      <c r="A476" s="33"/>
      <c r="B476" s="33" t="str">
        <f t="array" ref="B476">XLOOKUP($A476,Cards!$A$2:$A1000,Cards!$B$2:$I1000,"")</f>
        <v/>
      </c>
      <c r="C476" s="33"/>
      <c r="D476" s="33"/>
      <c r="E476" s="33"/>
      <c r="F476" s="33"/>
      <c r="G476" s="33"/>
      <c r="H476" s="33"/>
      <c r="I476" s="33"/>
      <c r="J476" s="33">
        <f>IFERROR(__xludf.DUMMYFUNCTION("LEN(REGEXREPLACE(XLOOKUP($A476,Cards!$A$2:$A1000,Cards!$H$2:$H1000,""""),"",\s"",""""))"),0.0)</f>
        <v>0</v>
      </c>
      <c r="K476" s="33" t="str">
        <f t="shared" si="1"/>
        <v>               </v>
      </c>
      <c r="L476" s="33" t="str">
        <f>IFERROR(__xludf.DUMMYFUNCTION("IF(IF(L$1="""","""",REGEXMATCH(LOWER($E476),XLOOKUP(L$1,Metadata!$A$2:$A1000,Metadata!$B$2:$B1000))),L$1,"""")"),"")</f>
        <v/>
      </c>
      <c r="M476" s="33" t="str">
        <f>IFERROR(__xludf.DUMMYFUNCTION("IF(IF(M$1="""","""",REGEXMATCH(LOWER($E476),XLOOKUP(M$1,Metadata!$A$2:$A1000,Metadata!$B$2:$B1000))),M$1,"""")"),"")</f>
        <v/>
      </c>
      <c r="N476" s="33" t="str">
        <f>IFERROR(__xludf.DUMMYFUNCTION("IF(IF(N$1="""","""",REGEXMATCH(LOWER($E476),XLOOKUP(N$1,Metadata!$A$2:$A1000,Metadata!$B$2:$B1000))),N$1,"""")"),"")</f>
        <v/>
      </c>
      <c r="O476" s="33" t="str">
        <f>IFERROR(__xludf.DUMMYFUNCTION("IF(IF(O$1="""","""",REGEXMATCH(LOWER($E476),XLOOKUP(O$1,Metadata!$A$2:$A1000,Metadata!$B$2:$B1000))),O$1,"""")"),"")</f>
        <v/>
      </c>
      <c r="P476" s="33" t="str">
        <f>IFERROR(__xludf.DUMMYFUNCTION("IF(IF(P$1="""","""",REGEXMATCH(LOWER($E476),XLOOKUP(P$1,Metadata!$A$2:$A1000,Metadata!$B$2:$B1000))),P$1,"""")"),"")</f>
        <v/>
      </c>
      <c r="Q476" s="33" t="str">
        <f>IFERROR(__xludf.DUMMYFUNCTION("IF(IF(Q$1="""","""",REGEXMATCH(LOWER($E476),XLOOKUP(Q$1,Metadata!$A$2:$A1000,Metadata!$B$2:$B1000))),Q$1,"""")"),"")</f>
        <v/>
      </c>
      <c r="R476" s="33" t="str">
        <f>IFERROR(__xludf.DUMMYFUNCTION("IF(IF(R$1="""","""",REGEXMATCH(LOWER($E476),XLOOKUP(R$1,Metadata!$A$2:$A1000,Metadata!$B$2:$B1000))),R$1,"""")"),"")</f>
        <v/>
      </c>
      <c r="S476" s="33" t="str">
        <f>IFERROR(__xludf.DUMMYFUNCTION("IF(IF(S$1="""","""",REGEXMATCH(LOWER($E476),XLOOKUP(S$1,Metadata!$A$2:$A1000,Metadata!$B$2:$B1000))),S$1,"""")"),"")</f>
        <v/>
      </c>
      <c r="T476" s="33" t="str">
        <f>IFERROR(__xludf.DUMMYFUNCTION("IF(IF(T$1="""","""",REGEXMATCH(LOWER($E476),XLOOKUP(T$1,Metadata!$A$2:$A1000,Metadata!$B$2:$B1000))),T$1,"""")"),"")</f>
        <v/>
      </c>
      <c r="U476" s="33" t="str">
        <f>IFERROR(__xludf.DUMMYFUNCTION("IF(IF(U$1="""","""",REGEXMATCH(LOWER($E476),XLOOKUP(U$1,Metadata!$A$2:$A1000,Metadata!$B$2:$B1000))),U$1,"""")"),"")</f>
        <v/>
      </c>
      <c r="V476" s="33" t="str">
        <f>IFERROR(__xludf.DUMMYFUNCTION("IF(IF(V$1="""","""",REGEXMATCH(LOWER($E476),XLOOKUP(V$1,Metadata!$A$2:$A1000,Metadata!$B$2:$B1000))),V$1,"""")"),"")</f>
        <v/>
      </c>
      <c r="W476" s="33" t="str">
        <f>IFERROR(__xludf.DUMMYFUNCTION("IF(IF(W$1="""","""",REGEXMATCH(LOWER($E476),XLOOKUP(W$1,Metadata!$A$2:$A1000,Metadata!$B$2:$B1000))),W$1,"""")"),"")</f>
        <v/>
      </c>
      <c r="X476" s="33" t="str">
        <f>IFERROR(__xludf.DUMMYFUNCTION("IF(IF(X$1="""","""",REGEXMATCH(LOWER($E476),XLOOKUP(X$1,Metadata!$A$2:$A1000,Metadata!$B$2:$B1000))),X$1,"""")"),"")</f>
        <v/>
      </c>
      <c r="Y476" s="33" t="str">
        <f>IFERROR(__xludf.DUMMYFUNCTION("IF(IF(Y$1="""","""",REGEXMATCH(LOWER($E476),XLOOKUP(Y$1,Metadata!$A$2:$A1000,Metadata!$B$2:$B1000))),Y$1,"""")"),"")</f>
        <v/>
      </c>
      <c r="Z476" s="33" t="str">
        <f>IFERROR(__xludf.DUMMYFUNCTION("IF(IF(Z$1="""","""",REGEXMATCH(LOWER($E476),XLOOKUP(Z$1,Metadata!$A$2:$A1000,Metadata!$B$2:$B1000))),Z$1,"""")"),"")</f>
        <v/>
      </c>
    </row>
    <row r="477">
      <c r="A477" s="33"/>
      <c r="B477" s="33" t="str">
        <f t="array" ref="B477">XLOOKUP($A477,Cards!$A$2:$A1000,Cards!$B$2:$I1000,"")</f>
        <v/>
      </c>
      <c r="C477" s="33"/>
      <c r="D477" s="33"/>
      <c r="E477" s="33"/>
      <c r="F477" s="33"/>
      <c r="G477" s="33"/>
      <c r="H477" s="33"/>
      <c r="I477" s="33"/>
      <c r="J477" s="33">
        <f>IFERROR(__xludf.DUMMYFUNCTION("LEN(REGEXREPLACE(XLOOKUP($A477,Cards!$A$2:$A1000,Cards!$H$2:$H1000,""""),"",\s"",""""))"),0.0)</f>
        <v>0</v>
      </c>
      <c r="K477" s="33" t="str">
        <f t="shared" si="1"/>
        <v>               </v>
      </c>
      <c r="L477" s="33" t="str">
        <f>IFERROR(__xludf.DUMMYFUNCTION("IF(IF(L$1="""","""",REGEXMATCH(LOWER($E477),XLOOKUP(L$1,Metadata!$A$2:$A1000,Metadata!$B$2:$B1000))),L$1,"""")"),"")</f>
        <v/>
      </c>
      <c r="M477" s="33" t="str">
        <f>IFERROR(__xludf.DUMMYFUNCTION("IF(IF(M$1="""","""",REGEXMATCH(LOWER($E477),XLOOKUP(M$1,Metadata!$A$2:$A1000,Metadata!$B$2:$B1000))),M$1,"""")"),"")</f>
        <v/>
      </c>
      <c r="N477" s="33" t="str">
        <f>IFERROR(__xludf.DUMMYFUNCTION("IF(IF(N$1="""","""",REGEXMATCH(LOWER($E477),XLOOKUP(N$1,Metadata!$A$2:$A1000,Metadata!$B$2:$B1000))),N$1,"""")"),"")</f>
        <v/>
      </c>
      <c r="O477" s="33" t="str">
        <f>IFERROR(__xludf.DUMMYFUNCTION("IF(IF(O$1="""","""",REGEXMATCH(LOWER($E477),XLOOKUP(O$1,Metadata!$A$2:$A1000,Metadata!$B$2:$B1000))),O$1,"""")"),"")</f>
        <v/>
      </c>
      <c r="P477" s="33" t="str">
        <f>IFERROR(__xludf.DUMMYFUNCTION("IF(IF(P$1="""","""",REGEXMATCH(LOWER($E477),XLOOKUP(P$1,Metadata!$A$2:$A1000,Metadata!$B$2:$B1000))),P$1,"""")"),"")</f>
        <v/>
      </c>
      <c r="Q477" s="33" t="str">
        <f>IFERROR(__xludf.DUMMYFUNCTION("IF(IF(Q$1="""","""",REGEXMATCH(LOWER($E477),XLOOKUP(Q$1,Metadata!$A$2:$A1000,Metadata!$B$2:$B1000))),Q$1,"""")"),"")</f>
        <v/>
      </c>
      <c r="R477" s="33" t="str">
        <f>IFERROR(__xludf.DUMMYFUNCTION("IF(IF(R$1="""","""",REGEXMATCH(LOWER($E477),XLOOKUP(R$1,Metadata!$A$2:$A1000,Metadata!$B$2:$B1000))),R$1,"""")"),"")</f>
        <v/>
      </c>
      <c r="S477" s="33" t="str">
        <f>IFERROR(__xludf.DUMMYFUNCTION("IF(IF(S$1="""","""",REGEXMATCH(LOWER($E477),XLOOKUP(S$1,Metadata!$A$2:$A1000,Metadata!$B$2:$B1000))),S$1,"""")"),"")</f>
        <v/>
      </c>
      <c r="T477" s="33" t="str">
        <f>IFERROR(__xludf.DUMMYFUNCTION("IF(IF(T$1="""","""",REGEXMATCH(LOWER($E477),XLOOKUP(T$1,Metadata!$A$2:$A1000,Metadata!$B$2:$B1000))),T$1,"""")"),"")</f>
        <v/>
      </c>
      <c r="U477" s="33" t="str">
        <f>IFERROR(__xludf.DUMMYFUNCTION("IF(IF(U$1="""","""",REGEXMATCH(LOWER($E477),XLOOKUP(U$1,Metadata!$A$2:$A1000,Metadata!$B$2:$B1000))),U$1,"""")"),"")</f>
        <v/>
      </c>
      <c r="V477" s="33" t="str">
        <f>IFERROR(__xludf.DUMMYFUNCTION("IF(IF(V$1="""","""",REGEXMATCH(LOWER($E477),XLOOKUP(V$1,Metadata!$A$2:$A1000,Metadata!$B$2:$B1000))),V$1,"""")"),"")</f>
        <v/>
      </c>
      <c r="W477" s="33" t="str">
        <f>IFERROR(__xludf.DUMMYFUNCTION("IF(IF(W$1="""","""",REGEXMATCH(LOWER($E477),XLOOKUP(W$1,Metadata!$A$2:$A1000,Metadata!$B$2:$B1000))),W$1,"""")"),"")</f>
        <v/>
      </c>
      <c r="X477" s="33" t="str">
        <f>IFERROR(__xludf.DUMMYFUNCTION("IF(IF(X$1="""","""",REGEXMATCH(LOWER($E477),XLOOKUP(X$1,Metadata!$A$2:$A1000,Metadata!$B$2:$B1000))),X$1,"""")"),"")</f>
        <v/>
      </c>
      <c r="Y477" s="33" t="str">
        <f>IFERROR(__xludf.DUMMYFUNCTION("IF(IF(Y$1="""","""",REGEXMATCH(LOWER($E477),XLOOKUP(Y$1,Metadata!$A$2:$A1000,Metadata!$B$2:$B1000))),Y$1,"""")"),"")</f>
        <v/>
      </c>
      <c r="Z477" s="33" t="str">
        <f>IFERROR(__xludf.DUMMYFUNCTION("IF(IF(Z$1="""","""",REGEXMATCH(LOWER($E477),XLOOKUP(Z$1,Metadata!$A$2:$A1000,Metadata!$B$2:$B1000))),Z$1,"""")"),"")</f>
        <v/>
      </c>
    </row>
    <row r="478">
      <c r="A478" s="33"/>
      <c r="B478" s="33" t="str">
        <f t="array" ref="B478">XLOOKUP($A478,Cards!$A$2:$A1000,Cards!$B$2:$I1000,"")</f>
        <v/>
      </c>
      <c r="C478" s="33"/>
      <c r="D478" s="33"/>
      <c r="E478" s="33"/>
      <c r="F478" s="33"/>
      <c r="G478" s="33"/>
      <c r="H478" s="33"/>
      <c r="I478" s="33"/>
      <c r="J478" s="33">
        <f>IFERROR(__xludf.DUMMYFUNCTION("LEN(REGEXREPLACE(XLOOKUP($A478,Cards!$A$2:$A1000,Cards!$H$2:$H1000,""""),"",\s"",""""))"),0.0)</f>
        <v>0</v>
      </c>
      <c r="K478" s="33" t="str">
        <f t="shared" si="1"/>
        <v>               </v>
      </c>
      <c r="L478" s="33" t="str">
        <f>IFERROR(__xludf.DUMMYFUNCTION("IF(IF(L$1="""","""",REGEXMATCH(LOWER($E478),XLOOKUP(L$1,Metadata!$A$2:$A1000,Metadata!$B$2:$B1000))),L$1,"""")"),"")</f>
        <v/>
      </c>
      <c r="M478" s="33" t="str">
        <f>IFERROR(__xludf.DUMMYFUNCTION("IF(IF(M$1="""","""",REGEXMATCH(LOWER($E478),XLOOKUP(M$1,Metadata!$A$2:$A1000,Metadata!$B$2:$B1000))),M$1,"""")"),"")</f>
        <v/>
      </c>
      <c r="N478" s="33" t="str">
        <f>IFERROR(__xludf.DUMMYFUNCTION("IF(IF(N$1="""","""",REGEXMATCH(LOWER($E478),XLOOKUP(N$1,Metadata!$A$2:$A1000,Metadata!$B$2:$B1000))),N$1,"""")"),"")</f>
        <v/>
      </c>
      <c r="O478" s="33" t="str">
        <f>IFERROR(__xludf.DUMMYFUNCTION("IF(IF(O$1="""","""",REGEXMATCH(LOWER($E478),XLOOKUP(O$1,Metadata!$A$2:$A1000,Metadata!$B$2:$B1000))),O$1,"""")"),"")</f>
        <v/>
      </c>
      <c r="P478" s="33" t="str">
        <f>IFERROR(__xludf.DUMMYFUNCTION("IF(IF(P$1="""","""",REGEXMATCH(LOWER($E478),XLOOKUP(P$1,Metadata!$A$2:$A1000,Metadata!$B$2:$B1000))),P$1,"""")"),"")</f>
        <v/>
      </c>
      <c r="Q478" s="33" t="str">
        <f>IFERROR(__xludf.DUMMYFUNCTION("IF(IF(Q$1="""","""",REGEXMATCH(LOWER($E478),XLOOKUP(Q$1,Metadata!$A$2:$A1000,Metadata!$B$2:$B1000))),Q$1,"""")"),"")</f>
        <v/>
      </c>
      <c r="R478" s="33" t="str">
        <f>IFERROR(__xludf.DUMMYFUNCTION("IF(IF(R$1="""","""",REGEXMATCH(LOWER($E478),XLOOKUP(R$1,Metadata!$A$2:$A1000,Metadata!$B$2:$B1000))),R$1,"""")"),"")</f>
        <v/>
      </c>
      <c r="S478" s="33" t="str">
        <f>IFERROR(__xludf.DUMMYFUNCTION("IF(IF(S$1="""","""",REGEXMATCH(LOWER($E478),XLOOKUP(S$1,Metadata!$A$2:$A1000,Metadata!$B$2:$B1000))),S$1,"""")"),"")</f>
        <v/>
      </c>
      <c r="T478" s="33" t="str">
        <f>IFERROR(__xludf.DUMMYFUNCTION("IF(IF(T$1="""","""",REGEXMATCH(LOWER($E478),XLOOKUP(T$1,Metadata!$A$2:$A1000,Metadata!$B$2:$B1000))),T$1,"""")"),"")</f>
        <v/>
      </c>
      <c r="U478" s="33" t="str">
        <f>IFERROR(__xludf.DUMMYFUNCTION("IF(IF(U$1="""","""",REGEXMATCH(LOWER($E478),XLOOKUP(U$1,Metadata!$A$2:$A1000,Metadata!$B$2:$B1000))),U$1,"""")"),"")</f>
        <v/>
      </c>
      <c r="V478" s="33" t="str">
        <f>IFERROR(__xludf.DUMMYFUNCTION("IF(IF(V$1="""","""",REGEXMATCH(LOWER($E478),XLOOKUP(V$1,Metadata!$A$2:$A1000,Metadata!$B$2:$B1000))),V$1,"""")"),"")</f>
        <v/>
      </c>
      <c r="W478" s="33" t="str">
        <f>IFERROR(__xludf.DUMMYFUNCTION("IF(IF(W$1="""","""",REGEXMATCH(LOWER($E478),XLOOKUP(W$1,Metadata!$A$2:$A1000,Metadata!$B$2:$B1000))),W$1,"""")"),"")</f>
        <v/>
      </c>
      <c r="X478" s="33" t="str">
        <f>IFERROR(__xludf.DUMMYFUNCTION("IF(IF(X$1="""","""",REGEXMATCH(LOWER($E478),XLOOKUP(X$1,Metadata!$A$2:$A1000,Metadata!$B$2:$B1000))),X$1,"""")"),"")</f>
        <v/>
      </c>
      <c r="Y478" s="33" t="str">
        <f>IFERROR(__xludf.DUMMYFUNCTION("IF(IF(Y$1="""","""",REGEXMATCH(LOWER($E478),XLOOKUP(Y$1,Metadata!$A$2:$A1000,Metadata!$B$2:$B1000))),Y$1,"""")"),"")</f>
        <v/>
      </c>
      <c r="Z478" s="33" t="str">
        <f>IFERROR(__xludf.DUMMYFUNCTION("IF(IF(Z$1="""","""",REGEXMATCH(LOWER($E478),XLOOKUP(Z$1,Metadata!$A$2:$A1000,Metadata!$B$2:$B1000))),Z$1,"""")"),"")</f>
        <v/>
      </c>
    </row>
    <row r="479">
      <c r="A479" s="33"/>
      <c r="B479" s="33" t="str">
        <f t="array" ref="B479">XLOOKUP($A479,Cards!$A$2:$A1000,Cards!$B$2:$I1000,"")</f>
        <v/>
      </c>
      <c r="C479" s="33"/>
      <c r="D479" s="33"/>
      <c r="E479" s="33"/>
      <c r="F479" s="33"/>
      <c r="G479" s="33"/>
      <c r="H479" s="33"/>
      <c r="I479" s="33"/>
      <c r="J479" s="33">
        <f>IFERROR(__xludf.DUMMYFUNCTION("LEN(REGEXREPLACE(XLOOKUP($A479,Cards!$A$2:$A1000,Cards!$H$2:$H1000,""""),"",\s"",""""))"),0.0)</f>
        <v>0</v>
      </c>
      <c r="K479" s="33" t="str">
        <f t="shared" si="1"/>
        <v>               </v>
      </c>
      <c r="L479" s="33" t="str">
        <f>IFERROR(__xludf.DUMMYFUNCTION("IF(IF(L$1="""","""",REGEXMATCH(LOWER($E479),XLOOKUP(L$1,Metadata!$A$2:$A1000,Metadata!$B$2:$B1000))),L$1,"""")"),"")</f>
        <v/>
      </c>
      <c r="M479" s="33" t="str">
        <f>IFERROR(__xludf.DUMMYFUNCTION("IF(IF(M$1="""","""",REGEXMATCH(LOWER($E479),XLOOKUP(M$1,Metadata!$A$2:$A1000,Metadata!$B$2:$B1000))),M$1,"""")"),"")</f>
        <v/>
      </c>
      <c r="N479" s="33" t="str">
        <f>IFERROR(__xludf.DUMMYFUNCTION("IF(IF(N$1="""","""",REGEXMATCH(LOWER($E479),XLOOKUP(N$1,Metadata!$A$2:$A1000,Metadata!$B$2:$B1000))),N$1,"""")"),"")</f>
        <v/>
      </c>
      <c r="O479" s="33" t="str">
        <f>IFERROR(__xludf.DUMMYFUNCTION("IF(IF(O$1="""","""",REGEXMATCH(LOWER($E479),XLOOKUP(O$1,Metadata!$A$2:$A1000,Metadata!$B$2:$B1000))),O$1,"""")"),"")</f>
        <v/>
      </c>
      <c r="P479" s="33" t="str">
        <f>IFERROR(__xludf.DUMMYFUNCTION("IF(IF(P$1="""","""",REGEXMATCH(LOWER($E479),XLOOKUP(P$1,Metadata!$A$2:$A1000,Metadata!$B$2:$B1000))),P$1,"""")"),"")</f>
        <v/>
      </c>
      <c r="Q479" s="33" t="str">
        <f>IFERROR(__xludf.DUMMYFUNCTION("IF(IF(Q$1="""","""",REGEXMATCH(LOWER($E479),XLOOKUP(Q$1,Metadata!$A$2:$A1000,Metadata!$B$2:$B1000))),Q$1,"""")"),"")</f>
        <v/>
      </c>
      <c r="R479" s="33" t="str">
        <f>IFERROR(__xludf.DUMMYFUNCTION("IF(IF(R$1="""","""",REGEXMATCH(LOWER($E479),XLOOKUP(R$1,Metadata!$A$2:$A1000,Metadata!$B$2:$B1000))),R$1,"""")"),"")</f>
        <v/>
      </c>
      <c r="S479" s="33" t="str">
        <f>IFERROR(__xludf.DUMMYFUNCTION("IF(IF(S$1="""","""",REGEXMATCH(LOWER($E479),XLOOKUP(S$1,Metadata!$A$2:$A1000,Metadata!$B$2:$B1000))),S$1,"""")"),"")</f>
        <v/>
      </c>
      <c r="T479" s="33" t="str">
        <f>IFERROR(__xludf.DUMMYFUNCTION("IF(IF(T$1="""","""",REGEXMATCH(LOWER($E479),XLOOKUP(T$1,Metadata!$A$2:$A1000,Metadata!$B$2:$B1000))),T$1,"""")"),"")</f>
        <v/>
      </c>
      <c r="U479" s="33" t="str">
        <f>IFERROR(__xludf.DUMMYFUNCTION("IF(IF(U$1="""","""",REGEXMATCH(LOWER($E479),XLOOKUP(U$1,Metadata!$A$2:$A1000,Metadata!$B$2:$B1000))),U$1,"""")"),"")</f>
        <v/>
      </c>
      <c r="V479" s="33" t="str">
        <f>IFERROR(__xludf.DUMMYFUNCTION("IF(IF(V$1="""","""",REGEXMATCH(LOWER($E479),XLOOKUP(V$1,Metadata!$A$2:$A1000,Metadata!$B$2:$B1000))),V$1,"""")"),"")</f>
        <v/>
      </c>
      <c r="W479" s="33" t="str">
        <f>IFERROR(__xludf.DUMMYFUNCTION("IF(IF(W$1="""","""",REGEXMATCH(LOWER($E479),XLOOKUP(W$1,Metadata!$A$2:$A1000,Metadata!$B$2:$B1000))),W$1,"""")"),"")</f>
        <v/>
      </c>
      <c r="X479" s="33" t="str">
        <f>IFERROR(__xludf.DUMMYFUNCTION("IF(IF(X$1="""","""",REGEXMATCH(LOWER($E479),XLOOKUP(X$1,Metadata!$A$2:$A1000,Metadata!$B$2:$B1000))),X$1,"""")"),"")</f>
        <v/>
      </c>
      <c r="Y479" s="33" t="str">
        <f>IFERROR(__xludf.DUMMYFUNCTION("IF(IF(Y$1="""","""",REGEXMATCH(LOWER($E479),XLOOKUP(Y$1,Metadata!$A$2:$A1000,Metadata!$B$2:$B1000))),Y$1,"""")"),"")</f>
        <v/>
      </c>
      <c r="Z479" s="33" t="str">
        <f>IFERROR(__xludf.DUMMYFUNCTION("IF(IF(Z$1="""","""",REGEXMATCH(LOWER($E479),XLOOKUP(Z$1,Metadata!$A$2:$A1000,Metadata!$B$2:$B1000))),Z$1,"""")"),"")</f>
        <v/>
      </c>
    </row>
    <row r="480">
      <c r="A480" s="33"/>
      <c r="B480" s="33" t="str">
        <f t="array" ref="B480">XLOOKUP($A480,Cards!$A$2:$A1000,Cards!$B$2:$I1000,"")</f>
        <v/>
      </c>
      <c r="C480" s="33"/>
      <c r="D480" s="33"/>
      <c r="E480" s="33"/>
      <c r="F480" s="33"/>
      <c r="G480" s="33"/>
      <c r="H480" s="33"/>
      <c r="I480" s="33"/>
      <c r="J480" s="33">
        <f>IFERROR(__xludf.DUMMYFUNCTION("LEN(REGEXREPLACE(XLOOKUP($A480,Cards!$A$2:$A1000,Cards!$H$2:$H1000,""""),"",\s"",""""))"),0.0)</f>
        <v>0</v>
      </c>
      <c r="K480" s="33" t="str">
        <f t="shared" si="1"/>
        <v>               </v>
      </c>
      <c r="L480" s="33" t="str">
        <f>IFERROR(__xludf.DUMMYFUNCTION("IF(IF(L$1="""","""",REGEXMATCH(LOWER($E480),XLOOKUP(L$1,Metadata!$A$2:$A1000,Metadata!$B$2:$B1000))),L$1,"""")"),"")</f>
        <v/>
      </c>
      <c r="M480" s="33" t="str">
        <f>IFERROR(__xludf.DUMMYFUNCTION("IF(IF(M$1="""","""",REGEXMATCH(LOWER($E480),XLOOKUP(M$1,Metadata!$A$2:$A1000,Metadata!$B$2:$B1000))),M$1,"""")"),"")</f>
        <v/>
      </c>
      <c r="N480" s="33" t="str">
        <f>IFERROR(__xludf.DUMMYFUNCTION("IF(IF(N$1="""","""",REGEXMATCH(LOWER($E480),XLOOKUP(N$1,Metadata!$A$2:$A1000,Metadata!$B$2:$B1000))),N$1,"""")"),"")</f>
        <v/>
      </c>
      <c r="O480" s="33" t="str">
        <f>IFERROR(__xludf.DUMMYFUNCTION("IF(IF(O$1="""","""",REGEXMATCH(LOWER($E480),XLOOKUP(O$1,Metadata!$A$2:$A1000,Metadata!$B$2:$B1000))),O$1,"""")"),"")</f>
        <v/>
      </c>
      <c r="P480" s="33" t="str">
        <f>IFERROR(__xludf.DUMMYFUNCTION("IF(IF(P$1="""","""",REGEXMATCH(LOWER($E480),XLOOKUP(P$1,Metadata!$A$2:$A1000,Metadata!$B$2:$B1000))),P$1,"""")"),"")</f>
        <v/>
      </c>
      <c r="Q480" s="33" t="str">
        <f>IFERROR(__xludf.DUMMYFUNCTION("IF(IF(Q$1="""","""",REGEXMATCH(LOWER($E480),XLOOKUP(Q$1,Metadata!$A$2:$A1000,Metadata!$B$2:$B1000))),Q$1,"""")"),"")</f>
        <v/>
      </c>
      <c r="R480" s="33" t="str">
        <f>IFERROR(__xludf.DUMMYFUNCTION("IF(IF(R$1="""","""",REGEXMATCH(LOWER($E480),XLOOKUP(R$1,Metadata!$A$2:$A1000,Metadata!$B$2:$B1000))),R$1,"""")"),"")</f>
        <v/>
      </c>
      <c r="S480" s="33" t="str">
        <f>IFERROR(__xludf.DUMMYFUNCTION("IF(IF(S$1="""","""",REGEXMATCH(LOWER($E480),XLOOKUP(S$1,Metadata!$A$2:$A1000,Metadata!$B$2:$B1000))),S$1,"""")"),"")</f>
        <v/>
      </c>
      <c r="T480" s="33" t="str">
        <f>IFERROR(__xludf.DUMMYFUNCTION("IF(IF(T$1="""","""",REGEXMATCH(LOWER($E480),XLOOKUP(T$1,Metadata!$A$2:$A1000,Metadata!$B$2:$B1000))),T$1,"""")"),"")</f>
        <v/>
      </c>
      <c r="U480" s="33" t="str">
        <f>IFERROR(__xludf.DUMMYFUNCTION("IF(IF(U$1="""","""",REGEXMATCH(LOWER($E480),XLOOKUP(U$1,Metadata!$A$2:$A1000,Metadata!$B$2:$B1000))),U$1,"""")"),"")</f>
        <v/>
      </c>
      <c r="V480" s="33" t="str">
        <f>IFERROR(__xludf.DUMMYFUNCTION("IF(IF(V$1="""","""",REGEXMATCH(LOWER($E480),XLOOKUP(V$1,Metadata!$A$2:$A1000,Metadata!$B$2:$B1000))),V$1,"""")"),"")</f>
        <v/>
      </c>
      <c r="W480" s="33" t="str">
        <f>IFERROR(__xludf.DUMMYFUNCTION("IF(IF(W$1="""","""",REGEXMATCH(LOWER($E480),XLOOKUP(W$1,Metadata!$A$2:$A1000,Metadata!$B$2:$B1000))),W$1,"""")"),"")</f>
        <v/>
      </c>
      <c r="X480" s="33" t="str">
        <f>IFERROR(__xludf.DUMMYFUNCTION("IF(IF(X$1="""","""",REGEXMATCH(LOWER($E480),XLOOKUP(X$1,Metadata!$A$2:$A1000,Metadata!$B$2:$B1000))),X$1,"""")"),"")</f>
        <v/>
      </c>
      <c r="Y480" s="33" t="str">
        <f>IFERROR(__xludf.DUMMYFUNCTION("IF(IF(Y$1="""","""",REGEXMATCH(LOWER($E480),XLOOKUP(Y$1,Metadata!$A$2:$A1000,Metadata!$B$2:$B1000))),Y$1,"""")"),"")</f>
        <v/>
      </c>
      <c r="Z480" s="33" t="str">
        <f>IFERROR(__xludf.DUMMYFUNCTION("IF(IF(Z$1="""","""",REGEXMATCH(LOWER($E480),XLOOKUP(Z$1,Metadata!$A$2:$A1000,Metadata!$B$2:$B1000))),Z$1,"""")"),"")</f>
        <v/>
      </c>
    </row>
    <row r="481">
      <c r="A481" s="33"/>
      <c r="B481" s="33" t="str">
        <f t="array" ref="B481">XLOOKUP($A481,Cards!$A$2:$A1000,Cards!$B$2:$I1000,"")</f>
        <v/>
      </c>
      <c r="C481" s="33"/>
      <c r="D481" s="33"/>
      <c r="E481" s="33"/>
      <c r="F481" s="33"/>
      <c r="G481" s="33"/>
      <c r="H481" s="33"/>
      <c r="I481" s="33"/>
      <c r="J481" s="33">
        <f>IFERROR(__xludf.DUMMYFUNCTION("LEN(REGEXREPLACE(XLOOKUP($A481,Cards!$A$2:$A1000,Cards!$H$2:$H1000,""""),"",\s"",""""))"),0.0)</f>
        <v>0</v>
      </c>
      <c r="K481" s="33" t="str">
        <f t="shared" si="1"/>
        <v>               </v>
      </c>
      <c r="L481" s="33" t="str">
        <f>IFERROR(__xludf.DUMMYFUNCTION("IF(IF(L$1="""","""",REGEXMATCH(LOWER($E481),XLOOKUP(L$1,Metadata!$A$2:$A1000,Metadata!$B$2:$B1000))),L$1,"""")"),"")</f>
        <v/>
      </c>
      <c r="M481" s="33" t="str">
        <f>IFERROR(__xludf.DUMMYFUNCTION("IF(IF(M$1="""","""",REGEXMATCH(LOWER($E481),XLOOKUP(M$1,Metadata!$A$2:$A1000,Metadata!$B$2:$B1000))),M$1,"""")"),"")</f>
        <v/>
      </c>
      <c r="N481" s="33" t="str">
        <f>IFERROR(__xludf.DUMMYFUNCTION("IF(IF(N$1="""","""",REGEXMATCH(LOWER($E481),XLOOKUP(N$1,Metadata!$A$2:$A1000,Metadata!$B$2:$B1000))),N$1,"""")"),"")</f>
        <v/>
      </c>
      <c r="O481" s="33" t="str">
        <f>IFERROR(__xludf.DUMMYFUNCTION("IF(IF(O$1="""","""",REGEXMATCH(LOWER($E481),XLOOKUP(O$1,Metadata!$A$2:$A1000,Metadata!$B$2:$B1000))),O$1,"""")"),"")</f>
        <v/>
      </c>
      <c r="P481" s="33" t="str">
        <f>IFERROR(__xludf.DUMMYFUNCTION("IF(IF(P$1="""","""",REGEXMATCH(LOWER($E481),XLOOKUP(P$1,Metadata!$A$2:$A1000,Metadata!$B$2:$B1000))),P$1,"""")"),"")</f>
        <v/>
      </c>
      <c r="Q481" s="33" t="str">
        <f>IFERROR(__xludf.DUMMYFUNCTION("IF(IF(Q$1="""","""",REGEXMATCH(LOWER($E481),XLOOKUP(Q$1,Metadata!$A$2:$A1000,Metadata!$B$2:$B1000))),Q$1,"""")"),"")</f>
        <v/>
      </c>
      <c r="R481" s="33" t="str">
        <f>IFERROR(__xludf.DUMMYFUNCTION("IF(IF(R$1="""","""",REGEXMATCH(LOWER($E481),XLOOKUP(R$1,Metadata!$A$2:$A1000,Metadata!$B$2:$B1000))),R$1,"""")"),"")</f>
        <v/>
      </c>
      <c r="S481" s="33" t="str">
        <f>IFERROR(__xludf.DUMMYFUNCTION("IF(IF(S$1="""","""",REGEXMATCH(LOWER($E481),XLOOKUP(S$1,Metadata!$A$2:$A1000,Metadata!$B$2:$B1000))),S$1,"""")"),"")</f>
        <v/>
      </c>
      <c r="T481" s="33" t="str">
        <f>IFERROR(__xludf.DUMMYFUNCTION("IF(IF(T$1="""","""",REGEXMATCH(LOWER($E481),XLOOKUP(T$1,Metadata!$A$2:$A1000,Metadata!$B$2:$B1000))),T$1,"""")"),"")</f>
        <v/>
      </c>
      <c r="U481" s="33" t="str">
        <f>IFERROR(__xludf.DUMMYFUNCTION("IF(IF(U$1="""","""",REGEXMATCH(LOWER($E481),XLOOKUP(U$1,Metadata!$A$2:$A1000,Metadata!$B$2:$B1000))),U$1,"""")"),"")</f>
        <v/>
      </c>
      <c r="V481" s="33" t="str">
        <f>IFERROR(__xludf.DUMMYFUNCTION("IF(IF(V$1="""","""",REGEXMATCH(LOWER($E481),XLOOKUP(V$1,Metadata!$A$2:$A1000,Metadata!$B$2:$B1000))),V$1,"""")"),"")</f>
        <v/>
      </c>
      <c r="W481" s="33" t="str">
        <f>IFERROR(__xludf.DUMMYFUNCTION("IF(IF(W$1="""","""",REGEXMATCH(LOWER($E481),XLOOKUP(W$1,Metadata!$A$2:$A1000,Metadata!$B$2:$B1000))),W$1,"""")"),"")</f>
        <v/>
      </c>
      <c r="X481" s="33" t="str">
        <f>IFERROR(__xludf.DUMMYFUNCTION("IF(IF(X$1="""","""",REGEXMATCH(LOWER($E481),XLOOKUP(X$1,Metadata!$A$2:$A1000,Metadata!$B$2:$B1000))),X$1,"""")"),"")</f>
        <v/>
      </c>
      <c r="Y481" s="33" t="str">
        <f>IFERROR(__xludf.DUMMYFUNCTION("IF(IF(Y$1="""","""",REGEXMATCH(LOWER($E481),XLOOKUP(Y$1,Metadata!$A$2:$A1000,Metadata!$B$2:$B1000))),Y$1,"""")"),"")</f>
        <v/>
      </c>
      <c r="Z481" s="33" t="str">
        <f>IFERROR(__xludf.DUMMYFUNCTION("IF(IF(Z$1="""","""",REGEXMATCH(LOWER($E481),XLOOKUP(Z$1,Metadata!$A$2:$A1000,Metadata!$B$2:$B1000))),Z$1,"""")"),"")</f>
        <v/>
      </c>
    </row>
    <row r="482">
      <c r="A482" s="33"/>
      <c r="B482" s="33" t="str">
        <f t="array" ref="B482">XLOOKUP($A482,Cards!$A$2:$A1000,Cards!$B$2:$I1000,"")</f>
        <v/>
      </c>
      <c r="C482" s="33"/>
      <c r="D482" s="33"/>
      <c r="E482" s="33"/>
      <c r="F482" s="33"/>
      <c r="G482" s="33"/>
      <c r="H482" s="33"/>
      <c r="I482" s="33"/>
      <c r="J482" s="33">
        <f>IFERROR(__xludf.DUMMYFUNCTION("LEN(REGEXREPLACE(XLOOKUP($A482,Cards!$A$2:$A1000,Cards!$H$2:$H1000,""""),"",\s"",""""))"),0.0)</f>
        <v>0</v>
      </c>
      <c r="K482" s="33" t="str">
        <f t="shared" si="1"/>
        <v>               </v>
      </c>
      <c r="L482" s="33" t="str">
        <f>IFERROR(__xludf.DUMMYFUNCTION("IF(IF(L$1="""","""",REGEXMATCH(LOWER($E482),XLOOKUP(L$1,Metadata!$A$2:$A1000,Metadata!$B$2:$B1000))),L$1,"""")"),"")</f>
        <v/>
      </c>
      <c r="M482" s="33" t="str">
        <f>IFERROR(__xludf.DUMMYFUNCTION("IF(IF(M$1="""","""",REGEXMATCH(LOWER($E482),XLOOKUP(M$1,Metadata!$A$2:$A1000,Metadata!$B$2:$B1000))),M$1,"""")"),"")</f>
        <v/>
      </c>
      <c r="N482" s="33" t="str">
        <f>IFERROR(__xludf.DUMMYFUNCTION("IF(IF(N$1="""","""",REGEXMATCH(LOWER($E482),XLOOKUP(N$1,Metadata!$A$2:$A1000,Metadata!$B$2:$B1000))),N$1,"""")"),"")</f>
        <v/>
      </c>
      <c r="O482" s="33" t="str">
        <f>IFERROR(__xludf.DUMMYFUNCTION("IF(IF(O$1="""","""",REGEXMATCH(LOWER($E482),XLOOKUP(O$1,Metadata!$A$2:$A1000,Metadata!$B$2:$B1000))),O$1,"""")"),"")</f>
        <v/>
      </c>
      <c r="P482" s="33" t="str">
        <f>IFERROR(__xludf.DUMMYFUNCTION("IF(IF(P$1="""","""",REGEXMATCH(LOWER($E482),XLOOKUP(P$1,Metadata!$A$2:$A1000,Metadata!$B$2:$B1000))),P$1,"""")"),"")</f>
        <v/>
      </c>
      <c r="Q482" s="33" t="str">
        <f>IFERROR(__xludf.DUMMYFUNCTION("IF(IF(Q$1="""","""",REGEXMATCH(LOWER($E482),XLOOKUP(Q$1,Metadata!$A$2:$A1000,Metadata!$B$2:$B1000))),Q$1,"""")"),"")</f>
        <v/>
      </c>
      <c r="R482" s="33" t="str">
        <f>IFERROR(__xludf.DUMMYFUNCTION("IF(IF(R$1="""","""",REGEXMATCH(LOWER($E482),XLOOKUP(R$1,Metadata!$A$2:$A1000,Metadata!$B$2:$B1000))),R$1,"""")"),"")</f>
        <v/>
      </c>
      <c r="S482" s="33" t="str">
        <f>IFERROR(__xludf.DUMMYFUNCTION("IF(IF(S$1="""","""",REGEXMATCH(LOWER($E482),XLOOKUP(S$1,Metadata!$A$2:$A1000,Metadata!$B$2:$B1000))),S$1,"""")"),"")</f>
        <v/>
      </c>
      <c r="T482" s="33" t="str">
        <f>IFERROR(__xludf.DUMMYFUNCTION("IF(IF(T$1="""","""",REGEXMATCH(LOWER($E482),XLOOKUP(T$1,Metadata!$A$2:$A1000,Metadata!$B$2:$B1000))),T$1,"""")"),"")</f>
        <v/>
      </c>
      <c r="U482" s="33" t="str">
        <f>IFERROR(__xludf.DUMMYFUNCTION("IF(IF(U$1="""","""",REGEXMATCH(LOWER($E482),XLOOKUP(U$1,Metadata!$A$2:$A1000,Metadata!$B$2:$B1000))),U$1,"""")"),"")</f>
        <v/>
      </c>
      <c r="V482" s="33" t="str">
        <f>IFERROR(__xludf.DUMMYFUNCTION("IF(IF(V$1="""","""",REGEXMATCH(LOWER($E482),XLOOKUP(V$1,Metadata!$A$2:$A1000,Metadata!$B$2:$B1000))),V$1,"""")"),"")</f>
        <v/>
      </c>
      <c r="W482" s="33" t="str">
        <f>IFERROR(__xludf.DUMMYFUNCTION("IF(IF(W$1="""","""",REGEXMATCH(LOWER($E482),XLOOKUP(W$1,Metadata!$A$2:$A1000,Metadata!$B$2:$B1000))),W$1,"""")"),"")</f>
        <v/>
      </c>
      <c r="X482" s="33" t="str">
        <f>IFERROR(__xludf.DUMMYFUNCTION("IF(IF(X$1="""","""",REGEXMATCH(LOWER($E482),XLOOKUP(X$1,Metadata!$A$2:$A1000,Metadata!$B$2:$B1000))),X$1,"""")"),"")</f>
        <v/>
      </c>
      <c r="Y482" s="33" t="str">
        <f>IFERROR(__xludf.DUMMYFUNCTION("IF(IF(Y$1="""","""",REGEXMATCH(LOWER($E482),XLOOKUP(Y$1,Metadata!$A$2:$A1000,Metadata!$B$2:$B1000))),Y$1,"""")"),"")</f>
        <v/>
      </c>
      <c r="Z482" s="33" t="str">
        <f>IFERROR(__xludf.DUMMYFUNCTION("IF(IF(Z$1="""","""",REGEXMATCH(LOWER($E482),XLOOKUP(Z$1,Metadata!$A$2:$A1000,Metadata!$B$2:$B1000))),Z$1,"""")"),"")</f>
        <v/>
      </c>
    </row>
    <row r="483">
      <c r="A483" s="33"/>
      <c r="B483" s="33" t="str">
        <f t="array" ref="B483">XLOOKUP($A483,Cards!$A$2:$A1000,Cards!$B$2:$I1000,"")</f>
        <v/>
      </c>
      <c r="C483" s="33"/>
      <c r="D483" s="33"/>
      <c r="E483" s="33"/>
      <c r="F483" s="33"/>
      <c r="G483" s="33"/>
      <c r="H483" s="33"/>
      <c r="I483" s="33"/>
      <c r="J483" s="33">
        <f>IFERROR(__xludf.DUMMYFUNCTION("LEN(REGEXREPLACE(XLOOKUP($A483,Cards!$A$2:$A1000,Cards!$H$2:$H1000,""""),"",\s"",""""))"),0.0)</f>
        <v>0</v>
      </c>
      <c r="K483" s="33" t="str">
        <f t="shared" si="1"/>
        <v>               </v>
      </c>
      <c r="L483" s="33" t="str">
        <f>IFERROR(__xludf.DUMMYFUNCTION("IF(IF(L$1="""","""",REGEXMATCH(LOWER($E483),XLOOKUP(L$1,Metadata!$A$2:$A1000,Metadata!$B$2:$B1000))),L$1,"""")"),"")</f>
        <v/>
      </c>
      <c r="M483" s="33" t="str">
        <f>IFERROR(__xludf.DUMMYFUNCTION("IF(IF(M$1="""","""",REGEXMATCH(LOWER($E483),XLOOKUP(M$1,Metadata!$A$2:$A1000,Metadata!$B$2:$B1000))),M$1,"""")"),"")</f>
        <v/>
      </c>
      <c r="N483" s="33" t="str">
        <f>IFERROR(__xludf.DUMMYFUNCTION("IF(IF(N$1="""","""",REGEXMATCH(LOWER($E483),XLOOKUP(N$1,Metadata!$A$2:$A1000,Metadata!$B$2:$B1000))),N$1,"""")"),"")</f>
        <v/>
      </c>
      <c r="O483" s="33" t="str">
        <f>IFERROR(__xludf.DUMMYFUNCTION("IF(IF(O$1="""","""",REGEXMATCH(LOWER($E483),XLOOKUP(O$1,Metadata!$A$2:$A1000,Metadata!$B$2:$B1000))),O$1,"""")"),"")</f>
        <v/>
      </c>
      <c r="P483" s="33" t="str">
        <f>IFERROR(__xludf.DUMMYFUNCTION("IF(IF(P$1="""","""",REGEXMATCH(LOWER($E483),XLOOKUP(P$1,Metadata!$A$2:$A1000,Metadata!$B$2:$B1000))),P$1,"""")"),"")</f>
        <v/>
      </c>
      <c r="Q483" s="33" t="str">
        <f>IFERROR(__xludf.DUMMYFUNCTION("IF(IF(Q$1="""","""",REGEXMATCH(LOWER($E483),XLOOKUP(Q$1,Metadata!$A$2:$A1000,Metadata!$B$2:$B1000))),Q$1,"""")"),"")</f>
        <v/>
      </c>
      <c r="R483" s="33" t="str">
        <f>IFERROR(__xludf.DUMMYFUNCTION("IF(IF(R$1="""","""",REGEXMATCH(LOWER($E483),XLOOKUP(R$1,Metadata!$A$2:$A1000,Metadata!$B$2:$B1000))),R$1,"""")"),"")</f>
        <v/>
      </c>
      <c r="S483" s="33" t="str">
        <f>IFERROR(__xludf.DUMMYFUNCTION("IF(IF(S$1="""","""",REGEXMATCH(LOWER($E483),XLOOKUP(S$1,Metadata!$A$2:$A1000,Metadata!$B$2:$B1000))),S$1,"""")"),"")</f>
        <v/>
      </c>
      <c r="T483" s="33" t="str">
        <f>IFERROR(__xludf.DUMMYFUNCTION("IF(IF(T$1="""","""",REGEXMATCH(LOWER($E483),XLOOKUP(T$1,Metadata!$A$2:$A1000,Metadata!$B$2:$B1000))),T$1,"""")"),"")</f>
        <v/>
      </c>
      <c r="U483" s="33" t="str">
        <f>IFERROR(__xludf.DUMMYFUNCTION("IF(IF(U$1="""","""",REGEXMATCH(LOWER($E483),XLOOKUP(U$1,Metadata!$A$2:$A1000,Metadata!$B$2:$B1000))),U$1,"""")"),"")</f>
        <v/>
      </c>
      <c r="V483" s="33" t="str">
        <f>IFERROR(__xludf.DUMMYFUNCTION("IF(IF(V$1="""","""",REGEXMATCH(LOWER($E483),XLOOKUP(V$1,Metadata!$A$2:$A1000,Metadata!$B$2:$B1000))),V$1,"""")"),"")</f>
        <v/>
      </c>
      <c r="W483" s="33" t="str">
        <f>IFERROR(__xludf.DUMMYFUNCTION("IF(IF(W$1="""","""",REGEXMATCH(LOWER($E483),XLOOKUP(W$1,Metadata!$A$2:$A1000,Metadata!$B$2:$B1000))),W$1,"""")"),"")</f>
        <v/>
      </c>
      <c r="X483" s="33" t="str">
        <f>IFERROR(__xludf.DUMMYFUNCTION("IF(IF(X$1="""","""",REGEXMATCH(LOWER($E483),XLOOKUP(X$1,Metadata!$A$2:$A1000,Metadata!$B$2:$B1000))),X$1,"""")"),"")</f>
        <v/>
      </c>
      <c r="Y483" s="33" t="str">
        <f>IFERROR(__xludf.DUMMYFUNCTION("IF(IF(Y$1="""","""",REGEXMATCH(LOWER($E483),XLOOKUP(Y$1,Metadata!$A$2:$A1000,Metadata!$B$2:$B1000))),Y$1,"""")"),"")</f>
        <v/>
      </c>
      <c r="Z483" s="33" t="str">
        <f>IFERROR(__xludf.DUMMYFUNCTION("IF(IF(Z$1="""","""",REGEXMATCH(LOWER($E483),XLOOKUP(Z$1,Metadata!$A$2:$A1000,Metadata!$B$2:$B1000))),Z$1,"""")"),"")</f>
        <v/>
      </c>
    </row>
    <row r="484">
      <c r="A484" s="33"/>
      <c r="B484" s="33" t="str">
        <f t="array" ref="B484">XLOOKUP($A484,Cards!$A$2:$A1000,Cards!$B$2:$I1000,"")</f>
        <v/>
      </c>
      <c r="C484" s="33"/>
      <c r="D484" s="33"/>
      <c r="E484" s="33"/>
      <c r="F484" s="33"/>
      <c r="G484" s="33"/>
      <c r="H484" s="33"/>
      <c r="I484" s="33"/>
      <c r="J484" s="33">
        <f>IFERROR(__xludf.DUMMYFUNCTION("LEN(REGEXREPLACE(XLOOKUP($A484,Cards!$A$2:$A1000,Cards!$H$2:$H1000,""""),"",\s"",""""))"),0.0)</f>
        <v>0</v>
      </c>
      <c r="K484" s="33" t="str">
        <f t="shared" si="1"/>
        <v>               </v>
      </c>
      <c r="L484" s="33" t="str">
        <f>IFERROR(__xludf.DUMMYFUNCTION("IF(IF(L$1="""","""",REGEXMATCH(LOWER($E484),XLOOKUP(L$1,Metadata!$A$2:$A1000,Metadata!$B$2:$B1000))),L$1,"""")"),"")</f>
        <v/>
      </c>
      <c r="M484" s="33" t="str">
        <f>IFERROR(__xludf.DUMMYFUNCTION("IF(IF(M$1="""","""",REGEXMATCH(LOWER($E484),XLOOKUP(M$1,Metadata!$A$2:$A1000,Metadata!$B$2:$B1000))),M$1,"""")"),"")</f>
        <v/>
      </c>
      <c r="N484" s="33" t="str">
        <f>IFERROR(__xludf.DUMMYFUNCTION("IF(IF(N$1="""","""",REGEXMATCH(LOWER($E484),XLOOKUP(N$1,Metadata!$A$2:$A1000,Metadata!$B$2:$B1000))),N$1,"""")"),"")</f>
        <v/>
      </c>
      <c r="O484" s="33" t="str">
        <f>IFERROR(__xludf.DUMMYFUNCTION("IF(IF(O$1="""","""",REGEXMATCH(LOWER($E484),XLOOKUP(O$1,Metadata!$A$2:$A1000,Metadata!$B$2:$B1000))),O$1,"""")"),"")</f>
        <v/>
      </c>
      <c r="P484" s="33" t="str">
        <f>IFERROR(__xludf.DUMMYFUNCTION("IF(IF(P$1="""","""",REGEXMATCH(LOWER($E484),XLOOKUP(P$1,Metadata!$A$2:$A1000,Metadata!$B$2:$B1000))),P$1,"""")"),"")</f>
        <v/>
      </c>
      <c r="Q484" s="33" t="str">
        <f>IFERROR(__xludf.DUMMYFUNCTION("IF(IF(Q$1="""","""",REGEXMATCH(LOWER($E484),XLOOKUP(Q$1,Metadata!$A$2:$A1000,Metadata!$B$2:$B1000))),Q$1,"""")"),"")</f>
        <v/>
      </c>
      <c r="R484" s="33" t="str">
        <f>IFERROR(__xludf.DUMMYFUNCTION("IF(IF(R$1="""","""",REGEXMATCH(LOWER($E484),XLOOKUP(R$1,Metadata!$A$2:$A1000,Metadata!$B$2:$B1000))),R$1,"""")"),"")</f>
        <v/>
      </c>
      <c r="S484" s="33" t="str">
        <f>IFERROR(__xludf.DUMMYFUNCTION("IF(IF(S$1="""","""",REGEXMATCH(LOWER($E484),XLOOKUP(S$1,Metadata!$A$2:$A1000,Metadata!$B$2:$B1000))),S$1,"""")"),"")</f>
        <v/>
      </c>
      <c r="T484" s="33" t="str">
        <f>IFERROR(__xludf.DUMMYFUNCTION("IF(IF(T$1="""","""",REGEXMATCH(LOWER($E484),XLOOKUP(T$1,Metadata!$A$2:$A1000,Metadata!$B$2:$B1000))),T$1,"""")"),"")</f>
        <v/>
      </c>
      <c r="U484" s="33" t="str">
        <f>IFERROR(__xludf.DUMMYFUNCTION("IF(IF(U$1="""","""",REGEXMATCH(LOWER($E484),XLOOKUP(U$1,Metadata!$A$2:$A1000,Metadata!$B$2:$B1000))),U$1,"""")"),"")</f>
        <v/>
      </c>
      <c r="V484" s="33" t="str">
        <f>IFERROR(__xludf.DUMMYFUNCTION("IF(IF(V$1="""","""",REGEXMATCH(LOWER($E484),XLOOKUP(V$1,Metadata!$A$2:$A1000,Metadata!$B$2:$B1000))),V$1,"""")"),"")</f>
        <v/>
      </c>
      <c r="W484" s="33" t="str">
        <f>IFERROR(__xludf.DUMMYFUNCTION("IF(IF(W$1="""","""",REGEXMATCH(LOWER($E484),XLOOKUP(W$1,Metadata!$A$2:$A1000,Metadata!$B$2:$B1000))),W$1,"""")"),"")</f>
        <v/>
      </c>
      <c r="X484" s="33" t="str">
        <f>IFERROR(__xludf.DUMMYFUNCTION("IF(IF(X$1="""","""",REGEXMATCH(LOWER($E484),XLOOKUP(X$1,Metadata!$A$2:$A1000,Metadata!$B$2:$B1000))),X$1,"""")"),"")</f>
        <v/>
      </c>
      <c r="Y484" s="33" t="str">
        <f>IFERROR(__xludf.DUMMYFUNCTION("IF(IF(Y$1="""","""",REGEXMATCH(LOWER($E484),XLOOKUP(Y$1,Metadata!$A$2:$A1000,Metadata!$B$2:$B1000))),Y$1,"""")"),"")</f>
        <v/>
      </c>
      <c r="Z484" s="33" t="str">
        <f>IFERROR(__xludf.DUMMYFUNCTION("IF(IF(Z$1="""","""",REGEXMATCH(LOWER($E484),XLOOKUP(Z$1,Metadata!$A$2:$A1000,Metadata!$B$2:$B1000))),Z$1,"""")"),"")</f>
        <v/>
      </c>
    </row>
    <row r="485">
      <c r="A485" s="33"/>
      <c r="B485" s="33" t="str">
        <f t="array" ref="B485">XLOOKUP($A485,Cards!$A$2:$A1000,Cards!$B$2:$I1000,"")</f>
        <v/>
      </c>
      <c r="C485" s="33"/>
      <c r="D485" s="33"/>
      <c r="E485" s="33"/>
      <c r="F485" s="33"/>
      <c r="G485" s="33"/>
      <c r="H485" s="33"/>
      <c r="I485" s="33"/>
      <c r="J485" s="33">
        <f>IFERROR(__xludf.DUMMYFUNCTION("LEN(REGEXREPLACE(XLOOKUP($A485,Cards!$A$2:$A1000,Cards!$H$2:$H1000,""""),"",\s"",""""))"),0.0)</f>
        <v>0</v>
      </c>
      <c r="K485" s="33" t="str">
        <f t="shared" si="1"/>
        <v>               </v>
      </c>
      <c r="L485" s="33" t="str">
        <f>IFERROR(__xludf.DUMMYFUNCTION("IF(IF(L$1="""","""",REGEXMATCH(LOWER($E485),XLOOKUP(L$1,Metadata!$A$2:$A1000,Metadata!$B$2:$B1000))),L$1,"""")"),"")</f>
        <v/>
      </c>
      <c r="M485" s="33" t="str">
        <f>IFERROR(__xludf.DUMMYFUNCTION("IF(IF(M$1="""","""",REGEXMATCH(LOWER($E485),XLOOKUP(M$1,Metadata!$A$2:$A1000,Metadata!$B$2:$B1000))),M$1,"""")"),"")</f>
        <v/>
      </c>
      <c r="N485" s="33" t="str">
        <f>IFERROR(__xludf.DUMMYFUNCTION("IF(IF(N$1="""","""",REGEXMATCH(LOWER($E485),XLOOKUP(N$1,Metadata!$A$2:$A1000,Metadata!$B$2:$B1000))),N$1,"""")"),"")</f>
        <v/>
      </c>
      <c r="O485" s="33" t="str">
        <f>IFERROR(__xludf.DUMMYFUNCTION("IF(IF(O$1="""","""",REGEXMATCH(LOWER($E485),XLOOKUP(O$1,Metadata!$A$2:$A1000,Metadata!$B$2:$B1000))),O$1,"""")"),"")</f>
        <v/>
      </c>
      <c r="P485" s="33" t="str">
        <f>IFERROR(__xludf.DUMMYFUNCTION("IF(IF(P$1="""","""",REGEXMATCH(LOWER($E485),XLOOKUP(P$1,Metadata!$A$2:$A1000,Metadata!$B$2:$B1000))),P$1,"""")"),"")</f>
        <v/>
      </c>
      <c r="Q485" s="33" t="str">
        <f>IFERROR(__xludf.DUMMYFUNCTION("IF(IF(Q$1="""","""",REGEXMATCH(LOWER($E485),XLOOKUP(Q$1,Metadata!$A$2:$A1000,Metadata!$B$2:$B1000))),Q$1,"""")"),"")</f>
        <v/>
      </c>
      <c r="R485" s="33" t="str">
        <f>IFERROR(__xludf.DUMMYFUNCTION("IF(IF(R$1="""","""",REGEXMATCH(LOWER($E485),XLOOKUP(R$1,Metadata!$A$2:$A1000,Metadata!$B$2:$B1000))),R$1,"""")"),"")</f>
        <v/>
      </c>
      <c r="S485" s="33" t="str">
        <f>IFERROR(__xludf.DUMMYFUNCTION("IF(IF(S$1="""","""",REGEXMATCH(LOWER($E485),XLOOKUP(S$1,Metadata!$A$2:$A1000,Metadata!$B$2:$B1000))),S$1,"""")"),"")</f>
        <v/>
      </c>
      <c r="T485" s="33" t="str">
        <f>IFERROR(__xludf.DUMMYFUNCTION("IF(IF(T$1="""","""",REGEXMATCH(LOWER($E485),XLOOKUP(T$1,Metadata!$A$2:$A1000,Metadata!$B$2:$B1000))),T$1,"""")"),"")</f>
        <v/>
      </c>
      <c r="U485" s="33" t="str">
        <f>IFERROR(__xludf.DUMMYFUNCTION("IF(IF(U$1="""","""",REGEXMATCH(LOWER($E485),XLOOKUP(U$1,Metadata!$A$2:$A1000,Metadata!$B$2:$B1000))),U$1,"""")"),"")</f>
        <v/>
      </c>
      <c r="V485" s="33" t="str">
        <f>IFERROR(__xludf.DUMMYFUNCTION("IF(IF(V$1="""","""",REGEXMATCH(LOWER($E485),XLOOKUP(V$1,Metadata!$A$2:$A1000,Metadata!$B$2:$B1000))),V$1,"""")"),"")</f>
        <v/>
      </c>
      <c r="W485" s="33" t="str">
        <f>IFERROR(__xludf.DUMMYFUNCTION("IF(IF(W$1="""","""",REGEXMATCH(LOWER($E485),XLOOKUP(W$1,Metadata!$A$2:$A1000,Metadata!$B$2:$B1000))),W$1,"""")"),"")</f>
        <v/>
      </c>
      <c r="X485" s="33" t="str">
        <f>IFERROR(__xludf.DUMMYFUNCTION("IF(IF(X$1="""","""",REGEXMATCH(LOWER($E485),XLOOKUP(X$1,Metadata!$A$2:$A1000,Metadata!$B$2:$B1000))),X$1,"""")"),"")</f>
        <v/>
      </c>
      <c r="Y485" s="33" t="str">
        <f>IFERROR(__xludf.DUMMYFUNCTION("IF(IF(Y$1="""","""",REGEXMATCH(LOWER($E485),XLOOKUP(Y$1,Metadata!$A$2:$A1000,Metadata!$B$2:$B1000))),Y$1,"""")"),"")</f>
        <v/>
      </c>
      <c r="Z485" s="33" t="str">
        <f>IFERROR(__xludf.DUMMYFUNCTION("IF(IF(Z$1="""","""",REGEXMATCH(LOWER($E485),XLOOKUP(Z$1,Metadata!$A$2:$A1000,Metadata!$B$2:$B1000))),Z$1,"""")"),"")</f>
        <v/>
      </c>
    </row>
    <row r="486">
      <c r="A486" s="33"/>
      <c r="B486" s="33" t="str">
        <f t="array" ref="B486">XLOOKUP($A486,Cards!$A$2:$A1000,Cards!$B$2:$I1000,"")</f>
        <v/>
      </c>
      <c r="C486" s="33"/>
      <c r="D486" s="33"/>
      <c r="E486" s="33"/>
      <c r="F486" s="33"/>
      <c r="G486" s="33"/>
      <c r="H486" s="33"/>
      <c r="I486" s="33"/>
      <c r="J486" s="33">
        <f>IFERROR(__xludf.DUMMYFUNCTION("LEN(REGEXREPLACE(XLOOKUP($A486,Cards!$A$2:$A1000,Cards!$H$2:$H1000,""""),"",\s"",""""))"),0.0)</f>
        <v>0</v>
      </c>
      <c r="K486" s="33" t="str">
        <f t="shared" si="1"/>
        <v>               </v>
      </c>
      <c r="L486" s="33" t="str">
        <f>IFERROR(__xludf.DUMMYFUNCTION("IF(IF(L$1="""","""",REGEXMATCH(LOWER($E486),XLOOKUP(L$1,Metadata!$A$2:$A1000,Metadata!$B$2:$B1000))),L$1,"""")"),"")</f>
        <v/>
      </c>
      <c r="M486" s="33" t="str">
        <f>IFERROR(__xludf.DUMMYFUNCTION("IF(IF(M$1="""","""",REGEXMATCH(LOWER($E486),XLOOKUP(M$1,Metadata!$A$2:$A1000,Metadata!$B$2:$B1000))),M$1,"""")"),"")</f>
        <v/>
      </c>
      <c r="N486" s="33" t="str">
        <f>IFERROR(__xludf.DUMMYFUNCTION("IF(IF(N$1="""","""",REGEXMATCH(LOWER($E486),XLOOKUP(N$1,Metadata!$A$2:$A1000,Metadata!$B$2:$B1000))),N$1,"""")"),"")</f>
        <v/>
      </c>
      <c r="O486" s="33" t="str">
        <f>IFERROR(__xludf.DUMMYFUNCTION("IF(IF(O$1="""","""",REGEXMATCH(LOWER($E486),XLOOKUP(O$1,Metadata!$A$2:$A1000,Metadata!$B$2:$B1000))),O$1,"""")"),"")</f>
        <v/>
      </c>
      <c r="P486" s="33" t="str">
        <f>IFERROR(__xludf.DUMMYFUNCTION("IF(IF(P$1="""","""",REGEXMATCH(LOWER($E486),XLOOKUP(P$1,Metadata!$A$2:$A1000,Metadata!$B$2:$B1000))),P$1,"""")"),"")</f>
        <v/>
      </c>
      <c r="Q486" s="33" t="str">
        <f>IFERROR(__xludf.DUMMYFUNCTION("IF(IF(Q$1="""","""",REGEXMATCH(LOWER($E486),XLOOKUP(Q$1,Metadata!$A$2:$A1000,Metadata!$B$2:$B1000))),Q$1,"""")"),"")</f>
        <v/>
      </c>
      <c r="R486" s="33" t="str">
        <f>IFERROR(__xludf.DUMMYFUNCTION("IF(IF(R$1="""","""",REGEXMATCH(LOWER($E486),XLOOKUP(R$1,Metadata!$A$2:$A1000,Metadata!$B$2:$B1000))),R$1,"""")"),"")</f>
        <v/>
      </c>
      <c r="S486" s="33" t="str">
        <f>IFERROR(__xludf.DUMMYFUNCTION("IF(IF(S$1="""","""",REGEXMATCH(LOWER($E486),XLOOKUP(S$1,Metadata!$A$2:$A1000,Metadata!$B$2:$B1000))),S$1,"""")"),"")</f>
        <v/>
      </c>
      <c r="T486" s="33" t="str">
        <f>IFERROR(__xludf.DUMMYFUNCTION("IF(IF(T$1="""","""",REGEXMATCH(LOWER($E486),XLOOKUP(T$1,Metadata!$A$2:$A1000,Metadata!$B$2:$B1000))),T$1,"""")"),"")</f>
        <v/>
      </c>
      <c r="U486" s="33" t="str">
        <f>IFERROR(__xludf.DUMMYFUNCTION("IF(IF(U$1="""","""",REGEXMATCH(LOWER($E486),XLOOKUP(U$1,Metadata!$A$2:$A1000,Metadata!$B$2:$B1000))),U$1,"""")"),"")</f>
        <v/>
      </c>
      <c r="V486" s="33" t="str">
        <f>IFERROR(__xludf.DUMMYFUNCTION("IF(IF(V$1="""","""",REGEXMATCH(LOWER($E486),XLOOKUP(V$1,Metadata!$A$2:$A1000,Metadata!$B$2:$B1000))),V$1,"""")"),"")</f>
        <v/>
      </c>
      <c r="W486" s="33" t="str">
        <f>IFERROR(__xludf.DUMMYFUNCTION("IF(IF(W$1="""","""",REGEXMATCH(LOWER($E486),XLOOKUP(W$1,Metadata!$A$2:$A1000,Metadata!$B$2:$B1000))),W$1,"""")"),"")</f>
        <v/>
      </c>
      <c r="X486" s="33" t="str">
        <f>IFERROR(__xludf.DUMMYFUNCTION("IF(IF(X$1="""","""",REGEXMATCH(LOWER($E486),XLOOKUP(X$1,Metadata!$A$2:$A1000,Metadata!$B$2:$B1000))),X$1,"""")"),"")</f>
        <v/>
      </c>
      <c r="Y486" s="33" t="str">
        <f>IFERROR(__xludf.DUMMYFUNCTION("IF(IF(Y$1="""","""",REGEXMATCH(LOWER($E486),XLOOKUP(Y$1,Metadata!$A$2:$A1000,Metadata!$B$2:$B1000))),Y$1,"""")"),"")</f>
        <v/>
      </c>
      <c r="Z486" s="33" t="str">
        <f>IFERROR(__xludf.DUMMYFUNCTION("IF(IF(Z$1="""","""",REGEXMATCH(LOWER($E486),XLOOKUP(Z$1,Metadata!$A$2:$A1000,Metadata!$B$2:$B1000))),Z$1,"""")"),"")</f>
        <v/>
      </c>
    </row>
    <row r="487">
      <c r="A487" s="33"/>
      <c r="B487" s="33" t="str">
        <f t="array" ref="B487">XLOOKUP($A487,Cards!$A$2:$A1000,Cards!$B$2:$I1000,"")</f>
        <v/>
      </c>
      <c r="C487" s="33"/>
      <c r="D487" s="33"/>
      <c r="E487" s="33"/>
      <c r="F487" s="33"/>
      <c r="G487" s="33"/>
      <c r="H487" s="33"/>
      <c r="I487" s="33"/>
      <c r="J487" s="33">
        <f>IFERROR(__xludf.DUMMYFUNCTION("LEN(REGEXREPLACE(XLOOKUP($A487,Cards!$A$2:$A1000,Cards!$H$2:$H1000,""""),"",\s"",""""))"),0.0)</f>
        <v>0</v>
      </c>
      <c r="K487" s="33" t="str">
        <f t="shared" si="1"/>
        <v>               </v>
      </c>
      <c r="L487" s="33" t="str">
        <f>IFERROR(__xludf.DUMMYFUNCTION("IF(IF(L$1="""","""",REGEXMATCH(LOWER($E487),XLOOKUP(L$1,Metadata!$A$2:$A1000,Metadata!$B$2:$B1000))),L$1,"""")"),"")</f>
        <v/>
      </c>
      <c r="M487" s="33" t="str">
        <f>IFERROR(__xludf.DUMMYFUNCTION("IF(IF(M$1="""","""",REGEXMATCH(LOWER($E487),XLOOKUP(M$1,Metadata!$A$2:$A1000,Metadata!$B$2:$B1000))),M$1,"""")"),"")</f>
        <v/>
      </c>
      <c r="N487" s="33" t="str">
        <f>IFERROR(__xludf.DUMMYFUNCTION("IF(IF(N$1="""","""",REGEXMATCH(LOWER($E487),XLOOKUP(N$1,Metadata!$A$2:$A1000,Metadata!$B$2:$B1000))),N$1,"""")"),"")</f>
        <v/>
      </c>
      <c r="O487" s="33" t="str">
        <f>IFERROR(__xludf.DUMMYFUNCTION("IF(IF(O$1="""","""",REGEXMATCH(LOWER($E487),XLOOKUP(O$1,Metadata!$A$2:$A1000,Metadata!$B$2:$B1000))),O$1,"""")"),"")</f>
        <v/>
      </c>
      <c r="P487" s="33" t="str">
        <f>IFERROR(__xludf.DUMMYFUNCTION("IF(IF(P$1="""","""",REGEXMATCH(LOWER($E487),XLOOKUP(P$1,Metadata!$A$2:$A1000,Metadata!$B$2:$B1000))),P$1,"""")"),"")</f>
        <v/>
      </c>
      <c r="Q487" s="33" t="str">
        <f>IFERROR(__xludf.DUMMYFUNCTION("IF(IF(Q$1="""","""",REGEXMATCH(LOWER($E487),XLOOKUP(Q$1,Metadata!$A$2:$A1000,Metadata!$B$2:$B1000))),Q$1,"""")"),"")</f>
        <v/>
      </c>
      <c r="R487" s="33" t="str">
        <f>IFERROR(__xludf.DUMMYFUNCTION("IF(IF(R$1="""","""",REGEXMATCH(LOWER($E487),XLOOKUP(R$1,Metadata!$A$2:$A1000,Metadata!$B$2:$B1000))),R$1,"""")"),"")</f>
        <v/>
      </c>
      <c r="S487" s="33" t="str">
        <f>IFERROR(__xludf.DUMMYFUNCTION("IF(IF(S$1="""","""",REGEXMATCH(LOWER($E487),XLOOKUP(S$1,Metadata!$A$2:$A1000,Metadata!$B$2:$B1000))),S$1,"""")"),"")</f>
        <v/>
      </c>
      <c r="T487" s="33" t="str">
        <f>IFERROR(__xludf.DUMMYFUNCTION("IF(IF(T$1="""","""",REGEXMATCH(LOWER($E487),XLOOKUP(T$1,Metadata!$A$2:$A1000,Metadata!$B$2:$B1000))),T$1,"""")"),"")</f>
        <v/>
      </c>
      <c r="U487" s="33" t="str">
        <f>IFERROR(__xludf.DUMMYFUNCTION("IF(IF(U$1="""","""",REGEXMATCH(LOWER($E487),XLOOKUP(U$1,Metadata!$A$2:$A1000,Metadata!$B$2:$B1000))),U$1,"""")"),"")</f>
        <v/>
      </c>
      <c r="V487" s="33" t="str">
        <f>IFERROR(__xludf.DUMMYFUNCTION("IF(IF(V$1="""","""",REGEXMATCH(LOWER($E487),XLOOKUP(V$1,Metadata!$A$2:$A1000,Metadata!$B$2:$B1000))),V$1,"""")"),"")</f>
        <v/>
      </c>
      <c r="W487" s="33" t="str">
        <f>IFERROR(__xludf.DUMMYFUNCTION("IF(IF(W$1="""","""",REGEXMATCH(LOWER($E487),XLOOKUP(W$1,Metadata!$A$2:$A1000,Metadata!$B$2:$B1000))),W$1,"""")"),"")</f>
        <v/>
      </c>
      <c r="X487" s="33" t="str">
        <f>IFERROR(__xludf.DUMMYFUNCTION("IF(IF(X$1="""","""",REGEXMATCH(LOWER($E487),XLOOKUP(X$1,Metadata!$A$2:$A1000,Metadata!$B$2:$B1000))),X$1,"""")"),"")</f>
        <v/>
      </c>
      <c r="Y487" s="33" t="str">
        <f>IFERROR(__xludf.DUMMYFUNCTION("IF(IF(Y$1="""","""",REGEXMATCH(LOWER($E487),XLOOKUP(Y$1,Metadata!$A$2:$A1000,Metadata!$B$2:$B1000))),Y$1,"""")"),"")</f>
        <v/>
      </c>
      <c r="Z487" s="33" t="str">
        <f>IFERROR(__xludf.DUMMYFUNCTION("IF(IF(Z$1="""","""",REGEXMATCH(LOWER($E487),XLOOKUP(Z$1,Metadata!$A$2:$A1000,Metadata!$B$2:$B1000))),Z$1,"""")"),"")</f>
        <v/>
      </c>
    </row>
    <row r="488">
      <c r="A488" s="33"/>
      <c r="B488" s="33" t="str">
        <f t="array" ref="B488">XLOOKUP($A488,Cards!$A$2:$A1000,Cards!$B$2:$I1000,"")</f>
        <v/>
      </c>
      <c r="C488" s="33"/>
      <c r="D488" s="33"/>
      <c r="E488" s="33"/>
      <c r="F488" s="33"/>
      <c r="G488" s="33"/>
      <c r="H488" s="33"/>
      <c r="I488" s="33"/>
      <c r="J488" s="33">
        <f>IFERROR(__xludf.DUMMYFUNCTION("LEN(REGEXREPLACE(XLOOKUP($A488,Cards!$A$2:$A1000,Cards!$H$2:$H1000,""""),"",\s"",""""))"),0.0)</f>
        <v>0</v>
      </c>
      <c r="K488" s="33" t="str">
        <f t="shared" si="1"/>
        <v>               </v>
      </c>
      <c r="L488" s="33" t="str">
        <f>IFERROR(__xludf.DUMMYFUNCTION("IF(IF(L$1="""","""",REGEXMATCH(LOWER($E488),XLOOKUP(L$1,Metadata!$A$2:$A1000,Metadata!$B$2:$B1000))),L$1,"""")"),"")</f>
        <v/>
      </c>
      <c r="M488" s="33" t="str">
        <f>IFERROR(__xludf.DUMMYFUNCTION("IF(IF(M$1="""","""",REGEXMATCH(LOWER($E488),XLOOKUP(M$1,Metadata!$A$2:$A1000,Metadata!$B$2:$B1000))),M$1,"""")"),"")</f>
        <v/>
      </c>
      <c r="N488" s="33" t="str">
        <f>IFERROR(__xludf.DUMMYFUNCTION("IF(IF(N$1="""","""",REGEXMATCH(LOWER($E488),XLOOKUP(N$1,Metadata!$A$2:$A1000,Metadata!$B$2:$B1000))),N$1,"""")"),"")</f>
        <v/>
      </c>
      <c r="O488" s="33" t="str">
        <f>IFERROR(__xludf.DUMMYFUNCTION("IF(IF(O$1="""","""",REGEXMATCH(LOWER($E488),XLOOKUP(O$1,Metadata!$A$2:$A1000,Metadata!$B$2:$B1000))),O$1,"""")"),"")</f>
        <v/>
      </c>
      <c r="P488" s="33" t="str">
        <f>IFERROR(__xludf.DUMMYFUNCTION("IF(IF(P$1="""","""",REGEXMATCH(LOWER($E488),XLOOKUP(P$1,Metadata!$A$2:$A1000,Metadata!$B$2:$B1000))),P$1,"""")"),"")</f>
        <v/>
      </c>
      <c r="Q488" s="33" t="str">
        <f>IFERROR(__xludf.DUMMYFUNCTION("IF(IF(Q$1="""","""",REGEXMATCH(LOWER($E488),XLOOKUP(Q$1,Metadata!$A$2:$A1000,Metadata!$B$2:$B1000))),Q$1,"""")"),"")</f>
        <v/>
      </c>
      <c r="R488" s="33" t="str">
        <f>IFERROR(__xludf.DUMMYFUNCTION("IF(IF(R$1="""","""",REGEXMATCH(LOWER($E488),XLOOKUP(R$1,Metadata!$A$2:$A1000,Metadata!$B$2:$B1000))),R$1,"""")"),"")</f>
        <v/>
      </c>
      <c r="S488" s="33" t="str">
        <f>IFERROR(__xludf.DUMMYFUNCTION("IF(IF(S$1="""","""",REGEXMATCH(LOWER($E488),XLOOKUP(S$1,Metadata!$A$2:$A1000,Metadata!$B$2:$B1000))),S$1,"""")"),"")</f>
        <v/>
      </c>
      <c r="T488" s="33" t="str">
        <f>IFERROR(__xludf.DUMMYFUNCTION("IF(IF(T$1="""","""",REGEXMATCH(LOWER($E488),XLOOKUP(T$1,Metadata!$A$2:$A1000,Metadata!$B$2:$B1000))),T$1,"""")"),"")</f>
        <v/>
      </c>
      <c r="U488" s="33" t="str">
        <f>IFERROR(__xludf.DUMMYFUNCTION("IF(IF(U$1="""","""",REGEXMATCH(LOWER($E488),XLOOKUP(U$1,Metadata!$A$2:$A1000,Metadata!$B$2:$B1000))),U$1,"""")"),"")</f>
        <v/>
      </c>
      <c r="V488" s="33" t="str">
        <f>IFERROR(__xludf.DUMMYFUNCTION("IF(IF(V$1="""","""",REGEXMATCH(LOWER($E488),XLOOKUP(V$1,Metadata!$A$2:$A1000,Metadata!$B$2:$B1000))),V$1,"""")"),"")</f>
        <v/>
      </c>
      <c r="W488" s="33" t="str">
        <f>IFERROR(__xludf.DUMMYFUNCTION("IF(IF(W$1="""","""",REGEXMATCH(LOWER($E488),XLOOKUP(W$1,Metadata!$A$2:$A1000,Metadata!$B$2:$B1000))),W$1,"""")"),"")</f>
        <v/>
      </c>
      <c r="X488" s="33" t="str">
        <f>IFERROR(__xludf.DUMMYFUNCTION("IF(IF(X$1="""","""",REGEXMATCH(LOWER($E488),XLOOKUP(X$1,Metadata!$A$2:$A1000,Metadata!$B$2:$B1000))),X$1,"""")"),"")</f>
        <v/>
      </c>
      <c r="Y488" s="33" t="str">
        <f>IFERROR(__xludf.DUMMYFUNCTION("IF(IF(Y$1="""","""",REGEXMATCH(LOWER($E488),XLOOKUP(Y$1,Metadata!$A$2:$A1000,Metadata!$B$2:$B1000))),Y$1,"""")"),"")</f>
        <v/>
      </c>
      <c r="Z488" s="33" t="str">
        <f>IFERROR(__xludf.DUMMYFUNCTION("IF(IF(Z$1="""","""",REGEXMATCH(LOWER($E488),XLOOKUP(Z$1,Metadata!$A$2:$A1000,Metadata!$B$2:$B1000))),Z$1,"""")"),"")</f>
        <v/>
      </c>
    </row>
    <row r="489">
      <c r="A489" s="33"/>
      <c r="B489" s="33" t="str">
        <f t="array" ref="B489">XLOOKUP($A489,Cards!$A$2:$A1000,Cards!$B$2:$I1000,"")</f>
        <v/>
      </c>
      <c r="C489" s="33"/>
      <c r="D489" s="33"/>
      <c r="E489" s="33"/>
      <c r="F489" s="33"/>
      <c r="G489" s="33"/>
      <c r="H489" s="33"/>
      <c r="I489" s="33"/>
      <c r="J489" s="33">
        <f>IFERROR(__xludf.DUMMYFUNCTION("LEN(REGEXREPLACE(XLOOKUP($A489,Cards!$A$2:$A1000,Cards!$H$2:$H1000,""""),"",\s"",""""))"),0.0)</f>
        <v>0</v>
      </c>
      <c r="K489" s="33" t="str">
        <f t="shared" si="1"/>
        <v>               </v>
      </c>
      <c r="L489" s="33" t="str">
        <f>IFERROR(__xludf.DUMMYFUNCTION("IF(IF(L$1="""","""",REGEXMATCH(LOWER($E489),XLOOKUP(L$1,Metadata!$A$2:$A1000,Metadata!$B$2:$B1000))),L$1,"""")"),"")</f>
        <v/>
      </c>
      <c r="M489" s="33" t="str">
        <f>IFERROR(__xludf.DUMMYFUNCTION("IF(IF(M$1="""","""",REGEXMATCH(LOWER($E489),XLOOKUP(M$1,Metadata!$A$2:$A1000,Metadata!$B$2:$B1000))),M$1,"""")"),"")</f>
        <v/>
      </c>
      <c r="N489" s="33" t="str">
        <f>IFERROR(__xludf.DUMMYFUNCTION("IF(IF(N$1="""","""",REGEXMATCH(LOWER($E489),XLOOKUP(N$1,Metadata!$A$2:$A1000,Metadata!$B$2:$B1000))),N$1,"""")"),"")</f>
        <v/>
      </c>
      <c r="O489" s="33" t="str">
        <f>IFERROR(__xludf.DUMMYFUNCTION("IF(IF(O$1="""","""",REGEXMATCH(LOWER($E489),XLOOKUP(O$1,Metadata!$A$2:$A1000,Metadata!$B$2:$B1000))),O$1,"""")"),"")</f>
        <v/>
      </c>
      <c r="P489" s="33" t="str">
        <f>IFERROR(__xludf.DUMMYFUNCTION("IF(IF(P$1="""","""",REGEXMATCH(LOWER($E489),XLOOKUP(P$1,Metadata!$A$2:$A1000,Metadata!$B$2:$B1000))),P$1,"""")"),"")</f>
        <v/>
      </c>
      <c r="Q489" s="33" t="str">
        <f>IFERROR(__xludf.DUMMYFUNCTION("IF(IF(Q$1="""","""",REGEXMATCH(LOWER($E489),XLOOKUP(Q$1,Metadata!$A$2:$A1000,Metadata!$B$2:$B1000))),Q$1,"""")"),"")</f>
        <v/>
      </c>
      <c r="R489" s="33" t="str">
        <f>IFERROR(__xludf.DUMMYFUNCTION("IF(IF(R$1="""","""",REGEXMATCH(LOWER($E489),XLOOKUP(R$1,Metadata!$A$2:$A1000,Metadata!$B$2:$B1000))),R$1,"""")"),"")</f>
        <v/>
      </c>
      <c r="S489" s="33" t="str">
        <f>IFERROR(__xludf.DUMMYFUNCTION("IF(IF(S$1="""","""",REGEXMATCH(LOWER($E489),XLOOKUP(S$1,Metadata!$A$2:$A1000,Metadata!$B$2:$B1000))),S$1,"""")"),"")</f>
        <v/>
      </c>
      <c r="T489" s="33" t="str">
        <f>IFERROR(__xludf.DUMMYFUNCTION("IF(IF(T$1="""","""",REGEXMATCH(LOWER($E489),XLOOKUP(T$1,Metadata!$A$2:$A1000,Metadata!$B$2:$B1000))),T$1,"""")"),"")</f>
        <v/>
      </c>
      <c r="U489" s="33" t="str">
        <f>IFERROR(__xludf.DUMMYFUNCTION("IF(IF(U$1="""","""",REGEXMATCH(LOWER($E489),XLOOKUP(U$1,Metadata!$A$2:$A1000,Metadata!$B$2:$B1000))),U$1,"""")"),"")</f>
        <v/>
      </c>
      <c r="V489" s="33" t="str">
        <f>IFERROR(__xludf.DUMMYFUNCTION("IF(IF(V$1="""","""",REGEXMATCH(LOWER($E489),XLOOKUP(V$1,Metadata!$A$2:$A1000,Metadata!$B$2:$B1000))),V$1,"""")"),"")</f>
        <v/>
      </c>
      <c r="W489" s="33" t="str">
        <f>IFERROR(__xludf.DUMMYFUNCTION("IF(IF(W$1="""","""",REGEXMATCH(LOWER($E489),XLOOKUP(W$1,Metadata!$A$2:$A1000,Metadata!$B$2:$B1000))),W$1,"""")"),"")</f>
        <v/>
      </c>
      <c r="X489" s="33" t="str">
        <f>IFERROR(__xludf.DUMMYFUNCTION("IF(IF(X$1="""","""",REGEXMATCH(LOWER($E489),XLOOKUP(X$1,Metadata!$A$2:$A1000,Metadata!$B$2:$B1000))),X$1,"""")"),"")</f>
        <v/>
      </c>
      <c r="Y489" s="33" t="str">
        <f>IFERROR(__xludf.DUMMYFUNCTION("IF(IF(Y$1="""","""",REGEXMATCH(LOWER($E489),XLOOKUP(Y$1,Metadata!$A$2:$A1000,Metadata!$B$2:$B1000))),Y$1,"""")"),"")</f>
        <v/>
      </c>
      <c r="Z489" s="33" t="str">
        <f>IFERROR(__xludf.DUMMYFUNCTION("IF(IF(Z$1="""","""",REGEXMATCH(LOWER($E489),XLOOKUP(Z$1,Metadata!$A$2:$A1000,Metadata!$B$2:$B1000))),Z$1,"""")"),"")</f>
        <v/>
      </c>
    </row>
    <row r="490">
      <c r="A490" s="33"/>
      <c r="B490" s="33" t="str">
        <f t="array" ref="B490">XLOOKUP($A490,Cards!$A$2:$A1000,Cards!$B$2:$I1000,"")</f>
        <v/>
      </c>
      <c r="C490" s="33"/>
      <c r="D490" s="33"/>
      <c r="E490" s="33"/>
      <c r="F490" s="33"/>
      <c r="G490" s="33"/>
      <c r="H490" s="33"/>
      <c r="I490" s="33"/>
      <c r="J490" s="33">
        <f>IFERROR(__xludf.DUMMYFUNCTION("LEN(REGEXREPLACE(XLOOKUP($A490,Cards!$A$2:$A1000,Cards!$H$2:$H1000,""""),"",\s"",""""))"),0.0)</f>
        <v>0</v>
      </c>
      <c r="K490" s="33" t="str">
        <f t="shared" si="1"/>
        <v>               </v>
      </c>
      <c r="L490" s="33" t="str">
        <f>IFERROR(__xludf.DUMMYFUNCTION("IF(IF(L$1="""","""",REGEXMATCH(LOWER($E490),XLOOKUP(L$1,Metadata!$A$2:$A1000,Metadata!$B$2:$B1000))),L$1,"""")"),"")</f>
        <v/>
      </c>
      <c r="M490" s="33" t="str">
        <f>IFERROR(__xludf.DUMMYFUNCTION("IF(IF(M$1="""","""",REGEXMATCH(LOWER($E490),XLOOKUP(M$1,Metadata!$A$2:$A1000,Metadata!$B$2:$B1000))),M$1,"""")"),"")</f>
        <v/>
      </c>
      <c r="N490" s="33" t="str">
        <f>IFERROR(__xludf.DUMMYFUNCTION("IF(IF(N$1="""","""",REGEXMATCH(LOWER($E490),XLOOKUP(N$1,Metadata!$A$2:$A1000,Metadata!$B$2:$B1000))),N$1,"""")"),"")</f>
        <v/>
      </c>
      <c r="O490" s="33" t="str">
        <f>IFERROR(__xludf.DUMMYFUNCTION("IF(IF(O$1="""","""",REGEXMATCH(LOWER($E490),XLOOKUP(O$1,Metadata!$A$2:$A1000,Metadata!$B$2:$B1000))),O$1,"""")"),"")</f>
        <v/>
      </c>
      <c r="P490" s="33" t="str">
        <f>IFERROR(__xludf.DUMMYFUNCTION("IF(IF(P$1="""","""",REGEXMATCH(LOWER($E490),XLOOKUP(P$1,Metadata!$A$2:$A1000,Metadata!$B$2:$B1000))),P$1,"""")"),"")</f>
        <v/>
      </c>
      <c r="Q490" s="33" t="str">
        <f>IFERROR(__xludf.DUMMYFUNCTION("IF(IF(Q$1="""","""",REGEXMATCH(LOWER($E490),XLOOKUP(Q$1,Metadata!$A$2:$A1000,Metadata!$B$2:$B1000))),Q$1,"""")"),"")</f>
        <v/>
      </c>
      <c r="R490" s="33" t="str">
        <f>IFERROR(__xludf.DUMMYFUNCTION("IF(IF(R$1="""","""",REGEXMATCH(LOWER($E490),XLOOKUP(R$1,Metadata!$A$2:$A1000,Metadata!$B$2:$B1000))),R$1,"""")"),"")</f>
        <v/>
      </c>
      <c r="S490" s="33" t="str">
        <f>IFERROR(__xludf.DUMMYFUNCTION("IF(IF(S$1="""","""",REGEXMATCH(LOWER($E490),XLOOKUP(S$1,Metadata!$A$2:$A1000,Metadata!$B$2:$B1000))),S$1,"""")"),"")</f>
        <v/>
      </c>
      <c r="T490" s="33" t="str">
        <f>IFERROR(__xludf.DUMMYFUNCTION("IF(IF(T$1="""","""",REGEXMATCH(LOWER($E490),XLOOKUP(T$1,Metadata!$A$2:$A1000,Metadata!$B$2:$B1000))),T$1,"""")"),"")</f>
        <v/>
      </c>
      <c r="U490" s="33" t="str">
        <f>IFERROR(__xludf.DUMMYFUNCTION("IF(IF(U$1="""","""",REGEXMATCH(LOWER($E490),XLOOKUP(U$1,Metadata!$A$2:$A1000,Metadata!$B$2:$B1000))),U$1,"""")"),"")</f>
        <v/>
      </c>
      <c r="V490" s="33" t="str">
        <f>IFERROR(__xludf.DUMMYFUNCTION("IF(IF(V$1="""","""",REGEXMATCH(LOWER($E490),XLOOKUP(V$1,Metadata!$A$2:$A1000,Metadata!$B$2:$B1000))),V$1,"""")"),"")</f>
        <v/>
      </c>
      <c r="W490" s="33" t="str">
        <f>IFERROR(__xludf.DUMMYFUNCTION("IF(IF(W$1="""","""",REGEXMATCH(LOWER($E490),XLOOKUP(W$1,Metadata!$A$2:$A1000,Metadata!$B$2:$B1000))),W$1,"""")"),"")</f>
        <v/>
      </c>
      <c r="X490" s="33" t="str">
        <f>IFERROR(__xludf.DUMMYFUNCTION("IF(IF(X$1="""","""",REGEXMATCH(LOWER($E490),XLOOKUP(X$1,Metadata!$A$2:$A1000,Metadata!$B$2:$B1000))),X$1,"""")"),"")</f>
        <v/>
      </c>
      <c r="Y490" s="33" t="str">
        <f>IFERROR(__xludf.DUMMYFUNCTION("IF(IF(Y$1="""","""",REGEXMATCH(LOWER($E490),XLOOKUP(Y$1,Metadata!$A$2:$A1000,Metadata!$B$2:$B1000))),Y$1,"""")"),"")</f>
        <v/>
      </c>
      <c r="Z490" s="33" t="str">
        <f>IFERROR(__xludf.DUMMYFUNCTION("IF(IF(Z$1="""","""",REGEXMATCH(LOWER($E490),XLOOKUP(Z$1,Metadata!$A$2:$A1000,Metadata!$B$2:$B1000))),Z$1,"""")"),"")</f>
        <v/>
      </c>
    </row>
    <row r="491">
      <c r="A491" s="33"/>
      <c r="B491" s="33" t="str">
        <f t="array" ref="B491">XLOOKUP($A491,Cards!$A$2:$A1000,Cards!$B$2:$I1000,"")</f>
        <v/>
      </c>
      <c r="C491" s="33"/>
      <c r="D491" s="33"/>
      <c r="E491" s="33"/>
      <c r="F491" s="33"/>
      <c r="G491" s="33"/>
      <c r="H491" s="33"/>
      <c r="I491" s="33"/>
      <c r="J491" s="33">
        <f>IFERROR(__xludf.DUMMYFUNCTION("LEN(REGEXREPLACE(XLOOKUP($A491,Cards!$A$2:$A1000,Cards!$H$2:$H1000,""""),"",\s"",""""))"),0.0)</f>
        <v>0</v>
      </c>
      <c r="K491" s="33" t="str">
        <f t="shared" si="1"/>
        <v>               </v>
      </c>
      <c r="L491" s="33" t="str">
        <f>IFERROR(__xludf.DUMMYFUNCTION("IF(IF(L$1="""","""",REGEXMATCH(LOWER($E491),XLOOKUP(L$1,Metadata!$A$2:$A1000,Metadata!$B$2:$B1000))),L$1,"""")"),"")</f>
        <v/>
      </c>
      <c r="M491" s="33" t="str">
        <f>IFERROR(__xludf.DUMMYFUNCTION("IF(IF(M$1="""","""",REGEXMATCH(LOWER($E491),XLOOKUP(M$1,Metadata!$A$2:$A1000,Metadata!$B$2:$B1000))),M$1,"""")"),"")</f>
        <v/>
      </c>
      <c r="N491" s="33" t="str">
        <f>IFERROR(__xludf.DUMMYFUNCTION("IF(IF(N$1="""","""",REGEXMATCH(LOWER($E491),XLOOKUP(N$1,Metadata!$A$2:$A1000,Metadata!$B$2:$B1000))),N$1,"""")"),"")</f>
        <v/>
      </c>
      <c r="O491" s="33" t="str">
        <f>IFERROR(__xludf.DUMMYFUNCTION("IF(IF(O$1="""","""",REGEXMATCH(LOWER($E491),XLOOKUP(O$1,Metadata!$A$2:$A1000,Metadata!$B$2:$B1000))),O$1,"""")"),"")</f>
        <v/>
      </c>
      <c r="P491" s="33" t="str">
        <f>IFERROR(__xludf.DUMMYFUNCTION("IF(IF(P$1="""","""",REGEXMATCH(LOWER($E491),XLOOKUP(P$1,Metadata!$A$2:$A1000,Metadata!$B$2:$B1000))),P$1,"""")"),"")</f>
        <v/>
      </c>
      <c r="Q491" s="33" t="str">
        <f>IFERROR(__xludf.DUMMYFUNCTION("IF(IF(Q$1="""","""",REGEXMATCH(LOWER($E491),XLOOKUP(Q$1,Metadata!$A$2:$A1000,Metadata!$B$2:$B1000))),Q$1,"""")"),"")</f>
        <v/>
      </c>
      <c r="R491" s="33" t="str">
        <f>IFERROR(__xludf.DUMMYFUNCTION("IF(IF(R$1="""","""",REGEXMATCH(LOWER($E491),XLOOKUP(R$1,Metadata!$A$2:$A1000,Metadata!$B$2:$B1000))),R$1,"""")"),"")</f>
        <v/>
      </c>
      <c r="S491" s="33" t="str">
        <f>IFERROR(__xludf.DUMMYFUNCTION("IF(IF(S$1="""","""",REGEXMATCH(LOWER($E491),XLOOKUP(S$1,Metadata!$A$2:$A1000,Metadata!$B$2:$B1000))),S$1,"""")"),"")</f>
        <v/>
      </c>
      <c r="T491" s="33" t="str">
        <f>IFERROR(__xludf.DUMMYFUNCTION("IF(IF(T$1="""","""",REGEXMATCH(LOWER($E491),XLOOKUP(T$1,Metadata!$A$2:$A1000,Metadata!$B$2:$B1000))),T$1,"""")"),"")</f>
        <v/>
      </c>
      <c r="U491" s="33" t="str">
        <f>IFERROR(__xludf.DUMMYFUNCTION("IF(IF(U$1="""","""",REGEXMATCH(LOWER($E491),XLOOKUP(U$1,Metadata!$A$2:$A1000,Metadata!$B$2:$B1000))),U$1,"""")"),"")</f>
        <v/>
      </c>
      <c r="V491" s="33" t="str">
        <f>IFERROR(__xludf.DUMMYFUNCTION("IF(IF(V$1="""","""",REGEXMATCH(LOWER($E491),XLOOKUP(V$1,Metadata!$A$2:$A1000,Metadata!$B$2:$B1000))),V$1,"""")"),"")</f>
        <v/>
      </c>
      <c r="W491" s="33" t="str">
        <f>IFERROR(__xludf.DUMMYFUNCTION("IF(IF(W$1="""","""",REGEXMATCH(LOWER($E491),XLOOKUP(W$1,Metadata!$A$2:$A1000,Metadata!$B$2:$B1000))),W$1,"""")"),"")</f>
        <v/>
      </c>
      <c r="X491" s="33" t="str">
        <f>IFERROR(__xludf.DUMMYFUNCTION("IF(IF(X$1="""","""",REGEXMATCH(LOWER($E491),XLOOKUP(X$1,Metadata!$A$2:$A1000,Metadata!$B$2:$B1000))),X$1,"""")"),"")</f>
        <v/>
      </c>
      <c r="Y491" s="33" t="str">
        <f>IFERROR(__xludf.DUMMYFUNCTION("IF(IF(Y$1="""","""",REGEXMATCH(LOWER($E491),XLOOKUP(Y$1,Metadata!$A$2:$A1000,Metadata!$B$2:$B1000))),Y$1,"""")"),"")</f>
        <v/>
      </c>
      <c r="Z491" s="33" t="str">
        <f>IFERROR(__xludf.DUMMYFUNCTION("IF(IF(Z$1="""","""",REGEXMATCH(LOWER($E491),XLOOKUP(Z$1,Metadata!$A$2:$A1000,Metadata!$B$2:$B1000))),Z$1,"""")"),"")</f>
        <v/>
      </c>
    </row>
    <row r="492">
      <c r="A492" s="33"/>
      <c r="B492" s="33" t="str">
        <f t="array" ref="B492">XLOOKUP($A492,Cards!$A$2:$A1000,Cards!$B$2:$I1000,"")</f>
        <v/>
      </c>
      <c r="C492" s="33"/>
      <c r="D492" s="33"/>
      <c r="E492" s="33"/>
      <c r="F492" s="33"/>
      <c r="G492" s="33"/>
      <c r="H492" s="33"/>
      <c r="I492" s="33"/>
      <c r="J492" s="33">
        <f>IFERROR(__xludf.DUMMYFUNCTION("LEN(REGEXREPLACE(XLOOKUP($A492,Cards!$A$2:$A1000,Cards!$H$2:$H1000,""""),"",\s"",""""))"),0.0)</f>
        <v>0</v>
      </c>
      <c r="K492" s="33" t="str">
        <f t="shared" si="1"/>
        <v>               </v>
      </c>
      <c r="L492" s="33" t="str">
        <f>IFERROR(__xludf.DUMMYFUNCTION("IF(IF(L$1="""","""",REGEXMATCH(LOWER($E492),XLOOKUP(L$1,Metadata!$A$2:$A1000,Metadata!$B$2:$B1000))),L$1,"""")"),"")</f>
        <v/>
      </c>
      <c r="M492" s="33" t="str">
        <f>IFERROR(__xludf.DUMMYFUNCTION("IF(IF(M$1="""","""",REGEXMATCH(LOWER($E492),XLOOKUP(M$1,Metadata!$A$2:$A1000,Metadata!$B$2:$B1000))),M$1,"""")"),"")</f>
        <v/>
      </c>
      <c r="N492" s="33" t="str">
        <f>IFERROR(__xludf.DUMMYFUNCTION("IF(IF(N$1="""","""",REGEXMATCH(LOWER($E492),XLOOKUP(N$1,Metadata!$A$2:$A1000,Metadata!$B$2:$B1000))),N$1,"""")"),"")</f>
        <v/>
      </c>
      <c r="O492" s="33" t="str">
        <f>IFERROR(__xludf.DUMMYFUNCTION("IF(IF(O$1="""","""",REGEXMATCH(LOWER($E492),XLOOKUP(O$1,Metadata!$A$2:$A1000,Metadata!$B$2:$B1000))),O$1,"""")"),"")</f>
        <v/>
      </c>
      <c r="P492" s="33" t="str">
        <f>IFERROR(__xludf.DUMMYFUNCTION("IF(IF(P$1="""","""",REGEXMATCH(LOWER($E492),XLOOKUP(P$1,Metadata!$A$2:$A1000,Metadata!$B$2:$B1000))),P$1,"""")"),"")</f>
        <v/>
      </c>
      <c r="Q492" s="33" t="str">
        <f>IFERROR(__xludf.DUMMYFUNCTION("IF(IF(Q$1="""","""",REGEXMATCH(LOWER($E492),XLOOKUP(Q$1,Metadata!$A$2:$A1000,Metadata!$B$2:$B1000))),Q$1,"""")"),"")</f>
        <v/>
      </c>
      <c r="R492" s="33" t="str">
        <f>IFERROR(__xludf.DUMMYFUNCTION("IF(IF(R$1="""","""",REGEXMATCH(LOWER($E492),XLOOKUP(R$1,Metadata!$A$2:$A1000,Metadata!$B$2:$B1000))),R$1,"""")"),"")</f>
        <v/>
      </c>
      <c r="S492" s="33" t="str">
        <f>IFERROR(__xludf.DUMMYFUNCTION("IF(IF(S$1="""","""",REGEXMATCH(LOWER($E492),XLOOKUP(S$1,Metadata!$A$2:$A1000,Metadata!$B$2:$B1000))),S$1,"""")"),"")</f>
        <v/>
      </c>
      <c r="T492" s="33" t="str">
        <f>IFERROR(__xludf.DUMMYFUNCTION("IF(IF(T$1="""","""",REGEXMATCH(LOWER($E492),XLOOKUP(T$1,Metadata!$A$2:$A1000,Metadata!$B$2:$B1000))),T$1,"""")"),"")</f>
        <v/>
      </c>
      <c r="U492" s="33" t="str">
        <f>IFERROR(__xludf.DUMMYFUNCTION("IF(IF(U$1="""","""",REGEXMATCH(LOWER($E492),XLOOKUP(U$1,Metadata!$A$2:$A1000,Metadata!$B$2:$B1000))),U$1,"""")"),"")</f>
        <v/>
      </c>
      <c r="V492" s="33" t="str">
        <f>IFERROR(__xludf.DUMMYFUNCTION("IF(IF(V$1="""","""",REGEXMATCH(LOWER($E492),XLOOKUP(V$1,Metadata!$A$2:$A1000,Metadata!$B$2:$B1000))),V$1,"""")"),"")</f>
        <v/>
      </c>
      <c r="W492" s="33" t="str">
        <f>IFERROR(__xludf.DUMMYFUNCTION("IF(IF(W$1="""","""",REGEXMATCH(LOWER($E492),XLOOKUP(W$1,Metadata!$A$2:$A1000,Metadata!$B$2:$B1000))),W$1,"""")"),"")</f>
        <v/>
      </c>
      <c r="X492" s="33" t="str">
        <f>IFERROR(__xludf.DUMMYFUNCTION("IF(IF(X$1="""","""",REGEXMATCH(LOWER($E492),XLOOKUP(X$1,Metadata!$A$2:$A1000,Metadata!$B$2:$B1000))),X$1,"""")"),"")</f>
        <v/>
      </c>
      <c r="Y492" s="33" t="str">
        <f>IFERROR(__xludf.DUMMYFUNCTION("IF(IF(Y$1="""","""",REGEXMATCH(LOWER($E492),XLOOKUP(Y$1,Metadata!$A$2:$A1000,Metadata!$B$2:$B1000))),Y$1,"""")"),"")</f>
        <v/>
      </c>
      <c r="Z492" s="33" t="str">
        <f>IFERROR(__xludf.DUMMYFUNCTION("IF(IF(Z$1="""","""",REGEXMATCH(LOWER($E492),XLOOKUP(Z$1,Metadata!$A$2:$A1000,Metadata!$B$2:$B1000))),Z$1,"""")"),"")</f>
        <v/>
      </c>
    </row>
    <row r="493">
      <c r="A493" s="33"/>
      <c r="B493" s="33" t="str">
        <f t="array" ref="B493">XLOOKUP($A493,Cards!$A$2:$A1000,Cards!$B$2:$I1000,"")</f>
        <v/>
      </c>
      <c r="C493" s="33"/>
      <c r="D493" s="33"/>
      <c r="E493" s="33"/>
      <c r="F493" s="33"/>
      <c r="G493" s="33"/>
      <c r="H493" s="33"/>
      <c r="I493" s="33"/>
      <c r="J493" s="33">
        <f>IFERROR(__xludf.DUMMYFUNCTION("LEN(REGEXREPLACE(XLOOKUP($A493,Cards!$A$2:$A1000,Cards!$H$2:$H1000,""""),"",\s"",""""))"),0.0)</f>
        <v>0</v>
      </c>
      <c r="K493" s="33" t="str">
        <f t="shared" si="1"/>
        <v>               </v>
      </c>
      <c r="L493" s="33" t="str">
        <f>IFERROR(__xludf.DUMMYFUNCTION("IF(IF(L$1="""","""",REGEXMATCH(LOWER($E493),XLOOKUP(L$1,Metadata!$A$2:$A1000,Metadata!$B$2:$B1000))),L$1,"""")"),"")</f>
        <v/>
      </c>
      <c r="M493" s="33" t="str">
        <f>IFERROR(__xludf.DUMMYFUNCTION("IF(IF(M$1="""","""",REGEXMATCH(LOWER($E493),XLOOKUP(M$1,Metadata!$A$2:$A1000,Metadata!$B$2:$B1000))),M$1,"""")"),"")</f>
        <v/>
      </c>
      <c r="N493" s="33" t="str">
        <f>IFERROR(__xludf.DUMMYFUNCTION("IF(IF(N$1="""","""",REGEXMATCH(LOWER($E493),XLOOKUP(N$1,Metadata!$A$2:$A1000,Metadata!$B$2:$B1000))),N$1,"""")"),"")</f>
        <v/>
      </c>
      <c r="O493" s="33" t="str">
        <f>IFERROR(__xludf.DUMMYFUNCTION("IF(IF(O$1="""","""",REGEXMATCH(LOWER($E493),XLOOKUP(O$1,Metadata!$A$2:$A1000,Metadata!$B$2:$B1000))),O$1,"""")"),"")</f>
        <v/>
      </c>
      <c r="P493" s="33" t="str">
        <f>IFERROR(__xludf.DUMMYFUNCTION("IF(IF(P$1="""","""",REGEXMATCH(LOWER($E493),XLOOKUP(P$1,Metadata!$A$2:$A1000,Metadata!$B$2:$B1000))),P$1,"""")"),"")</f>
        <v/>
      </c>
      <c r="Q493" s="33" t="str">
        <f>IFERROR(__xludf.DUMMYFUNCTION("IF(IF(Q$1="""","""",REGEXMATCH(LOWER($E493),XLOOKUP(Q$1,Metadata!$A$2:$A1000,Metadata!$B$2:$B1000))),Q$1,"""")"),"")</f>
        <v/>
      </c>
      <c r="R493" s="33" t="str">
        <f>IFERROR(__xludf.DUMMYFUNCTION("IF(IF(R$1="""","""",REGEXMATCH(LOWER($E493),XLOOKUP(R$1,Metadata!$A$2:$A1000,Metadata!$B$2:$B1000))),R$1,"""")"),"")</f>
        <v/>
      </c>
      <c r="S493" s="33" t="str">
        <f>IFERROR(__xludf.DUMMYFUNCTION("IF(IF(S$1="""","""",REGEXMATCH(LOWER($E493),XLOOKUP(S$1,Metadata!$A$2:$A1000,Metadata!$B$2:$B1000))),S$1,"""")"),"")</f>
        <v/>
      </c>
      <c r="T493" s="33" t="str">
        <f>IFERROR(__xludf.DUMMYFUNCTION("IF(IF(T$1="""","""",REGEXMATCH(LOWER($E493),XLOOKUP(T$1,Metadata!$A$2:$A1000,Metadata!$B$2:$B1000))),T$1,"""")"),"")</f>
        <v/>
      </c>
      <c r="U493" s="33" t="str">
        <f>IFERROR(__xludf.DUMMYFUNCTION("IF(IF(U$1="""","""",REGEXMATCH(LOWER($E493),XLOOKUP(U$1,Metadata!$A$2:$A1000,Metadata!$B$2:$B1000))),U$1,"""")"),"")</f>
        <v/>
      </c>
      <c r="V493" s="33" t="str">
        <f>IFERROR(__xludf.DUMMYFUNCTION("IF(IF(V$1="""","""",REGEXMATCH(LOWER($E493),XLOOKUP(V$1,Metadata!$A$2:$A1000,Metadata!$B$2:$B1000))),V$1,"""")"),"")</f>
        <v/>
      </c>
      <c r="W493" s="33" t="str">
        <f>IFERROR(__xludf.DUMMYFUNCTION("IF(IF(W$1="""","""",REGEXMATCH(LOWER($E493),XLOOKUP(W$1,Metadata!$A$2:$A1000,Metadata!$B$2:$B1000))),W$1,"""")"),"")</f>
        <v/>
      </c>
      <c r="X493" s="33" t="str">
        <f>IFERROR(__xludf.DUMMYFUNCTION("IF(IF(X$1="""","""",REGEXMATCH(LOWER($E493),XLOOKUP(X$1,Metadata!$A$2:$A1000,Metadata!$B$2:$B1000))),X$1,"""")"),"")</f>
        <v/>
      </c>
      <c r="Y493" s="33" t="str">
        <f>IFERROR(__xludf.DUMMYFUNCTION("IF(IF(Y$1="""","""",REGEXMATCH(LOWER($E493),XLOOKUP(Y$1,Metadata!$A$2:$A1000,Metadata!$B$2:$B1000))),Y$1,"""")"),"")</f>
        <v/>
      </c>
      <c r="Z493" s="33" t="str">
        <f>IFERROR(__xludf.DUMMYFUNCTION("IF(IF(Z$1="""","""",REGEXMATCH(LOWER($E493),XLOOKUP(Z$1,Metadata!$A$2:$A1000,Metadata!$B$2:$B1000))),Z$1,"""")"),"")</f>
        <v/>
      </c>
    </row>
    <row r="494">
      <c r="A494" s="33"/>
      <c r="B494" s="33" t="str">
        <f t="array" ref="B494">XLOOKUP($A494,Cards!$A$2:$A1000,Cards!$B$2:$I1000,"")</f>
        <v/>
      </c>
      <c r="C494" s="33"/>
      <c r="D494" s="33"/>
      <c r="E494" s="33"/>
      <c r="F494" s="33"/>
      <c r="G494" s="33"/>
      <c r="H494" s="33"/>
      <c r="I494" s="33"/>
      <c r="J494" s="33">
        <f>IFERROR(__xludf.DUMMYFUNCTION("LEN(REGEXREPLACE(XLOOKUP($A494,Cards!$A$2:$A1000,Cards!$H$2:$H1000,""""),"",\s"",""""))"),0.0)</f>
        <v>0</v>
      </c>
      <c r="K494" s="33" t="str">
        <f t="shared" si="1"/>
        <v>               </v>
      </c>
      <c r="L494" s="33" t="str">
        <f>IFERROR(__xludf.DUMMYFUNCTION("IF(IF(L$1="""","""",REGEXMATCH(LOWER($E494),XLOOKUP(L$1,Metadata!$A$2:$A1000,Metadata!$B$2:$B1000))),L$1,"""")"),"")</f>
        <v/>
      </c>
      <c r="M494" s="33" t="str">
        <f>IFERROR(__xludf.DUMMYFUNCTION("IF(IF(M$1="""","""",REGEXMATCH(LOWER($E494),XLOOKUP(M$1,Metadata!$A$2:$A1000,Metadata!$B$2:$B1000))),M$1,"""")"),"")</f>
        <v/>
      </c>
      <c r="N494" s="33" t="str">
        <f>IFERROR(__xludf.DUMMYFUNCTION("IF(IF(N$1="""","""",REGEXMATCH(LOWER($E494),XLOOKUP(N$1,Metadata!$A$2:$A1000,Metadata!$B$2:$B1000))),N$1,"""")"),"")</f>
        <v/>
      </c>
      <c r="O494" s="33" t="str">
        <f>IFERROR(__xludf.DUMMYFUNCTION("IF(IF(O$1="""","""",REGEXMATCH(LOWER($E494),XLOOKUP(O$1,Metadata!$A$2:$A1000,Metadata!$B$2:$B1000))),O$1,"""")"),"")</f>
        <v/>
      </c>
      <c r="P494" s="33" t="str">
        <f>IFERROR(__xludf.DUMMYFUNCTION("IF(IF(P$1="""","""",REGEXMATCH(LOWER($E494),XLOOKUP(P$1,Metadata!$A$2:$A1000,Metadata!$B$2:$B1000))),P$1,"""")"),"")</f>
        <v/>
      </c>
      <c r="Q494" s="33" t="str">
        <f>IFERROR(__xludf.DUMMYFUNCTION("IF(IF(Q$1="""","""",REGEXMATCH(LOWER($E494),XLOOKUP(Q$1,Metadata!$A$2:$A1000,Metadata!$B$2:$B1000))),Q$1,"""")"),"")</f>
        <v/>
      </c>
      <c r="R494" s="33" t="str">
        <f>IFERROR(__xludf.DUMMYFUNCTION("IF(IF(R$1="""","""",REGEXMATCH(LOWER($E494),XLOOKUP(R$1,Metadata!$A$2:$A1000,Metadata!$B$2:$B1000))),R$1,"""")"),"")</f>
        <v/>
      </c>
      <c r="S494" s="33" t="str">
        <f>IFERROR(__xludf.DUMMYFUNCTION("IF(IF(S$1="""","""",REGEXMATCH(LOWER($E494),XLOOKUP(S$1,Metadata!$A$2:$A1000,Metadata!$B$2:$B1000))),S$1,"""")"),"")</f>
        <v/>
      </c>
      <c r="T494" s="33" t="str">
        <f>IFERROR(__xludf.DUMMYFUNCTION("IF(IF(T$1="""","""",REGEXMATCH(LOWER($E494),XLOOKUP(T$1,Metadata!$A$2:$A1000,Metadata!$B$2:$B1000))),T$1,"""")"),"")</f>
        <v/>
      </c>
      <c r="U494" s="33" t="str">
        <f>IFERROR(__xludf.DUMMYFUNCTION("IF(IF(U$1="""","""",REGEXMATCH(LOWER($E494),XLOOKUP(U$1,Metadata!$A$2:$A1000,Metadata!$B$2:$B1000))),U$1,"""")"),"")</f>
        <v/>
      </c>
      <c r="V494" s="33" t="str">
        <f>IFERROR(__xludf.DUMMYFUNCTION("IF(IF(V$1="""","""",REGEXMATCH(LOWER($E494),XLOOKUP(V$1,Metadata!$A$2:$A1000,Metadata!$B$2:$B1000))),V$1,"""")"),"")</f>
        <v/>
      </c>
      <c r="W494" s="33" t="str">
        <f>IFERROR(__xludf.DUMMYFUNCTION("IF(IF(W$1="""","""",REGEXMATCH(LOWER($E494),XLOOKUP(W$1,Metadata!$A$2:$A1000,Metadata!$B$2:$B1000))),W$1,"""")"),"")</f>
        <v/>
      </c>
      <c r="X494" s="33" t="str">
        <f>IFERROR(__xludf.DUMMYFUNCTION("IF(IF(X$1="""","""",REGEXMATCH(LOWER($E494),XLOOKUP(X$1,Metadata!$A$2:$A1000,Metadata!$B$2:$B1000))),X$1,"""")"),"")</f>
        <v/>
      </c>
      <c r="Y494" s="33" t="str">
        <f>IFERROR(__xludf.DUMMYFUNCTION("IF(IF(Y$1="""","""",REGEXMATCH(LOWER($E494),XLOOKUP(Y$1,Metadata!$A$2:$A1000,Metadata!$B$2:$B1000))),Y$1,"""")"),"")</f>
        <v/>
      </c>
      <c r="Z494" s="33" t="str">
        <f>IFERROR(__xludf.DUMMYFUNCTION("IF(IF(Z$1="""","""",REGEXMATCH(LOWER($E494),XLOOKUP(Z$1,Metadata!$A$2:$A1000,Metadata!$B$2:$B1000))),Z$1,"""")"),"")</f>
        <v/>
      </c>
    </row>
    <row r="495">
      <c r="A495" s="33"/>
      <c r="B495" s="33" t="str">
        <f t="array" ref="B495">XLOOKUP($A495,Cards!$A$2:$A1000,Cards!$B$2:$I1000,"")</f>
        <v/>
      </c>
      <c r="C495" s="33"/>
      <c r="D495" s="33"/>
      <c r="E495" s="33"/>
      <c r="F495" s="33"/>
      <c r="G495" s="33"/>
      <c r="H495" s="33"/>
      <c r="I495" s="33"/>
      <c r="J495" s="33">
        <f>IFERROR(__xludf.DUMMYFUNCTION("LEN(REGEXREPLACE(XLOOKUP($A495,Cards!$A$2:$A1000,Cards!$H$2:$H1000,""""),"",\s"",""""))"),0.0)</f>
        <v>0</v>
      </c>
      <c r="K495" s="33" t="str">
        <f t="shared" si="1"/>
        <v>               </v>
      </c>
      <c r="L495" s="33" t="str">
        <f>IFERROR(__xludf.DUMMYFUNCTION("IF(IF(L$1="""","""",REGEXMATCH(LOWER($E495),XLOOKUP(L$1,Metadata!$A$2:$A1000,Metadata!$B$2:$B1000))),L$1,"""")"),"")</f>
        <v/>
      </c>
      <c r="M495" s="33" t="str">
        <f>IFERROR(__xludf.DUMMYFUNCTION("IF(IF(M$1="""","""",REGEXMATCH(LOWER($E495),XLOOKUP(M$1,Metadata!$A$2:$A1000,Metadata!$B$2:$B1000))),M$1,"""")"),"")</f>
        <v/>
      </c>
      <c r="N495" s="33" t="str">
        <f>IFERROR(__xludf.DUMMYFUNCTION("IF(IF(N$1="""","""",REGEXMATCH(LOWER($E495),XLOOKUP(N$1,Metadata!$A$2:$A1000,Metadata!$B$2:$B1000))),N$1,"""")"),"")</f>
        <v/>
      </c>
      <c r="O495" s="33" t="str">
        <f>IFERROR(__xludf.DUMMYFUNCTION("IF(IF(O$1="""","""",REGEXMATCH(LOWER($E495),XLOOKUP(O$1,Metadata!$A$2:$A1000,Metadata!$B$2:$B1000))),O$1,"""")"),"")</f>
        <v/>
      </c>
      <c r="P495" s="33" t="str">
        <f>IFERROR(__xludf.DUMMYFUNCTION("IF(IF(P$1="""","""",REGEXMATCH(LOWER($E495),XLOOKUP(P$1,Metadata!$A$2:$A1000,Metadata!$B$2:$B1000))),P$1,"""")"),"")</f>
        <v/>
      </c>
      <c r="Q495" s="33" t="str">
        <f>IFERROR(__xludf.DUMMYFUNCTION("IF(IF(Q$1="""","""",REGEXMATCH(LOWER($E495),XLOOKUP(Q$1,Metadata!$A$2:$A1000,Metadata!$B$2:$B1000))),Q$1,"""")"),"")</f>
        <v/>
      </c>
      <c r="R495" s="33" t="str">
        <f>IFERROR(__xludf.DUMMYFUNCTION("IF(IF(R$1="""","""",REGEXMATCH(LOWER($E495),XLOOKUP(R$1,Metadata!$A$2:$A1000,Metadata!$B$2:$B1000))),R$1,"""")"),"")</f>
        <v/>
      </c>
      <c r="S495" s="33" t="str">
        <f>IFERROR(__xludf.DUMMYFUNCTION("IF(IF(S$1="""","""",REGEXMATCH(LOWER($E495),XLOOKUP(S$1,Metadata!$A$2:$A1000,Metadata!$B$2:$B1000))),S$1,"""")"),"")</f>
        <v/>
      </c>
      <c r="T495" s="33" t="str">
        <f>IFERROR(__xludf.DUMMYFUNCTION("IF(IF(T$1="""","""",REGEXMATCH(LOWER($E495),XLOOKUP(T$1,Metadata!$A$2:$A1000,Metadata!$B$2:$B1000))),T$1,"""")"),"")</f>
        <v/>
      </c>
      <c r="U495" s="33" t="str">
        <f>IFERROR(__xludf.DUMMYFUNCTION("IF(IF(U$1="""","""",REGEXMATCH(LOWER($E495),XLOOKUP(U$1,Metadata!$A$2:$A1000,Metadata!$B$2:$B1000))),U$1,"""")"),"")</f>
        <v/>
      </c>
      <c r="V495" s="33" t="str">
        <f>IFERROR(__xludf.DUMMYFUNCTION("IF(IF(V$1="""","""",REGEXMATCH(LOWER($E495),XLOOKUP(V$1,Metadata!$A$2:$A1000,Metadata!$B$2:$B1000))),V$1,"""")"),"")</f>
        <v/>
      </c>
      <c r="W495" s="33" t="str">
        <f>IFERROR(__xludf.DUMMYFUNCTION("IF(IF(W$1="""","""",REGEXMATCH(LOWER($E495),XLOOKUP(W$1,Metadata!$A$2:$A1000,Metadata!$B$2:$B1000))),W$1,"""")"),"")</f>
        <v/>
      </c>
      <c r="X495" s="33" t="str">
        <f>IFERROR(__xludf.DUMMYFUNCTION("IF(IF(X$1="""","""",REGEXMATCH(LOWER($E495),XLOOKUP(X$1,Metadata!$A$2:$A1000,Metadata!$B$2:$B1000))),X$1,"""")"),"")</f>
        <v/>
      </c>
      <c r="Y495" s="33" t="str">
        <f>IFERROR(__xludf.DUMMYFUNCTION("IF(IF(Y$1="""","""",REGEXMATCH(LOWER($E495),XLOOKUP(Y$1,Metadata!$A$2:$A1000,Metadata!$B$2:$B1000))),Y$1,"""")"),"")</f>
        <v/>
      </c>
      <c r="Z495" s="33" t="str">
        <f>IFERROR(__xludf.DUMMYFUNCTION("IF(IF(Z$1="""","""",REGEXMATCH(LOWER($E495),XLOOKUP(Z$1,Metadata!$A$2:$A1000,Metadata!$B$2:$B1000))),Z$1,"""")"),"")</f>
        <v/>
      </c>
    </row>
    <row r="496">
      <c r="A496" s="33"/>
      <c r="B496" s="33" t="str">
        <f t="array" ref="B496">XLOOKUP($A496,Cards!$A$2:$A1000,Cards!$B$2:$I1000,"")</f>
        <v/>
      </c>
      <c r="C496" s="33"/>
      <c r="D496" s="33"/>
      <c r="E496" s="33"/>
      <c r="F496" s="33"/>
      <c r="G496" s="33"/>
      <c r="H496" s="33"/>
      <c r="I496" s="33"/>
      <c r="J496" s="33">
        <f>IFERROR(__xludf.DUMMYFUNCTION("LEN(REGEXREPLACE(XLOOKUP($A496,Cards!$A$2:$A1000,Cards!$H$2:$H1000,""""),"",\s"",""""))"),0.0)</f>
        <v>0</v>
      </c>
      <c r="K496" s="33" t="str">
        <f t="shared" si="1"/>
        <v>               </v>
      </c>
      <c r="L496" s="33" t="str">
        <f>IFERROR(__xludf.DUMMYFUNCTION("IF(IF(L$1="""","""",REGEXMATCH(LOWER($E496),XLOOKUP(L$1,Metadata!$A$2:$A1000,Metadata!$B$2:$B1000))),L$1,"""")"),"")</f>
        <v/>
      </c>
      <c r="M496" s="33" t="str">
        <f>IFERROR(__xludf.DUMMYFUNCTION("IF(IF(M$1="""","""",REGEXMATCH(LOWER($E496),XLOOKUP(M$1,Metadata!$A$2:$A1000,Metadata!$B$2:$B1000))),M$1,"""")"),"")</f>
        <v/>
      </c>
      <c r="N496" s="33" t="str">
        <f>IFERROR(__xludf.DUMMYFUNCTION("IF(IF(N$1="""","""",REGEXMATCH(LOWER($E496),XLOOKUP(N$1,Metadata!$A$2:$A1000,Metadata!$B$2:$B1000))),N$1,"""")"),"")</f>
        <v/>
      </c>
      <c r="O496" s="33" t="str">
        <f>IFERROR(__xludf.DUMMYFUNCTION("IF(IF(O$1="""","""",REGEXMATCH(LOWER($E496),XLOOKUP(O$1,Metadata!$A$2:$A1000,Metadata!$B$2:$B1000))),O$1,"""")"),"")</f>
        <v/>
      </c>
      <c r="P496" s="33" t="str">
        <f>IFERROR(__xludf.DUMMYFUNCTION("IF(IF(P$1="""","""",REGEXMATCH(LOWER($E496),XLOOKUP(P$1,Metadata!$A$2:$A1000,Metadata!$B$2:$B1000))),P$1,"""")"),"")</f>
        <v/>
      </c>
      <c r="Q496" s="33" t="str">
        <f>IFERROR(__xludf.DUMMYFUNCTION("IF(IF(Q$1="""","""",REGEXMATCH(LOWER($E496),XLOOKUP(Q$1,Metadata!$A$2:$A1000,Metadata!$B$2:$B1000))),Q$1,"""")"),"")</f>
        <v/>
      </c>
      <c r="R496" s="33" t="str">
        <f>IFERROR(__xludf.DUMMYFUNCTION("IF(IF(R$1="""","""",REGEXMATCH(LOWER($E496),XLOOKUP(R$1,Metadata!$A$2:$A1000,Metadata!$B$2:$B1000))),R$1,"""")"),"")</f>
        <v/>
      </c>
      <c r="S496" s="33" t="str">
        <f>IFERROR(__xludf.DUMMYFUNCTION("IF(IF(S$1="""","""",REGEXMATCH(LOWER($E496),XLOOKUP(S$1,Metadata!$A$2:$A1000,Metadata!$B$2:$B1000))),S$1,"""")"),"")</f>
        <v/>
      </c>
      <c r="T496" s="33" t="str">
        <f>IFERROR(__xludf.DUMMYFUNCTION("IF(IF(T$1="""","""",REGEXMATCH(LOWER($E496),XLOOKUP(T$1,Metadata!$A$2:$A1000,Metadata!$B$2:$B1000))),T$1,"""")"),"")</f>
        <v/>
      </c>
      <c r="U496" s="33" t="str">
        <f>IFERROR(__xludf.DUMMYFUNCTION("IF(IF(U$1="""","""",REGEXMATCH(LOWER($E496),XLOOKUP(U$1,Metadata!$A$2:$A1000,Metadata!$B$2:$B1000))),U$1,"""")"),"")</f>
        <v/>
      </c>
      <c r="V496" s="33" t="str">
        <f>IFERROR(__xludf.DUMMYFUNCTION("IF(IF(V$1="""","""",REGEXMATCH(LOWER($E496),XLOOKUP(V$1,Metadata!$A$2:$A1000,Metadata!$B$2:$B1000))),V$1,"""")"),"")</f>
        <v/>
      </c>
      <c r="W496" s="33" t="str">
        <f>IFERROR(__xludf.DUMMYFUNCTION("IF(IF(W$1="""","""",REGEXMATCH(LOWER($E496),XLOOKUP(W$1,Metadata!$A$2:$A1000,Metadata!$B$2:$B1000))),W$1,"""")"),"")</f>
        <v/>
      </c>
      <c r="X496" s="33" t="str">
        <f>IFERROR(__xludf.DUMMYFUNCTION("IF(IF(X$1="""","""",REGEXMATCH(LOWER($E496),XLOOKUP(X$1,Metadata!$A$2:$A1000,Metadata!$B$2:$B1000))),X$1,"""")"),"")</f>
        <v/>
      </c>
      <c r="Y496" s="33" t="str">
        <f>IFERROR(__xludf.DUMMYFUNCTION("IF(IF(Y$1="""","""",REGEXMATCH(LOWER($E496),XLOOKUP(Y$1,Metadata!$A$2:$A1000,Metadata!$B$2:$B1000))),Y$1,"""")"),"")</f>
        <v/>
      </c>
      <c r="Z496" s="33" t="str">
        <f>IFERROR(__xludf.DUMMYFUNCTION("IF(IF(Z$1="""","""",REGEXMATCH(LOWER($E496),XLOOKUP(Z$1,Metadata!$A$2:$A1000,Metadata!$B$2:$B1000))),Z$1,"""")"),"")</f>
        <v/>
      </c>
    </row>
    <row r="497">
      <c r="A497" s="33"/>
      <c r="B497" s="33" t="str">
        <f t="array" ref="B497">XLOOKUP($A497,Cards!$A$2:$A1000,Cards!$B$2:$I1000,"")</f>
        <v/>
      </c>
      <c r="C497" s="33"/>
      <c r="D497" s="33"/>
      <c r="E497" s="33"/>
      <c r="F497" s="33"/>
      <c r="G497" s="33"/>
      <c r="H497" s="33"/>
      <c r="I497" s="33"/>
      <c r="J497" s="33">
        <f>IFERROR(__xludf.DUMMYFUNCTION("LEN(REGEXREPLACE(XLOOKUP($A497,Cards!$A$2:$A1000,Cards!$H$2:$H1000,""""),"",\s"",""""))"),0.0)</f>
        <v>0</v>
      </c>
      <c r="K497" s="33" t="str">
        <f t="shared" si="1"/>
        <v>               </v>
      </c>
      <c r="L497" s="33" t="str">
        <f>IFERROR(__xludf.DUMMYFUNCTION("IF(IF(L$1="""","""",REGEXMATCH(LOWER($E497),XLOOKUP(L$1,Metadata!$A$2:$A1000,Metadata!$B$2:$B1000))),L$1,"""")"),"")</f>
        <v/>
      </c>
      <c r="M497" s="33" t="str">
        <f>IFERROR(__xludf.DUMMYFUNCTION("IF(IF(M$1="""","""",REGEXMATCH(LOWER($E497),XLOOKUP(M$1,Metadata!$A$2:$A1000,Metadata!$B$2:$B1000))),M$1,"""")"),"")</f>
        <v/>
      </c>
      <c r="N497" s="33" t="str">
        <f>IFERROR(__xludf.DUMMYFUNCTION("IF(IF(N$1="""","""",REGEXMATCH(LOWER($E497),XLOOKUP(N$1,Metadata!$A$2:$A1000,Metadata!$B$2:$B1000))),N$1,"""")"),"")</f>
        <v/>
      </c>
      <c r="O497" s="33" t="str">
        <f>IFERROR(__xludf.DUMMYFUNCTION("IF(IF(O$1="""","""",REGEXMATCH(LOWER($E497),XLOOKUP(O$1,Metadata!$A$2:$A1000,Metadata!$B$2:$B1000))),O$1,"""")"),"")</f>
        <v/>
      </c>
      <c r="P497" s="33" t="str">
        <f>IFERROR(__xludf.DUMMYFUNCTION("IF(IF(P$1="""","""",REGEXMATCH(LOWER($E497),XLOOKUP(P$1,Metadata!$A$2:$A1000,Metadata!$B$2:$B1000))),P$1,"""")"),"")</f>
        <v/>
      </c>
      <c r="Q497" s="33" t="str">
        <f>IFERROR(__xludf.DUMMYFUNCTION("IF(IF(Q$1="""","""",REGEXMATCH(LOWER($E497),XLOOKUP(Q$1,Metadata!$A$2:$A1000,Metadata!$B$2:$B1000))),Q$1,"""")"),"")</f>
        <v/>
      </c>
      <c r="R497" s="33" t="str">
        <f>IFERROR(__xludf.DUMMYFUNCTION("IF(IF(R$1="""","""",REGEXMATCH(LOWER($E497),XLOOKUP(R$1,Metadata!$A$2:$A1000,Metadata!$B$2:$B1000))),R$1,"""")"),"")</f>
        <v/>
      </c>
      <c r="S497" s="33" t="str">
        <f>IFERROR(__xludf.DUMMYFUNCTION("IF(IF(S$1="""","""",REGEXMATCH(LOWER($E497),XLOOKUP(S$1,Metadata!$A$2:$A1000,Metadata!$B$2:$B1000))),S$1,"""")"),"")</f>
        <v/>
      </c>
      <c r="T497" s="33" t="str">
        <f>IFERROR(__xludf.DUMMYFUNCTION("IF(IF(T$1="""","""",REGEXMATCH(LOWER($E497),XLOOKUP(T$1,Metadata!$A$2:$A1000,Metadata!$B$2:$B1000))),T$1,"""")"),"")</f>
        <v/>
      </c>
      <c r="U497" s="33" t="str">
        <f>IFERROR(__xludf.DUMMYFUNCTION("IF(IF(U$1="""","""",REGEXMATCH(LOWER($E497),XLOOKUP(U$1,Metadata!$A$2:$A1000,Metadata!$B$2:$B1000))),U$1,"""")"),"")</f>
        <v/>
      </c>
      <c r="V497" s="33" t="str">
        <f>IFERROR(__xludf.DUMMYFUNCTION("IF(IF(V$1="""","""",REGEXMATCH(LOWER($E497),XLOOKUP(V$1,Metadata!$A$2:$A1000,Metadata!$B$2:$B1000))),V$1,"""")"),"")</f>
        <v/>
      </c>
      <c r="W497" s="33" t="str">
        <f>IFERROR(__xludf.DUMMYFUNCTION("IF(IF(W$1="""","""",REGEXMATCH(LOWER($E497),XLOOKUP(W$1,Metadata!$A$2:$A1000,Metadata!$B$2:$B1000))),W$1,"""")"),"")</f>
        <v/>
      </c>
      <c r="X497" s="33" t="str">
        <f>IFERROR(__xludf.DUMMYFUNCTION("IF(IF(X$1="""","""",REGEXMATCH(LOWER($E497),XLOOKUP(X$1,Metadata!$A$2:$A1000,Metadata!$B$2:$B1000))),X$1,"""")"),"")</f>
        <v/>
      </c>
      <c r="Y497" s="33" t="str">
        <f>IFERROR(__xludf.DUMMYFUNCTION("IF(IF(Y$1="""","""",REGEXMATCH(LOWER($E497),XLOOKUP(Y$1,Metadata!$A$2:$A1000,Metadata!$B$2:$B1000))),Y$1,"""")"),"")</f>
        <v/>
      </c>
      <c r="Z497" s="33" t="str">
        <f>IFERROR(__xludf.DUMMYFUNCTION("IF(IF(Z$1="""","""",REGEXMATCH(LOWER($E497),XLOOKUP(Z$1,Metadata!$A$2:$A1000,Metadata!$B$2:$B1000))),Z$1,"""")"),"")</f>
        <v/>
      </c>
    </row>
    <row r="498">
      <c r="A498" s="33"/>
      <c r="B498" s="33" t="str">
        <f t="array" ref="B498">XLOOKUP($A498,Cards!$A$2:$A1000,Cards!$B$2:$I1000,"")</f>
        <v/>
      </c>
      <c r="C498" s="33"/>
      <c r="D498" s="33"/>
      <c r="E498" s="33"/>
      <c r="F498" s="33"/>
      <c r="G498" s="33"/>
      <c r="H498" s="33"/>
      <c r="I498" s="33"/>
      <c r="J498" s="33">
        <f>IFERROR(__xludf.DUMMYFUNCTION("LEN(REGEXREPLACE(XLOOKUP($A498,Cards!$A$2:$A1000,Cards!$H$2:$H1000,""""),"",\s"",""""))"),0.0)</f>
        <v>0</v>
      </c>
      <c r="K498" s="33" t="str">
        <f t="shared" si="1"/>
        <v>               </v>
      </c>
      <c r="L498" s="33" t="str">
        <f>IFERROR(__xludf.DUMMYFUNCTION("IF(IF(L$1="""","""",REGEXMATCH(LOWER($E498),XLOOKUP(L$1,Metadata!$A$2:$A1000,Metadata!$B$2:$B1000))),L$1,"""")"),"")</f>
        <v/>
      </c>
      <c r="M498" s="33" t="str">
        <f>IFERROR(__xludf.DUMMYFUNCTION("IF(IF(M$1="""","""",REGEXMATCH(LOWER($E498),XLOOKUP(M$1,Metadata!$A$2:$A1000,Metadata!$B$2:$B1000))),M$1,"""")"),"")</f>
        <v/>
      </c>
      <c r="N498" s="33" t="str">
        <f>IFERROR(__xludf.DUMMYFUNCTION("IF(IF(N$1="""","""",REGEXMATCH(LOWER($E498),XLOOKUP(N$1,Metadata!$A$2:$A1000,Metadata!$B$2:$B1000))),N$1,"""")"),"")</f>
        <v/>
      </c>
      <c r="O498" s="33" t="str">
        <f>IFERROR(__xludf.DUMMYFUNCTION("IF(IF(O$1="""","""",REGEXMATCH(LOWER($E498),XLOOKUP(O$1,Metadata!$A$2:$A1000,Metadata!$B$2:$B1000))),O$1,"""")"),"")</f>
        <v/>
      </c>
      <c r="P498" s="33" t="str">
        <f>IFERROR(__xludf.DUMMYFUNCTION("IF(IF(P$1="""","""",REGEXMATCH(LOWER($E498),XLOOKUP(P$1,Metadata!$A$2:$A1000,Metadata!$B$2:$B1000))),P$1,"""")"),"")</f>
        <v/>
      </c>
      <c r="Q498" s="33" t="str">
        <f>IFERROR(__xludf.DUMMYFUNCTION("IF(IF(Q$1="""","""",REGEXMATCH(LOWER($E498),XLOOKUP(Q$1,Metadata!$A$2:$A1000,Metadata!$B$2:$B1000))),Q$1,"""")"),"")</f>
        <v/>
      </c>
      <c r="R498" s="33" t="str">
        <f>IFERROR(__xludf.DUMMYFUNCTION("IF(IF(R$1="""","""",REGEXMATCH(LOWER($E498),XLOOKUP(R$1,Metadata!$A$2:$A1000,Metadata!$B$2:$B1000))),R$1,"""")"),"")</f>
        <v/>
      </c>
      <c r="S498" s="33" t="str">
        <f>IFERROR(__xludf.DUMMYFUNCTION("IF(IF(S$1="""","""",REGEXMATCH(LOWER($E498),XLOOKUP(S$1,Metadata!$A$2:$A1000,Metadata!$B$2:$B1000))),S$1,"""")"),"")</f>
        <v/>
      </c>
      <c r="T498" s="33" t="str">
        <f>IFERROR(__xludf.DUMMYFUNCTION("IF(IF(T$1="""","""",REGEXMATCH(LOWER($E498),XLOOKUP(T$1,Metadata!$A$2:$A1000,Metadata!$B$2:$B1000))),T$1,"""")"),"")</f>
        <v/>
      </c>
      <c r="U498" s="33" t="str">
        <f>IFERROR(__xludf.DUMMYFUNCTION("IF(IF(U$1="""","""",REGEXMATCH(LOWER($E498),XLOOKUP(U$1,Metadata!$A$2:$A1000,Metadata!$B$2:$B1000))),U$1,"""")"),"")</f>
        <v/>
      </c>
      <c r="V498" s="33" t="str">
        <f>IFERROR(__xludf.DUMMYFUNCTION("IF(IF(V$1="""","""",REGEXMATCH(LOWER($E498),XLOOKUP(V$1,Metadata!$A$2:$A1000,Metadata!$B$2:$B1000))),V$1,"""")"),"")</f>
        <v/>
      </c>
      <c r="W498" s="33" t="str">
        <f>IFERROR(__xludf.DUMMYFUNCTION("IF(IF(W$1="""","""",REGEXMATCH(LOWER($E498),XLOOKUP(W$1,Metadata!$A$2:$A1000,Metadata!$B$2:$B1000))),W$1,"""")"),"")</f>
        <v/>
      </c>
      <c r="X498" s="33" t="str">
        <f>IFERROR(__xludf.DUMMYFUNCTION("IF(IF(X$1="""","""",REGEXMATCH(LOWER($E498),XLOOKUP(X$1,Metadata!$A$2:$A1000,Metadata!$B$2:$B1000))),X$1,"""")"),"")</f>
        <v/>
      </c>
      <c r="Y498" s="33" t="str">
        <f>IFERROR(__xludf.DUMMYFUNCTION("IF(IF(Y$1="""","""",REGEXMATCH(LOWER($E498),XLOOKUP(Y$1,Metadata!$A$2:$A1000,Metadata!$B$2:$B1000))),Y$1,"""")"),"")</f>
        <v/>
      </c>
      <c r="Z498" s="33" t="str">
        <f>IFERROR(__xludf.DUMMYFUNCTION("IF(IF(Z$1="""","""",REGEXMATCH(LOWER($E498),XLOOKUP(Z$1,Metadata!$A$2:$A1000,Metadata!$B$2:$B1000))),Z$1,"""")"),"")</f>
        <v/>
      </c>
    </row>
    <row r="499">
      <c r="A499" s="33"/>
      <c r="B499" s="33" t="str">
        <f t="array" ref="B499">XLOOKUP($A499,Cards!$A$2:$A1000,Cards!$B$2:$I1000,"")</f>
        <v/>
      </c>
      <c r="C499" s="33"/>
      <c r="D499" s="33"/>
      <c r="E499" s="33"/>
      <c r="F499" s="33"/>
      <c r="G499" s="33"/>
      <c r="H499" s="33"/>
      <c r="I499" s="33"/>
      <c r="J499" s="33">
        <f>IFERROR(__xludf.DUMMYFUNCTION("LEN(REGEXREPLACE(XLOOKUP($A499,Cards!$A$2:$A1000,Cards!$H$2:$H1000,""""),"",\s"",""""))"),0.0)</f>
        <v>0</v>
      </c>
      <c r="K499" s="33" t="str">
        <f t="shared" si="1"/>
        <v>               </v>
      </c>
      <c r="L499" s="33" t="str">
        <f>IFERROR(__xludf.DUMMYFUNCTION("IF(IF(L$1="""","""",REGEXMATCH(LOWER($E499),XLOOKUP(L$1,Metadata!$A$2:$A1000,Metadata!$B$2:$B1000))),L$1,"""")"),"")</f>
        <v/>
      </c>
      <c r="M499" s="33" t="str">
        <f>IFERROR(__xludf.DUMMYFUNCTION("IF(IF(M$1="""","""",REGEXMATCH(LOWER($E499),XLOOKUP(M$1,Metadata!$A$2:$A1000,Metadata!$B$2:$B1000))),M$1,"""")"),"")</f>
        <v/>
      </c>
      <c r="N499" s="33" t="str">
        <f>IFERROR(__xludf.DUMMYFUNCTION("IF(IF(N$1="""","""",REGEXMATCH(LOWER($E499),XLOOKUP(N$1,Metadata!$A$2:$A1000,Metadata!$B$2:$B1000))),N$1,"""")"),"")</f>
        <v/>
      </c>
      <c r="O499" s="33" t="str">
        <f>IFERROR(__xludf.DUMMYFUNCTION("IF(IF(O$1="""","""",REGEXMATCH(LOWER($E499),XLOOKUP(O$1,Metadata!$A$2:$A1000,Metadata!$B$2:$B1000))),O$1,"""")"),"")</f>
        <v/>
      </c>
      <c r="P499" s="33" t="str">
        <f>IFERROR(__xludf.DUMMYFUNCTION("IF(IF(P$1="""","""",REGEXMATCH(LOWER($E499),XLOOKUP(P$1,Metadata!$A$2:$A1000,Metadata!$B$2:$B1000))),P$1,"""")"),"")</f>
        <v/>
      </c>
      <c r="Q499" s="33" t="str">
        <f>IFERROR(__xludf.DUMMYFUNCTION("IF(IF(Q$1="""","""",REGEXMATCH(LOWER($E499),XLOOKUP(Q$1,Metadata!$A$2:$A1000,Metadata!$B$2:$B1000))),Q$1,"""")"),"")</f>
        <v/>
      </c>
      <c r="R499" s="33" t="str">
        <f>IFERROR(__xludf.DUMMYFUNCTION("IF(IF(R$1="""","""",REGEXMATCH(LOWER($E499),XLOOKUP(R$1,Metadata!$A$2:$A1000,Metadata!$B$2:$B1000))),R$1,"""")"),"")</f>
        <v/>
      </c>
      <c r="S499" s="33" t="str">
        <f>IFERROR(__xludf.DUMMYFUNCTION("IF(IF(S$1="""","""",REGEXMATCH(LOWER($E499),XLOOKUP(S$1,Metadata!$A$2:$A1000,Metadata!$B$2:$B1000))),S$1,"""")"),"")</f>
        <v/>
      </c>
      <c r="T499" s="33" t="str">
        <f>IFERROR(__xludf.DUMMYFUNCTION("IF(IF(T$1="""","""",REGEXMATCH(LOWER($E499),XLOOKUP(T$1,Metadata!$A$2:$A1000,Metadata!$B$2:$B1000))),T$1,"""")"),"")</f>
        <v/>
      </c>
      <c r="U499" s="33" t="str">
        <f>IFERROR(__xludf.DUMMYFUNCTION("IF(IF(U$1="""","""",REGEXMATCH(LOWER($E499),XLOOKUP(U$1,Metadata!$A$2:$A1000,Metadata!$B$2:$B1000))),U$1,"""")"),"")</f>
        <v/>
      </c>
      <c r="V499" s="33" t="str">
        <f>IFERROR(__xludf.DUMMYFUNCTION("IF(IF(V$1="""","""",REGEXMATCH(LOWER($E499),XLOOKUP(V$1,Metadata!$A$2:$A1000,Metadata!$B$2:$B1000))),V$1,"""")"),"")</f>
        <v/>
      </c>
      <c r="W499" s="33" t="str">
        <f>IFERROR(__xludf.DUMMYFUNCTION("IF(IF(W$1="""","""",REGEXMATCH(LOWER($E499),XLOOKUP(W$1,Metadata!$A$2:$A1000,Metadata!$B$2:$B1000))),W$1,"""")"),"")</f>
        <v/>
      </c>
      <c r="X499" s="33" t="str">
        <f>IFERROR(__xludf.DUMMYFUNCTION("IF(IF(X$1="""","""",REGEXMATCH(LOWER($E499),XLOOKUP(X$1,Metadata!$A$2:$A1000,Metadata!$B$2:$B1000))),X$1,"""")"),"")</f>
        <v/>
      </c>
      <c r="Y499" s="33" t="str">
        <f>IFERROR(__xludf.DUMMYFUNCTION("IF(IF(Y$1="""","""",REGEXMATCH(LOWER($E499),XLOOKUP(Y$1,Metadata!$A$2:$A1000,Metadata!$B$2:$B1000))),Y$1,"""")"),"")</f>
        <v/>
      </c>
      <c r="Z499" s="33" t="str">
        <f>IFERROR(__xludf.DUMMYFUNCTION("IF(IF(Z$1="""","""",REGEXMATCH(LOWER($E499),XLOOKUP(Z$1,Metadata!$A$2:$A1000,Metadata!$B$2:$B1000))),Z$1,"""")"),"")</f>
        <v/>
      </c>
    </row>
    <row r="500">
      <c r="A500" s="33"/>
      <c r="B500" s="33" t="str">
        <f t="array" ref="B500">XLOOKUP($A500,Cards!$A$2:$A1000,Cards!$B$2:$I1000,"")</f>
        <v/>
      </c>
      <c r="C500" s="33"/>
      <c r="D500" s="33"/>
      <c r="E500" s="33"/>
      <c r="F500" s="33"/>
      <c r="G500" s="33"/>
      <c r="H500" s="33"/>
      <c r="I500" s="33"/>
      <c r="J500" s="33">
        <f>IFERROR(__xludf.DUMMYFUNCTION("LEN(REGEXREPLACE(XLOOKUP($A500,Cards!$A$2:$A1000,Cards!$H$2:$H1000,""""),"",\s"",""""))"),0.0)</f>
        <v>0</v>
      </c>
      <c r="K500" s="33" t="str">
        <f t="shared" si="1"/>
        <v>               </v>
      </c>
      <c r="L500" s="33" t="str">
        <f>IFERROR(__xludf.DUMMYFUNCTION("IF(IF(L$1="""","""",REGEXMATCH(LOWER($E500),XLOOKUP(L$1,Metadata!$A$2:$A1000,Metadata!$B$2:$B1000))),L$1,"""")"),"")</f>
        <v/>
      </c>
      <c r="M500" s="33" t="str">
        <f>IFERROR(__xludf.DUMMYFUNCTION("IF(IF(M$1="""","""",REGEXMATCH(LOWER($E500),XLOOKUP(M$1,Metadata!$A$2:$A1000,Metadata!$B$2:$B1000))),M$1,"""")"),"")</f>
        <v/>
      </c>
      <c r="N500" s="33" t="str">
        <f>IFERROR(__xludf.DUMMYFUNCTION("IF(IF(N$1="""","""",REGEXMATCH(LOWER($E500),XLOOKUP(N$1,Metadata!$A$2:$A1000,Metadata!$B$2:$B1000))),N$1,"""")"),"")</f>
        <v/>
      </c>
      <c r="O500" s="33" t="str">
        <f>IFERROR(__xludf.DUMMYFUNCTION("IF(IF(O$1="""","""",REGEXMATCH(LOWER($E500),XLOOKUP(O$1,Metadata!$A$2:$A1000,Metadata!$B$2:$B1000))),O$1,"""")"),"")</f>
        <v/>
      </c>
      <c r="P500" s="33" t="str">
        <f>IFERROR(__xludf.DUMMYFUNCTION("IF(IF(P$1="""","""",REGEXMATCH(LOWER($E500),XLOOKUP(P$1,Metadata!$A$2:$A1000,Metadata!$B$2:$B1000))),P$1,"""")"),"")</f>
        <v/>
      </c>
      <c r="Q500" s="33" t="str">
        <f>IFERROR(__xludf.DUMMYFUNCTION("IF(IF(Q$1="""","""",REGEXMATCH(LOWER($E500),XLOOKUP(Q$1,Metadata!$A$2:$A1000,Metadata!$B$2:$B1000))),Q$1,"""")"),"")</f>
        <v/>
      </c>
      <c r="R500" s="33" t="str">
        <f>IFERROR(__xludf.DUMMYFUNCTION("IF(IF(R$1="""","""",REGEXMATCH(LOWER($E500),XLOOKUP(R$1,Metadata!$A$2:$A1000,Metadata!$B$2:$B1000))),R$1,"""")"),"")</f>
        <v/>
      </c>
      <c r="S500" s="33" t="str">
        <f>IFERROR(__xludf.DUMMYFUNCTION("IF(IF(S$1="""","""",REGEXMATCH(LOWER($E500),XLOOKUP(S$1,Metadata!$A$2:$A1000,Metadata!$B$2:$B1000))),S$1,"""")"),"")</f>
        <v/>
      </c>
      <c r="T500" s="33" t="str">
        <f>IFERROR(__xludf.DUMMYFUNCTION("IF(IF(T$1="""","""",REGEXMATCH(LOWER($E500),XLOOKUP(T$1,Metadata!$A$2:$A1000,Metadata!$B$2:$B1000))),T$1,"""")"),"")</f>
        <v/>
      </c>
      <c r="U500" s="33" t="str">
        <f>IFERROR(__xludf.DUMMYFUNCTION("IF(IF(U$1="""","""",REGEXMATCH(LOWER($E500),XLOOKUP(U$1,Metadata!$A$2:$A1000,Metadata!$B$2:$B1000))),U$1,"""")"),"")</f>
        <v/>
      </c>
      <c r="V500" s="33" t="str">
        <f>IFERROR(__xludf.DUMMYFUNCTION("IF(IF(V$1="""","""",REGEXMATCH(LOWER($E500),XLOOKUP(V$1,Metadata!$A$2:$A1000,Metadata!$B$2:$B1000))),V$1,"""")"),"")</f>
        <v/>
      </c>
      <c r="W500" s="33" t="str">
        <f>IFERROR(__xludf.DUMMYFUNCTION("IF(IF(W$1="""","""",REGEXMATCH(LOWER($E500),XLOOKUP(W$1,Metadata!$A$2:$A1000,Metadata!$B$2:$B1000))),W$1,"""")"),"")</f>
        <v/>
      </c>
      <c r="X500" s="33" t="str">
        <f>IFERROR(__xludf.DUMMYFUNCTION("IF(IF(X$1="""","""",REGEXMATCH(LOWER($E500),XLOOKUP(X$1,Metadata!$A$2:$A1000,Metadata!$B$2:$B1000))),X$1,"""")"),"")</f>
        <v/>
      </c>
      <c r="Y500" s="33" t="str">
        <f>IFERROR(__xludf.DUMMYFUNCTION("IF(IF(Y$1="""","""",REGEXMATCH(LOWER($E500),XLOOKUP(Y$1,Metadata!$A$2:$A1000,Metadata!$B$2:$B1000))),Y$1,"""")"),"")</f>
        <v/>
      </c>
      <c r="Z500" s="33" t="str">
        <f>IFERROR(__xludf.DUMMYFUNCTION("IF(IF(Z$1="""","""",REGEXMATCH(LOWER($E500),XLOOKUP(Z$1,Metadata!$A$2:$A1000,Metadata!$B$2:$B1000))),Z$1,"""")"),"")</f>
        <v/>
      </c>
    </row>
    <row r="501">
      <c r="A501" s="33"/>
      <c r="B501" s="33" t="str">
        <f t="array" ref="B501">XLOOKUP($A501,Cards!$A$2:$A1000,Cards!$B$2:$I1000,"")</f>
        <v/>
      </c>
      <c r="C501" s="33"/>
      <c r="D501" s="33"/>
      <c r="E501" s="33"/>
      <c r="F501" s="33"/>
      <c r="G501" s="33"/>
      <c r="H501" s="33"/>
      <c r="I501" s="33"/>
      <c r="J501" s="33">
        <f>IFERROR(__xludf.DUMMYFUNCTION("LEN(REGEXREPLACE(XLOOKUP($A501,Cards!$A$2:$A1000,Cards!$H$2:$H1000,""""),"",\s"",""""))"),0.0)</f>
        <v>0</v>
      </c>
      <c r="K501" s="33" t="str">
        <f t="shared" si="1"/>
        <v>               </v>
      </c>
      <c r="L501" s="33" t="str">
        <f>IFERROR(__xludf.DUMMYFUNCTION("IF(IF(L$1="""","""",REGEXMATCH(LOWER($E501),XLOOKUP(L$1,Metadata!$A$2:$A1000,Metadata!$B$2:$B1000))),L$1,"""")"),"")</f>
        <v/>
      </c>
      <c r="M501" s="33" t="str">
        <f>IFERROR(__xludf.DUMMYFUNCTION("IF(IF(M$1="""","""",REGEXMATCH(LOWER($E501),XLOOKUP(M$1,Metadata!$A$2:$A1000,Metadata!$B$2:$B1000))),M$1,"""")"),"")</f>
        <v/>
      </c>
      <c r="N501" s="33" t="str">
        <f>IFERROR(__xludf.DUMMYFUNCTION("IF(IF(N$1="""","""",REGEXMATCH(LOWER($E501),XLOOKUP(N$1,Metadata!$A$2:$A1000,Metadata!$B$2:$B1000))),N$1,"""")"),"")</f>
        <v/>
      </c>
      <c r="O501" s="33" t="str">
        <f>IFERROR(__xludf.DUMMYFUNCTION("IF(IF(O$1="""","""",REGEXMATCH(LOWER($E501),XLOOKUP(O$1,Metadata!$A$2:$A1000,Metadata!$B$2:$B1000))),O$1,"""")"),"")</f>
        <v/>
      </c>
      <c r="P501" s="33" t="str">
        <f>IFERROR(__xludf.DUMMYFUNCTION("IF(IF(P$1="""","""",REGEXMATCH(LOWER($E501),XLOOKUP(P$1,Metadata!$A$2:$A1000,Metadata!$B$2:$B1000))),P$1,"""")"),"")</f>
        <v/>
      </c>
      <c r="Q501" s="33" t="str">
        <f>IFERROR(__xludf.DUMMYFUNCTION("IF(IF(Q$1="""","""",REGEXMATCH(LOWER($E501),XLOOKUP(Q$1,Metadata!$A$2:$A1000,Metadata!$B$2:$B1000))),Q$1,"""")"),"")</f>
        <v/>
      </c>
      <c r="R501" s="33" t="str">
        <f>IFERROR(__xludf.DUMMYFUNCTION("IF(IF(R$1="""","""",REGEXMATCH(LOWER($E501),XLOOKUP(R$1,Metadata!$A$2:$A1000,Metadata!$B$2:$B1000))),R$1,"""")"),"")</f>
        <v/>
      </c>
      <c r="S501" s="33" t="str">
        <f>IFERROR(__xludf.DUMMYFUNCTION("IF(IF(S$1="""","""",REGEXMATCH(LOWER($E501),XLOOKUP(S$1,Metadata!$A$2:$A1000,Metadata!$B$2:$B1000))),S$1,"""")"),"")</f>
        <v/>
      </c>
      <c r="T501" s="33" t="str">
        <f>IFERROR(__xludf.DUMMYFUNCTION("IF(IF(T$1="""","""",REGEXMATCH(LOWER($E501),XLOOKUP(T$1,Metadata!$A$2:$A1000,Metadata!$B$2:$B1000))),T$1,"""")"),"")</f>
        <v/>
      </c>
      <c r="U501" s="33" t="str">
        <f>IFERROR(__xludf.DUMMYFUNCTION("IF(IF(U$1="""","""",REGEXMATCH(LOWER($E501),XLOOKUP(U$1,Metadata!$A$2:$A1000,Metadata!$B$2:$B1000))),U$1,"""")"),"")</f>
        <v/>
      </c>
      <c r="V501" s="33" t="str">
        <f>IFERROR(__xludf.DUMMYFUNCTION("IF(IF(V$1="""","""",REGEXMATCH(LOWER($E501),XLOOKUP(V$1,Metadata!$A$2:$A1000,Metadata!$B$2:$B1000))),V$1,"""")"),"")</f>
        <v/>
      </c>
      <c r="W501" s="33" t="str">
        <f>IFERROR(__xludf.DUMMYFUNCTION("IF(IF(W$1="""","""",REGEXMATCH(LOWER($E501),XLOOKUP(W$1,Metadata!$A$2:$A1000,Metadata!$B$2:$B1000))),W$1,"""")"),"")</f>
        <v/>
      </c>
      <c r="X501" s="33" t="str">
        <f>IFERROR(__xludf.DUMMYFUNCTION("IF(IF(X$1="""","""",REGEXMATCH(LOWER($E501),XLOOKUP(X$1,Metadata!$A$2:$A1000,Metadata!$B$2:$B1000))),X$1,"""")"),"")</f>
        <v/>
      </c>
      <c r="Y501" s="33" t="str">
        <f>IFERROR(__xludf.DUMMYFUNCTION("IF(IF(Y$1="""","""",REGEXMATCH(LOWER($E501),XLOOKUP(Y$1,Metadata!$A$2:$A1000,Metadata!$B$2:$B1000))),Y$1,"""")"),"")</f>
        <v/>
      </c>
      <c r="Z501" s="33" t="str">
        <f>IFERROR(__xludf.DUMMYFUNCTION("IF(IF(Z$1="""","""",REGEXMATCH(LOWER($E501),XLOOKUP(Z$1,Metadata!$A$2:$A1000,Metadata!$B$2:$B1000))),Z$1,"""")"),"")</f>
        <v/>
      </c>
    </row>
    <row r="502">
      <c r="A502" s="33"/>
      <c r="B502" s="33" t="str">
        <f t="array" ref="B502">XLOOKUP($A502,Cards!$A$2:$A1000,Cards!$B$2:$I1000,"")</f>
        <v/>
      </c>
      <c r="C502" s="33"/>
      <c r="D502" s="33"/>
      <c r="E502" s="33"/>
      <c r="F502" s="33"/>
      <c r="G502" s="33"/>
      <c r="H502" s="33"/>
      <c r="I502" s="33"/>
      <c r="J502" s="33">
        <f>IFERROR(__xludf.DUMMYFUNCTION("LEN(REGEXREPLACE(XLOOKUP($A502,Cards!$A$2:$A1000,Cards!$H$2:$H1000,""""),"",\s"",""""))"),0.0)</f>
        <v>0</v>
      </c>
      <c r="K502" s="33" t="str">
        <f t="shared" si="1"/>
        <v>               </v>
      </c>
      <c r="L502" s="33" t="str">
        <f>IFERROR(__xludf.DUMMYFUNCTION("IF(IF(L$1="""","""",REGEXMATCH(LOWER($E502),XLOOKUP(L$1,Metadata!$A$2:$A1000,Metadata!$B$2:$B1000))),L$1,"""")"),"")</f>
        <v/>
      </c>
      <c r="M502" s="33" t="str">
        <f>IFERROR(__xludf.DUMMYFUNCTION("IF(IF(M$1="""","""",REGEXMATCH(LOWER($E502),XLOOKUP(M$1,Metadata!$A$2:$A1000,Metadata!$B$2:$B1000))),M$1,"""")"),"")</f>
        <v/>
      </c>
      <c r="N502" s="33" t="str">
        <f>IFERROR(__xludf.DUMMYFUNCTION("IF(IF(N$1="""","""",REGEXMATCH(LOWER($E502),XLOOKUP(N$1,Metadata!$A$2:$A1000,Metadata!$B$2:$B1000))),N$1,"""")"),"")</f>
        <v/>
      </c>
      <c r="O502" s="33" t="str">
        <f>IFERROR(__xludf.DUMMYFUNCTION("IF(IF(O$1="""","""",REGEXMATCH(LOWER($E502),XLOOKUP(O$1,Metadata!$A$2:$A1000,Metadata!$B$2:$B1000))),O$1,"""")"),"")</f>
        <v/>
      </c>
      <c r="P502" s="33" t="str">
        <f>IFERROR(__xludf.DUMMYFUNCTION("IF(IF(P$1="""","""",REGEXMATCH(LOWER($E502),XLOOKUP(P$1,Metadata!$A$2:$A1000,Metadata!$B$2:$B1000))),P$1,"""")"),"")</f>
        <v/>
      </c>
      <c r="Q502" s="33" t="str">
        <f>IFERROR(__xludf.DUMMYFUNCTION("IF(IF(Q$1="""","""",REGEXMATCH(LOWER($E502),XLOOKUP(Q$1,Metadata!$A$2:$A1000,Metadata!$B$2:$B1000))),Q$1,"""")"),"")</f>
        <v/>
      </c>
      <c r="R502" s="33" t="str">
        <f>IFERROR(__xludf.DUMMYFUNCTION("IF(IF(R$1="""","""",REGEXMATCH(LOWER($E502),XLOOKUP(R$1,Metadata!$A$2:$A1000,Metadata!$B$2:$B1000))),R$1,"""")"),"")</f>
        <v/>
      </c>
      <c r="S502" s="33" t="str">
        <f>IFERROR(__xludf.DUMMYFUNCTION("IF(IF(S$1="""","""",REGEXMATCH(LOWER($E502),XLOOKUP(S$1,Metadata!$A$2:$A1000,Metadata!$B$2:$B1000))),S$1,"""")"),"")</f>
        <v/>
      </c>
      <c r="T502" s="33" t="str">
        <f>IFERROR(__xludf.DUMMYFUNCTION("IF(IF(T$1="""","""",REGEXMATCH(LOWER($E502),XLOOKUP(T$1,Metadata!$A$2:$A1000,Metadata!$B$2:$B1000))),T$1,"""")"),"")</f>
        <v/>
      </c>
      <c r="U502" s="33" t="str">
        <f>IFERROR(__xludf.DUMMYFUNCTION("IF(IF(U$1="""","""",REGEXMATCH(LOWER($E502),XLOOKUP(U$1,Metadata!$A$2:$A1000,Metadata!$B$2:$B1000))),U$1,"""")"),"")</f>
        <v/>
      </c>
      <c r="V502" s="33" t="str">
        <f>IFERROR(__xludf.DUMMYFUNCTION("IF(IF(V$1="""","""",REGEXMATCH(LOWER($E502),XLOOKUP(V$1,Metadata!$A$2:$A1000,Metadata!$B$2:$B1000))),V$1,"""")"),"")</f>
        <v/>
      </c>
      <c r="W502" s="33" t="str">
        <f>IFERROR(__xludf.DUMMYFUNCTION("IF(IF(W$1="""","""",REGEXMATCH(LOWER($E502),XLOOKUP(W$1,Metadata!$A$2:$A1000,Metadata!$B$2:$B1000))),W$1,"""")"),"")</f>
        <v/>
      </c>
      <c r="X502" s="33" t="str">
        <f>IFERROR(__xludf.DUMMYFUNCTION("IF(IF(X$1="""","""",REGEXMATCH(LOWER($E502),XLOOKUP(X$1,Metadata!$A$2:$A1000,Metadata!$B$2:$B1000))),X$1,"""")"),"")</f>
        <v/>
      </c>
      <c r="Y502" s="33" t="str">
        <f>IFERROR(__xludf.DUMMYFUNCTION("IF(IF(Y$1="""","""",REGEXMATCH(LOWER($E502),XLOOKUP(Y$1,Metadata!$A$2:$A1000,Metadata!$B$2:$B1000))),Y$1,"""")"),"")</f>
        <v/>
      </c>
      <c r="Z502" s="33" t="str">
        <f>IFERROR(__xludf.DUMMYFUNCTION("IF(IF(Z$1="""","""",REGEXMATCH(LOWER($E502),XLOOKUP(Z$1,Metadata!$A$2:$A1000,Metadata!$B$2:$B1000))),Z$1,"""")"),"")</f>
        <v/>
      </c>
    </row>
    <row r="503">
      <c r="A503" s="33"/>
      <c r="B503" s="33" t="str">
        <f t="array" ref="B503">XLOOKUP($A503,Cards!$A$2:$A1000,Cards!$B$2:$I1000,"")</f>
        <v/>
      </c>
      <c r="C503" s="33"/>
      <c r="D503" s="33"/>
      <c r="E503" s="33"/>
      <c r="F503" s="33"/>
      <c r="G503" s="33"/>
      <c r="H503" s="33"/>
      <c r="I503" s="33"/>
      <c r="J503" s="33">
        <f>IFERROR(__xludf.DUMMYFUNCTION("LEN(REGEXREPLACE(XLOOKUP($A503,Cards!$A$2:$A1000,Cards!$H$2:$H1000,""""),"",\s"",""""))"),0.0)</f>
        <v>0</v>
      </c>
      <c r="K503" s="33" t="str">
        <f t="shared" si="1"/>
        <v>               </v>
      </c>
      <c r="L503" s="33" t="str">
        <f>IFERROR(__xludf.DUMMYFUNCTION("IF(IF(L$1="""","""",REGEXMATCH(LOWER($E503),XLOOKUP(L$1,Metadata!$A$2:$A1000,Metadata!$B$2:$B1000))),L$1,"""")"),"")</f>
        <v/>
      </c>
      <c r="M503" s="33" t="str">
        <f>IFERROR(__xludf.DUMMYFUNCTION("IF(IF(M$1="""","""",REGEXMATCH(LOWER($E503),XLOOKUP(M$1,Metadata!$A$2:$A1000,Metadata!$B$2:$B1000))),M$1,"""")"),"")</f>
        <v/>
      </c>
      <c r="N503" s="33" t="str">
        <f>IFERROR(__xludf.DUMMYFUNCTION("IF(IF(N$1="""","""",REGEXMATCH(LOWER($E503),XLOOKUP(N$1,Metadata!$A$2:$A1000,Metadata!$B$2:$B1000))),N$1,"""")"),"")</f>
        <v/>
      </c>
      <c r="O503" s="33" t="str">
        <f>IFERROR(__xludf.DUMMYFUNCTION("IF(IF(O$1="""","""",REGEXMATCH(LOWER($E503),XLOOKUP(O$1,Metadata!$A$2:$A1000,Metadata!$B$2:$B1000))),O$1,"""")"),"")</f>
        <v/>
      </c>
      <c r="P503" s="33" t="str">
        <f>IFERROR(__xludf.DUMMYFUNCTION("IF(IF(P$1="""","""",REGEXMATCH(LOWER($E503),XLOOKUP(P$1,Metadata!$A$2:$A1000,Metadata!$B$2:$B1000))),P$1,"""")"),"")</f>
        <v/>
      </c>
      <c r="Q503" s="33" t="str">
        <f>IFERROR(__xludf.DUMMYFUNCTION("IF(IF(Q$1="""","""",REGEXMATCH(LOWER($E503),XLOOKUP(Q$1,Metadata!$A$2:$A1000,Metadata!$B$2:$B1000))),Q$1,"""")"),"")</f>
        <v/>
      </c>
      <c r="R503" s="33" t="str">
        <f>IFERROR(__xludf.DUMMYFUNCTION("IF(IF(R$1="""","""",REGEXMATCH(LOWER($E503),XLOOKUP(R$1,Metadata!$A$2:$A1000,Metadata!$B$2:$B1000))),R$1,"""")"),"")</f>
        <v/>
      </c>
      <c r="S503" s="33" t="str">
        <f>IFERROR(__xludf.DUMMYFUNCTION("IF(IF(S$1="""","""",REGEXMATCH(LOWER($E503),XLOOKUP(S$1,Metadata!$A$2:$A1000,Metadata!$B$2:$B1000))),S$1,"""")"),"")</f>
        <v/>
      </c>
      <c r="T503" s="33" t="str">
        <f>IFERROR(__xludf.DUMMYFUNCTION("IF(IF(T$1="""","""",REGEXMATCH(LOWER($E503),XLOOKUP(T$1,Metadata!$A$2:$A1000,Metadata!$B$2:$B1000))),T$1,"""")"),"")</f>
        <v/>
      </c>
      <c r="U503" s="33" t="str">
        <f>IFERROR(__xludf.DUMMYFUNCTION("IF(IF(U$1="""","""",REGEXMATCH(LOWER($E503),XLOOKUP(U$1,Metadata!$A$2:$A1000,Metadata!$B$2:$B1000))),U$1,"""")"),"")</f>
        <v/>
      </c>
      <c r="V503" s="33" t="str">
        <f>IFERROR(__xludf.DUMMYFUNCTION("IF(IF(V$1="""","""",REGEXMATCH(LOWER($E503),XLOOKUP(V$1,Metadata!$A$2:$A1000,Metadata!$B$2:$B1000))),V$1,"""")"),"")</f>
        <v/>
      </c>
      <c r="W503" s="33" t="str">
        <f>IFERROR(__xludf.DUMMYFUNCTION("IF(IF(W$1="""","""",REGEXMATCH(LOWER($E503),XLOOKUP(W$1,Metadata!$A$2:$A1000,Metadata!$B$2:$B1000))),W$1,"""")"),"")</f>
        <v/>
      </c>
      <c r="X503" s="33" t="str">
        <f>IFERROR(__xludf.DUMMYFUNCTION("IF(IF(X$1="""","""",REGEXMATCH(LOWER($E503),XLOOKUP(X$1,Metadata!$A$2:$A1000,Metadata!$B$2:$B1000))),X$1,"""")"),"")</f>
        <v/>
      </c>
      <c r="Y503" s="33" t="str">
        <f>IFERROR(__xludf.DUMMYFUNCTION("IF(IF(Y$1="""","""",REGEXMATCH(LOWER($E503),XLOOKUP(Y$1,Metadata!$A$2:$A1000,Metadata!$B$2:$B1000))),Y$1,"""")"),"")</f>
        <v/>
      </c>
      <c r="Z503" s="33" t="str">
        <f>IFERROR(__xludf.DUMMYFUNCTION("IF(IF(Z$1="""","""",REGEXMATCH(LOWER($E503),XLOOKUP(Z$1,Metadata!$A$2:$A1000,Metadata!$B$2:$B1000))),Z$1,"""")"),"")</f>
        <v/>
      </c>
    </row>
    <row r="504">
      <c r="A504" s="33"/>
      <c r="B504" s="33" t="str">
        <f t="array" ref="B504">XLOOKUP($A504,Cards!$A$2:$A1000,Cards!$B$2:$I1000,"")</f>
        <v/>
      </c>
      <c r="C504" s="33"/>
      <c r="D504" s="33"/>
      <c r="E504" s="33"/>
      <c r="F504" s="33"/>
      <c r="G504" s="33"/>
      <c r="H504" s="33"/>
      <c r="I504" s="33"/>
      <c r="J504" s="33">
        <f>IFERROR(__xludf.DUMMYFUNCTION("LEN(REGEXREPLACE(XLOOKUP($A504,Cards!$A$2:$A1000,Cards!$H$2:$H1000,""""),"",\s"",""""))"),0.0)</f>
        <v>0</v>
      </c>
      <c r="K504" s="33" t="str">
        <f t="shared" si="1"/>
        <v>               </v>
      </c>
      <c r="L504" s="33" t="str">
        <f>IFERROR(__xludf.DUMMYFUNCTION("IF(IF(L$1="""","""",REGEXMATCH(LOWER($E504),XLOOKUP(L$1,Metadata!$A$2:$A1000,Metadata!$B$2:$B1000))),L$1,"""")"),"")</f>
        <v/>
      </c>
      <c r="M504" s="33" t="str">
        <f>IFERROR(__xludf.DUMMYFUNCTION("IF(IF(M$1="""","""",REGEXMATCH(LOWER($E504),XLOOKUP(M$1,Metadata!$A$2:$A1000,Metadata!$B$2:$B1000))),M$1,"""")"),"")</f>
        <v/>
      </c>
      <c r="N504" s="33" t="str">
        <f>IFERROR(__xludf.DUMMYFUNCTION("IF(IF(N$1="""","""",REGEXMATCH(LOWER($E504),XLOOKUP(N$1,Metadata!$A$2:$A1000,Metadata!$B$2:$B1000))),N$1,"""")"),"")</f>
        <v/>
      </c>
      <c r="O504" s="33" t="str">
        <f>IFERROR(__xludf.DUMMYFUNCTION("IF(IF(O$1="""","""",REGEXMATCH(LOWER($E504),XLOOKUP(O$1,Metadata!$A$2:$A1000,Metadata!$B$2:$B1000))),O$1,"""")"),"")</f>
        <v/>
      </c>
      <c r="P504" s="33" t="str">
        <f>IFERROR(__xludf.DUMMYFUNCTION("IF(IF(P$1="""","""",REGEXMATCH(LOWER($E504),XLOOKUP(P$1,Metadata!$A$2:$A1000,Metadata!$B$2:$B1000))),P$1,"""")"),"")</f>
        <v/>
      </c>
      <c r="Q504" s="33" t="str">
        <f>IFERROR(__xludf.DUMMYFUNCTION("IF(IF(Q$1="""","""",REGEXMATCH(LOWER($E504),XLOOKUP(Q$1,Metadata!$A$2:$A1000,Metadata!$B$2:$B1000))),Q$1,"""")"),"")</f>
        <v/>
      </c>
      <c r="R504" s="33" t="str">
        <f>IFERROR(__xludf.DUMMYFUNCTION("IF(IF(R$1="""","""",REGEXMATCH(LOWER($E504),XLOOKUP(R$1,Metadata!$A$2:$A1000,Metadata!$B$2:$B1000))),R$1,"""")"),"")</f>
        <v/>
      </c>
      <c r="S504" s="33" t="str">
        <f>IFERROR(__xludf.DUMMYFUNCTION("IF(IF(S$1="""","""",REGEXMATCH(LOWER($E504),XLOOKUP(S$1,Metadata!$A$2:$A1000,Metadata!$B$2:$B1000))),S$1,"""")"),"")</f>
        <v/>
      </c>
      <c r="T504" s="33" t="str">
        <f>IFERROR(__xludf.DUMMYFUNCTION("IF(IF(T$1="""","""",REGEXMATCH(LOWER($E504),XLOOKUP(T$1,Metadata!$A$2:$A1000,Metadata!$B$2:$B1000))),T$1,"""")"),"")</f>
        <v/>
      </c>
      <c r="U504" s="33" t="str">
        <f>IFERROR(__xludf.DUMMYFUNCTION("IF(IF(U$1="""","""",REGEXMATCH(LOWER($E504),XLOOKUP(U$1,Metadata!$A$2:$A1000,Metadata!$B$2:$B1000))),U$1,"""")"),"")</f>
        <v/>
      </c>
      <c r="V504" s="33" t="str">
        <f>IFERROR(__xludf.DUMMYFUNCTION("IF(IF(V$1="""","""",REGEXMATCH(LOWER($E504),XLOOKUP(V$1,Metadata!$A$2:$A1000,Metadata!$B$2:$B1000))),V$1,"""")"),"")</f>
        <v/>
      </c>
      <c r="W504" s="33" t="str">
        <f>IFERROR(__xludf.DUMMYFUNCTION("IF(IF(W$1="""","""",REGEXMATCH(LOWER($E504),XLOOKUP(W$1,Metadata!$A$2:$A1000,Metadata!$B$2:$B1000))),W$1,"""")"),"")</f>
        <v/>
      </c>
      <c r="X504" s="33" t="str">
        <f>IFERROR(__xludf.DUMMYFUNCTION("IF(IF(X$1="""","""",REGEXMATCH(LOWER($E504),XLOOKUP(X$1,Metadata!$A$2:$A1000,Metadata!$B$2:$B1000))),X$1,"""")"),"")</f>
        <v/>
      </c>
      <c r="Y504" s="33" t="str">
        <f>IFERROR(__xludf.DUMMYFUNCTION("IF(IF(Y$1="""","""",REGEXMATCH(LOWER($E504),XLOOKUP(Y$1,Metadata!$A$2:$A1000,Metadata!$B$2:$B1000))),Y$1,"""")"),"")</f>
        <v/>
      </c>
      <c r="Z504" s="33" t="str">
        <f>IFERROR(__xludf.DUMMYFUNCTION("IF(IF(Z$1="""","""",REGEXMATCH(LOWER($E504),XLOOKUP(Z$1,Metadata!$A$2:$A1000,Metadata!$B$2:$B1000))),Z$1,"""")"),"")</f>
        <v/>
      </c>
    </row>
    <row r="505">
      <c r="A505" s="33"/>
      <c r="B505" s="33" t="str">
        <f t="array" ref="B505">XLOOKUP($A505,Cards!$A$2:$A1000,Cards!$B$2:$I1000,"")</f>
        <v/>
      </c>
      <c r="C505" s="33"/>
      <c r="D505" s="33"/>
      <c r="E505" s="33"/>
      <c r="F505" s="33"/>
      <c r="G505" s="33"/>
      <c r="H505" s="33"/>
      <c r="I505" s="33"/>
      <c r="J505" s="33">
        <f>IFERROR(__xludf.DUMMYFUNCTION("LEN(REGEXREPLACE(XLOOKUP($A505,Cards!$A$2:$A1000,Cards!$H$2:$H1000,""""),"",\s"",""""))"),0.0)</f>
        <v>0</v>
      </c>
      <c r="K505" s="33" t="str">
        <f t="shared" si="1"/>
        <v>               </v>
      </c>
      <c r="L505" s="33" t="str">
        <f>IFERROR(__xludf.DUMMYFUNCTION("IF(IF(L$1="""","""",REGEXMATCH(LOWER($E505),XLOOKUP(L$1,Metadata!$A$2:$A1000,Metadata!$B$2:$B1000))),L$1,"""")"),"")</f>
        <v/>
      </c>
      <c r="M505" s="33" t="str">
        <f>IFERROR(__xludf.DUMMYFUNCTION("IF(IF(M$1="""","""",REGEXMATCH(LOWER($E505),XLOOKUP(M$1,Metadata!$A$2:$A1000,Metadata!$B$2:$B1000))),M$1,"""")"),"")</f>
        <v/>
      </c>
      <c r="N505" s="33" t="str">
        <f>IFERROR(__xludf.DUMMYFUNCTION("IF(IF(N$1="""","""",REGEXMATCH(LOWER($E505),XLOOKUP(N$1,Metadata!$A$2:$A1000,Metadata!$B$2:$B1000))),N$1,"""")"),"")</f>
        <v/>
      </c>
      <c r="O505" s="33" t="str">
        <f>IFERROR(__xludf.DUMMYFUNCTION("IF(IF(O$1="""","""",REGEXMATCH(LOWER($E505),XLOOKUP(O$1,Metadata!$A$2:$A1000,Metadata!$B$2:$B1000))),O$1,"""")"),"")</f>
        <v/>
      </c>
      <c r="P505" s="33" t="str">
        <f>IFERROR(__xludf.DUMMYFUNCTION("IF(IF(P$1="""","""",REGEXMATCH(LOWER($E505),XLOOKUP(P$1,Metadata!$A$2:$A1000,Metadata!$B$2:$B1000))),P$1,"""")"),"")</f>
        <v/>
      </c>
      <c r="Q505" s="33" t="str">
        <f>IFERROR(__xludf.DUMMYFUNCTION("IF(IF(Q$1="""","""",REGEXMATCH(LOWER($E505),XLOOKUP(Q$1,Metadata!$A$2:$A1000,Metadata!$B$2:$B1000))),Q$1,"""")"),"")</f>
        <v/>
      </c>
      <c r="R505" s="33" t="str">
        <f>IFERROR(__xludf.DUMMYFUNCTION("IF(IF(R$1="""","""",REGEXMATCH(LOWER($E505),XLOOKUP(R$1,Metadata!$A$2:$A1000,Metadata!$B$2:$B1000))),R$1,"""")"),"")</f>
        <v/>
      </c>
      <c r="S505" s="33" t="str">
        <f>IFERROR(__xludf.DUMMYFUNCTION("IF(IF(S$1="""","""",REGEXMATCH(LOWER($E505),XLOOKUP(S$1,Metadata!$A$2:$A1000,Metadata!$B$2:$B1000))),S$1,"""")"),"")</f>
        <v/>
      </c>
      <c r="T505" s="33" t="str">
        <f>IFERROR(__xludf.DUMMYFUNCTION("IF(IF(T$1="""","""",REGEXMATCH(LOWER($E505),XLOOKUP(T$1,Metadata!$A$2:$A1000,Metadata!$B$2:$B1000))),T$1,"""")"),"")</f>
        <v/>
      </c>
      <c r="U505" s="33" t="str">
        <f>IFERROR(__xludf.DUMMYFUNCTION("IF(IF(U$1="""","""",REGEXMATCH(LOWER($E505),XLOOKUP(U$1,Metadata!$A$2:$A1000,Metadata!$B$2:$B1000))),U$1,"""")"),"")</f>
        <v/>
      </c>
      <c r="V505" s="33" t="str">
        <f>IFERROR(__xludf.DUMMYFUNCTION("IF(IF(V$1="""","""",REGEXMATCH(LOWER($E505),XLOOKUP(V$1,Metadata!$A$2:$A1000,Metadata!$B$2:$B1000))),V$1,"""")"),"")</f>
        <v/>
      </c>
      <c r="W505" s="33" t="str">
        <f>IFERROR(__xludf.DUMMYFUNCTION("IF(IF(W$1="""","""",REGEXMATCH(LOWER($E505),XLOOKUP(W$1,Metadata!$A$2:$A1000,Metadata!$B$2:$B1000))),W$1,"""")"),"")</f>
        <v/>
      </c>
      <c r="X505" s="33" t="str">
        <f>IFERROR(__xludf.DUMMYFUNCTION("IF(IF(X$1="""","""",REGEXMATCH(LOWER($E505),XLOOKUP(X$1,Metadata!$A$2:$A1000,Metadata!$B$2:$B1000))),X$1,"""")"),"")</f>
        <v/>
      </c>
      <c r="Y505" s="33" t="str">
        <f>IFERROR(__xludf.DUMMYFUNCTION("IF(IF(Y$1="""","""",REGEXMATCH(LOWER($E505),XLOOKUP(Y$1,Metadata!$A$2:$A1000,Metadata!$B$2:$B1000))),Y$1,"""")"),"")</f>
        <v/>
      </c>
      <c r="Z505" s="33" t="str">
        <f>IFERROR(__xludf.DUMMYFUNCTION("IF(IF(Z$1="""","""",REGEXMATCH(LOWER($E505),XLOOKUP(Z$1,Metadata!$A$2:$A1000,Metadata!$B$2:$B1000))),Z$1,"""")"),"")</f>
        <v/>
      </c>
    </row>
    <row r="506">
      <c r="A506" s="33"/>
      <c r="B506" s="33" t="str">
        <f t="array" ref="B506">XLOOKUP($A506,Cards!$A$2:$A1000,Cards!$B$2:$I1000,"")</f>
        <v/>
      </c>
      <c r="C506" s="33"/>
      <c r="D506" s="33"/>
      <c r="E506" s="33"/>
      <c r="F506" s="33"/>
      <c r="G506" s="33"/>
      <c r="H506" s="33"/>
      <c r="I506" s="33"/>
      <c r="J506" s="33">
        <f>IFERROR(__xludf.DUMMYFUNCTION("LEN(REGEXREPLACE(XLOOKUP($A506,Cards!$A$2:$A1000,Cards!$H$2:$H1000,""""),"",\s"",""""))"),0.0)</f>
        <v>0</v>
      </c>
      <c r="K506" s="33" t="str">
        <f t="shared" si="1"/>
        <v>               </v>
      </c>
      <c r="L506" s="33" t="str">
        <f>IFERROR(__xludf.DUMMYFUNCTION("IF(IF(L$1="""","""",REGEXMATCH(LOWER($E506),XLOOKUP(L$1,Metadata!$A$2:$A1000,Metadata!$B$2:$B1000))),L$1,"""")"),"")</f>
        <v/>
      </c>
      <c r="M506" s="33" t="str">
        <f>IFERROR(__xludf.DUMMYFUNCTION("IF(IF(M$1="""","""",REGEXMATCH(LOWER($E506),XLOOKUP(M$1,Metadata!$A$2:$A1000,Metadata!$B$2:$B1000))),M$1,"""")"),"")</f>
        <v/>
      </c>
      <c r="N506" s="33" t="str">
        <f>IFERROR(__xludf.DUMMYFUNCTION("IF(IF(N$1="""","""",REGEXMATCH(LOWER($E506),XLOOKUP(N$1,Metadata!$A$2:$A1000,Metadata!$B$2:$B1000))),N$1,"""")"),"")</f>
        <v/>
      </c>
      <c r="O506" s="33" t="str">
        <f>IFERROR(__xludf.DUMMYFUNCTION("IF(IF(O$1="""","""",REGEXMATCH(LOWER($E506),XLOOKUP(O$1,Metadata!$A$2:$A1000,Metadata!$B$2:$B1000))),O$1,"""")"),"")</f>
        <v/>
      </c>
      <c r="P506" s="33" t="str">
        <f>IFERROR(__xludf.DUMMYFUNCTION("IF(IF(P$1="""","""",REGEXMATCH(LOWER($E506),XLOOKUP(P$1,Metadata!$A$2:$A1000,Metadata!$B$2:$B1000))),P$1,"""")"),"")</f>
        <v/>
      </c>
      <c r="Q506" s="33" t="str">
        <f>IFERROR(__xludf.DUMMYFUNCTION("IF(IF(Q$1="""","""",REGEXMATCH(LOWER($E506),XLOOKUP(Q$1,Metadata!$A$2:$A1000,Metadata!$B$2:$B1000))),Q$1,"""")"),"")</f>
        <v/>
      </c>
      <c r="R506" s="33" t="str">
        <f>IFERROR(__xludf.DUMMYFUNCTION("IF(IF(R$1="""","""",REGEXMATCH(LOWER($E506),XLOOKUP(R$1,Metadata!$A$2:$A1000,Metadata!$B$2:$B1000))),R$1,"""")"),"")</f>
        <v/>
      </c>
      <c r="S506" s="33" t="str">
        <f>IFERROR(__xludf.DUMMYFUNCTION("IF(IF(S$1="""","""",REGEXMATCH(LOWER($E506),XLOOKUP(S$1,Metadata!$A$2:$A1000,Metadata!$B$2:$B1000))),S$1,"""")"),"")</f>
        <v/>
      </c>
      <c r="T506" s="33" t="str">
        <f>IFERROR(__xludf.DUMMYFUNCTION("IF(IF(T$1="""","""",REGEXMATCH(LOWER($E506),XLOOKUP(T$1,Metadata!$A$2:$A1000,Metadata!$B$2:$B1000))),T$1,"""")"),"")</f>
        <v/>
      </c>
      <c r="U506" s="33" t="str">
        <f>IFERROR(__xludf.DUMMYFUNCTION("IF(IF(U$1="""","""",REGEXMATCH(LOWER($E506),XLOOKUP(U$1,Metadata!$A$2:$A1000,Metadata!$B$2:$B1000))),U$1,"""")"),"")</f>
        <v/>
      </c>
      <c r="V506" s="33" t="str">
        <f>IFERROR(__xludf.DUMMYFUNCTION("IF(IF(V$1="""","""",REGEXMATCH(LOWER($E506),XLOOKUP(V$1,Metadata!$A$2:$A1000,Metadata!$B$2:$B1000))),V$1,"""")"),"")</f>
        <v/>
      </c>
      <c r="W506" s="33" t="str">
        <f>IFERROR(__xludf.DUMMYFUNCTION("IF(IF(W$1="""","""",REGEXMATCH(LOWER($E506),XLOOKUP(W$1,Metadata!$A$2:$A1000,Metadata!$B$2:$B1000))),W$1,"""")"),"")</f>
        <v/>
      </c>
      <c r="X506" s="33" t="str">
        <f>IFERROR(__xludf.DUMMYFUNCTION("IF(IF(X$1="""","""",REGEXMATCH(LOWER($E506),XLOOKUP(X$1,Metadata!$A$2:$A1000,Metadata!$B$2:$B1000))),X$1,"""")"),"")</f>
        <v/>
      </c>
      <c r="Y506" s="33" t="str">
        <f>IFERROR(__xludf.DUMMYFUNCTION("IF(IF(Y$1="""","""",REGEXMATCH(LOWER($E506),XLOOKUP(Y$1,Metadata!$A$2:$A1000,Metadata!$B$2:$B1000))),Y$1,"""")"),"")</f>
        <v/>
      </c>
      <c r="Z506" s="33" t="str">
        <f>IFERROR(__xludf.DUMMYFUNCTION("IF(IF(Z$1="""","""",REGEXMATCH(LOWER($E506),XLOOKUP(Z$1,Metadata!$A$2:$A1000,Metadata!$B$2:$B1000))),Z$1,"""")"),"")</f>
        <v/>
      </c>
    </row>
    <row r="507">
      <c r="A507" s="33"/>
      <c r="B507" s="33" t="str">
        <f t="array" ref="B507">XLOOKUP($A507,Cards!$A$2:$A1000,Cards!$B$2:$I1000,"")</f>
        <v/>
      </c>
      <c r="C507" s="33"/>
      <c r="D507" s="33"/>
      <c r="E507" s="33"/>
      <c r="F507" s="33"/>
      <c r="G507" s="33"/>
      <c r="H507" s="33"/>
      <c r="I507" s="33"/>
      <c r="J507" s="33">
        <f>IFERROR(__xludf.DUMMYFUNCTION("LEN(REGEXREPLACE(XLOOKUP($A507,Cards!$A$2:$A1000,Cards!$H$2:$H1000,""""),"",\s"",""""))"),0.0)</f>
        <v>0</v>
      </c>
      <c r="K507" s="33" t="str">
        <f t="shared" si="1"/>
        <v>               </v>
      </c>
      <c r="L507" s="33" t="str">
        <f>IFERROR(__xludf.DUMMYFUNCTION("IF(IF(L$1="""","""",REGEXMATCH(LOWER($E507),XLOOKUP(L$1,Metadata!$A$2:$A1000,Metadata!$B$2:$B1000))),L$1,"""")"),"")</f>
        <v/>
      </c>
      <c r="M507" s="33" t="str">
        <f>IFERROR(__xludf.DUMMYFUNCTION("IF(IF(M$1="""","""",REGEXMATCH(LOWER($E507),XLOOKUP(M$1,Metadata!$A$2:$A1000,Metadata!$B$2:$B1000))),M$1,"""")"),"")</f>
        <v/>
      </c>
      <c r="N507" s="33" t="str">
        <f>IFERROR(__xludf.DUMMYFUNCTION("IF(IF(N$1="""","""",REGEXMATCH(LOWER($E507),XLOOKUP(N$1,Metadata!$A$2:$A1000,Metadata!$B$2:$B1000))),N$1,"""")"),"")</f>
        <v/>
      </c>
      <c r="O507" s="33" t="str">
        <f>IFERROR(__xludf.DUMMYFUNCTION("IF(IF(O$1="""","""",REGEXMATCH(LOWER($E507),XLOOKUP(O$1,Metadata!$A$2:$A1000,Metadata!$B$2:$B1000))),O$1,"""")"),"")</f>
        <v/>
      </c>
      <c r="P507" s="33" t="str">
        <f>IFERROR(__xludf.DUMMYFUNCTION("IF(IF(P$1="""","""",REGEXMATCH(LOWER($E507),XLOOKUP(P$1,Metadata!$A$2:$A1000,Metadata!$B$2:$B1000))),P$1,"""")"),"")</f>
        <v/>
      </c>
      <c r="Q507" s="33" t="str">
        <f>IFERROR(__xludf.DUMMYFUNCTION("IF(IF(Q$1="""","""",REGEXMATCH(LOWER($E507),XLOOKUP(Q$1,Metadata!$A$2:$A1000,Metadata!$B$2:$B1000))),Q$1,"""")"),"")</f>
        <v/>
      </c>
      <c r="R507" s="33" t="str">
        <f>IFERROR(__xludf.DUMMYFUNCTION("IF(IF(R$1="""","""",REGEXMATCH(LOWER($E507),XLOOKUP(R$1,Metadata!$A$2:$A1000,Metadata!$B$2:$B1000))),R$1,"""")"),"")</f>
        <v/>
      </c>
      <c r="S507" s="33" t="str">
        <f>IFERROR(__xludf.DUMMYFUNCTION("IF(IF(S$1="""","""",REGEXMATCH(LOWER($E507),XLOOKUP(S$1,Metadata!$A$2:$A1000,Metadata!$B$2:$B1000))),S$1,"""")"),"")</f>
        <v/>
      </c>
      <c r="T507" s="33" t="str">
        <f>IFERROR(__xludf.DUMMYFUNCTION("IF(IF(T$1="""","""",REGEXMATCH(LOWER($E507),XLOOKUP(T$1,Metadata!$A$2:$A1000,Metadata!$B$2:$B1000))),T$1,"""")"),"")</f>
        <v/>
      </c>
      <c r="U507" s="33" t="str">
        <f>IFERROR(__xludf.DUMMYFUNCTION("IF(IF(U$1="""","""",REGEXMATCH(LOWER($E507),XLOOKUP(U$1,Metadata!$A$2:$A1000,Metadata!$B$2:$B1000))),U$1,"""")"),"")</f>
        <v/>
      </c>
      <c r="V507" s="33" t="str">
        <f>IFERROR(__xludf.DUMMYFUNCTION("IF(IF(V$1="""","""",REGEXMATCH(LOWER($E507),XLOOKUP(V$1,Metadata!$A$2:$A1000,Metadata!$B$2:$B1000))),V$1,"""")"),"")</f>
        <v/>
      </c>
      <c r="W507" s="33" t="str">
        <f>IFERROR(__xludf.DUMMYFUNCTION("IF(IF(W$1="""","""",REGEXMATCH(LOWER($E507),XLOOKUP(W$1,Metadata!$A$2:$A1000,Metadata!$B$2:$B1000))),W$1,"""")"),"")</f>
        <v/>
      </c>
      <c r="X507" s="33" t="str">
        <f>IFERROR(__xludf.DUMMYFUNCTION("IF(IF(X$1="""","""",REGEXMATCH(LOWER($E507),XLOOKUP(X$1,Metadata!$A$2:$A1000,Metadata!$B$2:$B1000))),X$1,"""")"),"")</f>
        <v/>
      </c>
      <c r="Y507" s="33" t="str">
        <f>IFERROR(__xludf.DUMMYFUNCTION("IF(IF(Y$1="""","""",REGEXMATCH(LOWER($E507),XLOOKUP(Y$1,Metadata!$A$2:$A1000,Metadata!$B$2:$B1000))),Y$1,"""")"),"")</f>
        <v/>
      </c>
      <c r="Z507" s="33" t="str">
        <f>IFERROR(__xludf.DUMMYFUNCTION("IF(IF(Z$1="""","""",REGEXMATCH(LOWER($E507),XLOOKUP(Z$1,Metadata!$A$2:$A1000,Metadata!$B$2:$B1000))),Z$1,"""")"),"")</f>
        <v/>
      </c>
    </row>
    <row r="508">
      <c r="A508" s="33"/>
      <c r="B508" s="33" t="str">
        <f t="array" ref="B508">XLOOKUP($A508,Cards!$A$2:$A1000,Cards!$B$2:$I1000,"")</f>
        <v/>
      </c>
      <c r="C508" s="33"/>
      <c r="D508" s="33"/>
      <c r="E508" s="33"/>
      <c r="F508" s="33"/>
      <c r="G508" s="33"/>
      <c r="H508" s="33"/>
      <c r="I508" s="33"/>
      <c r="J508" s="33">
        <f>IFERROR(__xludf.DUMMYFUNCTION("LEN(REGEXREPLACE(XLOOKUP($A508,Cards!$A$2:$A1000,Cards!$H$2:$H1000,""""),"",\s"",""""))"),0.0)</f>
        <v>0</v>
      </c>
      <c r="K508" s="33" t="str">
        <f t="shared" si="1"/>
        <v>               </v>
      </c>
      <c r="L508" s="33" t="str">
        <f>IFERROR(__xludf.DUMMYFUNCTION("IF(IF(L$1="""","""",REGEXMATCH(LOWER($E508),XLOOKUP(L$1,Metadata!$A$2:$A1000,Metadata!$B$2:$B1000))),L$1,"""")"),"")</f>
        <v/>
      </c>
      <c r="M508" s="33" t="str">
        <f>IFERROR(__xludf.DUMMYFUNCTION("IF(IF(M$1="""","""",REGEXMATCH(LOWER($E508),XLOOKUP(M$1,Metadata!$A$2:$A1000,Metadata!$B$2:$B1000))),M$1,"""")"),"")</f>
        <v/>
      </c>
      <c r="N508" s="33" t="str">
        <f>IFERROR(__xludf.DUMMYFUNCTION("IF(IF(N$1="""","""",REGEXMATCH(LOWER($E508),XLOOKUP(N$1,Metadata!$A$2:$A1000,Metadata!$B$2:$B1000))),N$1,"""")"),"")</f>
        <v/>
      </c>
      <c r="O508" s="33" t="str">
        <f>IFERROR(__xludf.DUMMYFUNCTION("IF(IF(O$1="""","""",REGEXMATCH(LOWER($E508),XLOOKUP(O$1,Metadata!$A$2:$A1000,Metadata!$B$2:$B1000))),O$1,"""")"),"")</f>
        <v/>
      </c>
      <c r="P508" s="33" t="str">
        <f>IFERROR(__xludf.DUMMYFUNCTION("IF(IF(P$1="""","""",REGEXMATCH(LOWER($E508),XLOOKUP(P$1,Metadata!$A$2:$A1000,Metadata!$B$2:$B1000))),P$1,"""")"),"")</f>
        <v/>
      </c>
      <c r="Q508" s="33" t="str">
        <f>IFERROR(__xludf.DUMMYFUNCTION("IF(IF(Q$1="""","""",REGEXMATCH(LOWER($E508),XLOOKUP(Q$1,Metadata!$A$2:$A1000,Metadata!$B$2:$B1000))),Q$1,"""")"),"")</f>
        <v/>
      </c>
      <c r="R508" s="33" t="str">
        <f>IFERROR(__xludf.DUMMYFUNCTION("IF(IF(R$1="""","""",REGEXMATCH(LOWER($E508),XLOOKUP(R$1,Metadata!$A$2:$A1000,Metadata!$B$2:$B1000))),R$1,"""")"),"")</f>
        <v/>
      </c>
      <c r="S508" s="33" t="str">
        <f>IFERROR(__xludf.DUMMYFUNCTION("IF(IF(S$1="""","""",REGEXMATCH(LOWER($E508),XLOOKUP(S$1,Metadata!$A$2:$A1000,Metadata!$B$2:$B1000))),S$1,"""")"),"")</f>
        <v/>
      </c>
      <c r="T508" s="33" t="str">
        <f>IFERROR(__xludf.DUMMYFUNCTION("IF(IF(T$1="""","""",REGEXMATCH(LOWER($E508),XLOOKUP(T$1,Metadata!$A$2:$A1000,Metadata!$B$2:$B1000))),T$1,"""")"),"")</f>
        <v/>
      </c>
      <c r="U508" s="33" t="str">
        <f>IFERROR(__xludf.DUMMYFUNCTION("IF(IF(U$1="""","""",REGEXMATCH(LOWER($E508),XLOOKUP(U$1,Metadata!$A$2:$A1000,Metadata!$B$2:$B1000))),U$1,"""")"),"")</f>
        <v/>
      </c>
      <c r="V508" s="33" t="str">
        <f>IFERROR(__xludf.DUMMYFUNCTION("IF(IF(V$1="""","""",REGEXMATCH(LOWER($E508),XLOOKUP(V$1,Metadata!$A$2:$A1000,Metadata!$B$2:$B1000))),V$1,"""")"),"")</f>
        <v/>
      </c>
      <c r="W508" s="33" t="str">
        <f>IFERROR(__xludf.DUMMYFUNCTION("IF(IF(W$1="""","""",REGEXMATCH(LOWER($E508),XLOOKUP(W$1,Metadata!$A$2:$A1000,Metadata!$B$2:$B1000))),W$1,"""")"),"")</f>
        <v/>
      </c>
      <c r="X508" s="33" t="str">
        <f>IFERROR(__xludf.DUMMYFUNCTION("IF(IF(X$1="""","""",REGEXMATCH(LOWER($E508),XLOOKUP(X$1,Metadata!$A$2:$A1000,Metadata!$B$2:$B1000))),X$1,"""")"),"")</f>
        <v/>
      </c>
      <c r="Y508" s="33" t="str">
        <f>IFERROR(__xludf.DUMMYFUNCTION("IF(IF(Y$1="""","""",REGEXMATCH(LOWER($E508),XLOOKUP(Y$1,Metadata!$A$2:$A1000,Metadata!$B$2:$B1000))),Y$1,"""")"),"")</f>
        <v/>
      </c>
      <c r="Z508" s="33" t="str">
        <f>IFERROR(__xludf.DUMMYFUNCTION("IF(IF(Z$1="""","""",REGEXMATCH(LOWER($E508),XLOOKUP(Z$1,Metadata!$A$2:$A1000,Metadata!$B$2:$B1000))),Z$1,"""")"),"")</f>
        <v/>
      </c>
    </row>
    <row r="509">
      <c r="A509" s="33"/>
      <c r="B509" s="33" t="str">
        <f t="array" ref="B509">XLOOKUP($A509,Cards!$A$2:$A1000,Cards!$B$2:$I1000,"")</f>
        <v/>
      </c>
      <c r="C509" s="33"/>
      <c r="D509" s="33"/>
      <c r="E509" s="33"/>
      <c r="F509" s="33"/>
      <c r="G509" s="33"/>
      <c r="H509" s="33"/>
      <c r="I509" s="33"/>
      <c r="J509" s="33">
        <f>IFERROR(__xludf.DUMMYFUNCTION("LEN(REGEXREPLACE(XLOOKUP($A509,Cards!$A$2:$A1000,Cards!$H$2:$H1000,""""),"",\s"",""""))"),0.0)</f>
        <v>0</v>
      </c>
      <c r="K509" s="33" t="str">
        <f t="shared" si="1"/>
        <v>               </v>
      </c>
      <c r="L509" s="33" t="str">
        <f>IFERROR(__xludf.DUMMYFUNCTION("IF(IF(L$1="""","""",REGEXMATCH(LOWER($E509),XLOOKUP(L$1,Metadata!$A$2:$A1000,Metadata!$B$2:$B1000))),L$1,"""")"),"")</f>
        <v/>
      </c>
      <c r="M509" s="33" t="str">
        <f>IFERROR(__xludf.DUMMYFUNCTION("IF(IF(M$1="""","""",REGEXMATCH(LOWER($E509),XLOOKUP(M$1,Metadata!$A$2:$A1000,Metadata!$B$2:$B1000))),M$1,"""")"),"")</f>
        <v/>
      </c>
      <c r="N509" s="33" t="str">
        <f>IFERROR(__xludf.DUMMYFUNCTION("IF(IF(N$1="""","""",REGEXMATCH(LOWER($E509),XLOOKUP(N$1,Metadata!$A$2:$A1000,Metadata!$B$2:$B1000))),N$1,"""")"),"")</f>
        <v/>
      </c>
      <c r="O509" s="33" t="str">
        <f>IFERROR(__xludf.DUMMYFUNCTION("IF(IF(O$1="""","""",REGEXMATCH(LOWER($E509),XLOOKUP(O$1,Metadata!$A$2:$A1000,Metadata!$B$2:$B1000))),O$1,"""")"),"")</f>
        <v/>
      </c>
      <c r="P509" s="33" t="str">
        <f>IFERROR(__xludf.DUMMYFUNCTION("IF(IF(P$1="""","""",REGEXMATCH(LOWER($E509),XLOOKUP(P$1,Metadata!$A$2:$A1000,Metadata!$B$2:$B1000))),P$1,"""")"),"")</f>
        <v/>
      </c>
      <c r="Q509" s="33" t="str">
        <f>IFERROR(__xludf.DUMMYFUNCTION("IF(IF(Q$1="""","""",REGEXMATCH(LOWER($E509),XLOOKUP(Q$1,Metadata!$A$2:$A1000,Metadata!$B$2:$B1000))),Q$1,"""")"),"")</f>
        <v/>
      </c>
      <c r="R509" s="33" t="str">
        <f>IFERROR(__xludf.DUMMYFUNCTION("IF(IF(R$1="""","""",REGEXMATCH(LOWER($E509),XLOOKUP(R$1,Metadata!$A$2:$A1000,Metadata!$B$2:$B1000))),R$1,"""")"),"")</f>
        <v/>
      </c>
      <c r="S509" s="33" t="str">
        <f>IFERROR(__xludf.DUMMYFUNCTION("IF(IF(S$1="""","""",REGEXMATCH(LOWER($E509),XLOOKUP(S$1,Metadata!$A$2:$A1000,Metadata!$B$2:$B1000))),S$1,"""")"),"")</f>
        <v/>
      </c>
      <c r="T509" s="33" t="str">
        <f>IFERROR(__xludf.DUMMYFUNCTION("IF(IF(T$1="""","""",REGEXMATCH(LOWER($E509),XLOOKUP(T$1,Metadata!$A$2:$A1000,Metadata!$B$2:$B1000))),T$1,"""")"),"")</f>
        <v/>
      </c>
      <c r="U509" s="33" t="str">
        <f>IFERROR(__xludf.DUMMYFUNCTION("IF(IF(U$1="""","""",REGEXMATCH(LOWER($E509),XLOOKUP(U$1,Metadata!$A$2:$A1000,Metadata!$B$2:$B1000))),U$1,"""")"),"")</f>
        <v/>
      </c>
      <c r="V509" s="33" t="str">
        <f>IFERROR(__xludf.DUMMYFUNCTION("IF(IF(V$1="""","""",REGEXMATCH(LOWER($E509),XLOOKUP(V$1,Metadata!$A$2:$A1000,Metadata!$B$2:$B1000))),V$1,"""")"),"")</f>
        <v/>
      </c>
      <c r="W509" s="33" t="str">
        <f>IFERROR(__xludf.DUMMYFUNCTION("IF(IF(W$1="""","""",REGEXMATCH(LOWER($E509),XLOOKUP(W$1,Metadata!$A$2:$A1000,Metadata!$B$2:$B1000))),W$1,"""")"),"")</f>
        <v/>
      </c>
      <c r="X509" s="33" t="str">
        <f>IFERROR(__xludf.DUMMYFUNCTION("IF(IF(X$1="""","""",REGEXMATCH(LOWER($E509),XLOOKUP(X$1,Metadata!$A$2:$A1000,Metadata!$B$2:$B1000))),X$1,"""")"),"")</f>
        <v/>
      </c>
      <c r="Y509" s="33" t="str">
        <f>IFERROR(__xludf.DUMMYFUNCTION("IF(IF(Y$1="""","""",REGEXMATCH(LOWER($E509),XLOOKUP(Y$1,Metadata!$A$2:$A1000,Metadata!$B$2:$B1000))),Y$1,"""")"),"")</f>
        <v/>
      </c>
      <c r="Z509" s="33" t="str">
        <f>IFERROR(__xludf.DUMMYFUNCTION("IF(IF(Z$1="""","""",REGEXMATCH(LOWER($E509),XLOOKUP(Z$1,Metadata!$A$2:$A1000,Metadata!$B$2:$B1000))),Z$1,"""")"),"")</f>
        <v/>
      </c>
    </row>
    <row r="510">
      <c r="A510" s="33"/>
      <c r="B510" s="33" t="str">
        <f t="array" ref="B510">XLOOKUP($A510,Cards!$A$2:$A1000,Cards!$B$2:$I1000,"")</f>
        <v/>
      </c>
      <c r="C510" s="33"/>
      <c r="D510" s="33"/>
      <c r="E510" s="33"/>
      <c r="F510" s="33"/>
      <c r="G510" s="33"/>
      <c r="H510" s="33"/>
      <c r="I510" s="33"/>
      <c r="J510" s="33">
        <f>IFERROR(__xludf.DUMMYFUNCTION("LEN(REGEXREPLACE(XLOOKUP($A510,Cards!$A$2:$A1000,Cards!$H$2:$H1000,""""),"",\s"",""""))"),0.0)</f>
        <v>0</v>
      </c>
      <c r="K510" s="33" t="str">
        <f t="shared" si="1"/>
        <v>               </v>
      </c>
      <c r="L510" s="33" t="str">
        <f>IFERROR(__xludf.DUMMYFUNCTION("IF(IF(L$1="""","""",REGEXMATCH(LOWER($E510),XLOOKUP(L$1,Metadata!$A$2:$A1000,Metadata!$B$2:$B1000))),L$1,"""")"),"")</f>
        <v/>
      </c>
      <c r="M510" s="33" t="str">
        <f>IFERROR(__xludf.DUMMYFUNCTION("IF(IF(M$1="""","""",REGEXMATCH(LOWER($E510),XLOOKUP(M$1,Metadata!$A$2:$A1000,Metadata!$B$2:$B1000))),M$1,"""")"),"")</f>
        <v/>
      </c>
      <c r="N510" s="33" t="str">
        <f>IFERROR(__xludf.DUMMYFUNCTION("IF(IF(N$1="""","""",REGEXMATCH(LOWER($E510),XLOOKUP(N$1,Metadata!$A$2:$A1000,Metadata!$B$2:$B1000))),N$1,"""")"),"")</f>
        <v/>
      </c>
      <c r="O510" s="33" t="str">
        <f>IFERROR(__xludf.DUMMYFUNCTION("IF(IF(O$1="""","""",REGEXMATCH(LOWER($E510),XLOOKUP(O$1,Metadata!$A$2:$A1000,Metadata!$B$2:$B1000))),O$1,"""")"),"")</f>
        <v/>
      </c>
      <c r="P510" s="33" t="str">
        <f>IFERROR(__xludf.DUMMYFUNCTION("IF(IF(P$1="""","""",REGEXMATCH(LOWER($E510),XLOOKUP(P$1,Metadata!$A$2:$A1000,Metadata!$B$2:$B1000))),P$1,"""")"),"")</f>
        <v/>
      </c>
      <c r="Q510" s="33" t="str">
        <f>IFERROR(__xludf.DUMMYFUNCTION("IF(IF(Q$1="""","""",REGEXMATCH(LOWER($E510),XLOOKUP(Q$1,Metadata!$A$2:$A1000,Metadata!$B$2:$B1000))),Q$1,"""")"),"")</f>
        <v/>
      </c>
      <c r="R510" s="33" t="str">
        <f>IFERROR(__xludf.DUMMYFUNCTION("IF(IF(R$1="""","""",REGEXMATCH(LOWER($E510),XLOOKUP(R$1,Metadata!$A$2:$A1000,Metadata!$B$2:$B1000))),R$1,"""")"),"")</f>
        <v/>
      </c>
      <c r="S510" s="33" t="str">
        <f>IFERROR(__xludf.DUMMYFUNCTION("IF(IF(S$1="""","""",REGEXMATCH(LOWER($E510),XLOOKUP(S$1,Metadata!$A$2:$A1000,Metadata!$B$2:$B1000))),S$1,"""")"),"")</f>
        <v/>
      </c>
      <c r="T510" s="33" t="str">
        <f>IFERROR(__xludf.DUMMYFUNCTION("IF(IF(T$1="""","""",REGEXMATCH(LOWER($E510),XLOOKUP(T$1,Metadata!$A$2:$A1000,Metadata!$B$2:$B1000))),T$1,"""")"),"")</f>
        <v/>
      </c>
      <c r="U510" s="33" t="str">
        <f>IFERROR(__xludf.DUMMYFUNCTION("IF(IF(U$1="""","""",REGEXMATCH(LOWER($E510),XLOOKUP(U$1,Metadata!$A$2:$A1000,Metadata!$B$2:$B1000))),U$1,"""")"),"")</f>
        <v/>
      </c>
      <c r="V510" s="33" t="str">
        <f>IFERROR(__xludf.DUMMYFUNCTION("IF(IF(V$1="""","""",REGEXMATCH(LOWER($E510),XLOOKUP(V$1,Metadata!$A$2:$A1000,Metadata!$B$2:$B1000))),V$1,"""")"),"")</f>
        <v/>
      </c>
      <c r="W510" s="33" t="str">
        <f>IFERROR(__xludf.DUMMYFUNCTION("IF(IF(W$1="""","""",REGEXMATCH(LOWER($E510),XLOOKUP(W$1,Metadata!$A$2:$A1000,Metadata!$B$2:$B1000))),W$1,"""")"),"")</f>
        <v/>
      </c>
      <c r="X510" s="33" t="str">
        <f>IFERROR(__xludf.DUMMYFUNCTION("IF(IF(X$1="""","""",REGEXMATCH(LOWER($E510),XLOOKUP(X$1,Metadata!$A$2:$A1000,Metadata!$B$2:$B1000))),X$1,"""")"),"")</f>
        <v/>
      </c>
      <c r="Y510" s="33" t="str">
        <f>IFERROR(__xludf.DUMMYFUNCTION("IF(IF(Y$1="""","""",REGEXMATCH(LOWER($E510),XLOOKUP(Y$1,Metadata!$A$2:$A1000,Metadata!$B$2:$B1000))),Y$1,"""")"),"")</f>
        <v/>
      </c>
      <c r="Z510" s="33" t="str">
        <f>IFERROR(__xludf.DUMMYFUNCTION("IF(IF(Z$1="""","""",REGEXMATCH(LOWER($E510),XLOOKUP(Z$1,Metadata!$A$2:$A1000,Metadata!$B$2:$B1000))),Z$1,"""")"),"")</f>
        <v/>
      </c>
    </row>
    <row r="511">
      <c r="A511" s="33"/>
      <c r="B511" s="33" t="str">
        <f t="array" ref="B511">XLOOKUP($A511,Cards!$A$2:$A1000,Cards!$B$2:$I1000,"")</f>
        <v/>
      </c>
      <c r="C511" s="33"/>
      <c r="D511" s="33"/>
      <c r="E511" s="33"/>
      <c r="F511" s="33"/>
      <c r="G511" s="33"/>
      <c r="H511" s="33"/>
      <c r="I511" s="33"/>
      <c r="J511" s="33">
        <f>IFERROR(__xludf.DUMMYFUNCTION("LEN(REGEXREPLACE(XLOOKUP($A511,Cards!$A$2:$A1000,Cards!$H$2:$H1000,""""),"",\s"",""""))"),0.0)</f>
        <v>0</v>
      </c>
      <c r="K511" s="33" t="str">
        <f t="shared" si="1"/>
        <v>               </v>
      </c>
      <c r="L511" s="33" t="str">
        <f>IFERROR(__xludf.DUMMYFUNCTION("IF(IF(L$1="""","""",REGEXMATCH(LOWER($E511),XLOOKUP(L$1,Metadata!$A$2:$A1000,Metadata!$B$2:$B1000))),L$1,"""")"),"")</f>
        <v/>
      </c>
      <c r="M511" s="33" t="str">
        <f>IFERROR(__xludf.DUMMYFUNCTION("IF(IF(M$1="""","""",REGEXMATCH(LOWER($E511),XLOOKUP(M$1,Metadata!$A$2:$A1000,Metadata!$B$2:$B1000))),M$1,"""")"),"")</f>
        <v/>
      </c>
      <c r="N511" s="33" t="str">
        <f>IFERROR(__xludf.DUMMYFUNCTION("IF(IF(N$1="""","""",REGEXMATCH(LOWER($E511),XLOOKUP(N$1,Metadata!$A$2:$A1000,Metadata!$B$2:$B1000))),N$1,"""")"),"")</f>
        <v/>
      </c>
      <c r="O511" s="33" t="str">
        <f>IFERROR(__xludf.DUMMYFUNCTION("IF(IF(O$1="""","""",REGEXMATCH(LOWER($E511),XLOOKUP(O$1,Metadata!$A$2:$A1000,Metadata!$B$2:$B1000))),O$1,"""")"),"")</f>
        <v/>
      </c>
      <c r="P511" s="33" t="str">
        <f>IFERROR(__xludf.DUMMYFUNCTION("IF(IF(P$1="""","""",REGEXMATCH(LOWER($E511),XLOOKUP(P$1,Metadata!$A$2:$A1000,Metadata!$B$2:$B1000))),P$1,"""")"),"")</f>
        <v/>
      </c>
      <c r="Q511" s="33" t="str">
        <f>IFERROR(__xludf.DUMMYFUNCTION("IF(IF(Q$1="""","""",REGEXMATCH(LOWER($E511),XLOOKUP(Q$1,Metadata!$A$2:$A1000,Metadata!$B$2:$B1000))),Q$1,"""")"),"")</f>
        <v/>
      </c>
      <c r="R511" s="33" t="str">
        <f>IFERROR(__xludf.DUMMYFUNCTION("IF(IF(R$1="""","""",REGEXMATCH(LOWER($E511),XLOOKUP(R$1,Metadata!$A$2:$A1000,Metadata!$B$2:$B1000))),R$1,"""")"),"")</f>
        <v/>
      </c>
      <c r="S511" s="33" t="str">
        <f>IFERROR(__xludf.DUMMYFUNCTION("IF(IF(S$1="""","""",REGEXMATCH(LOWER($E511),XLOOKUP(S$1,Metadata!$A$2:$A1000,Metadata!$B$2:$B1000))),S$1,"""")"),"")</f>
        <v/>
      </c>
      <c r="T511" s="33" t="str">
        <f>IFERROR(__xludf.DUMMYFUNCTION("IF(IF(T$1="""","""",REGEXMATCH(LOWER($E511),XLOOKUP(T$1,Metadata!$A$2:$A1000,Metadata!$B$2:$B1000))),T$1,"""")"),"")</f>
        <v/>
      </c>
      <c r="U511" s="33" t="str">
        <f>IFERROR(__xludf.DUMMYFUNCTION("IF(IF(U$1="""","""",REGEXMATCH(LOWER($E511),XLOOKUP(U$1,Metadata!$A$2:$A1000,Metadata!$B$2:$B1000))),U$1,"""")"),"")</f>
        <v/>
      </c>
      <c r="V511" s="33" t="str">
        <f>IFERROR(__xludf.DUMMYFUNCTION("IF(IF(V$1="""","""",REGEXMATCH(LOWER($E511),XLOOKUP(V$1,Metadata!$A$2:$A1000,Metadata!$B$2:$B1000))),V$1,"""")"),"")</f>
        <v/>
      </c>
      <c r="W511" s="33" t="str">
        <f>IFERROR(__xludf.DUMMYFUNCTION("IF(IF(W$1="""","""",REGEXMATCH(LOWER($E511),XLOOKUP(W$1,Metadata!$A$2:$A1000,Metadata!$B$2:$B1000))),W$1,"""")"),"")</f>
        <v/>
      </c>
      <c r="X511" s="33" t="str">
        <f>IFERROR(__xludf.DUMMYFUNCTION("IF(IF(X$1="""","""",REGEXMATCH(LOWER($E511),XLOOKUP(X$1,Metadata!$A$2:$A1000,Metadata!$B$2:$B1000))),X$1,"""")"),"")</f>
        <v/>
      </c>
      <c r="Y511" s="33" t="str">
        <f>IFERROR(__xludf.DUMMYFUNCTION("IF(IF(Y$1="""","""",REGEXMATCH(LOWER($E511),XLOOKUP(Y$1,Metadata!$A$2:$A1000,Metadata!$B$2:$B1000))),Y$1,"""")"),"")</f>
        <v/>
      </c>
      <c r="Z511" s="33" t="str">
        <f>IFERROR(__xludf.DUMMYFUNCTION("IF(IF(Z$1="""","""",REGEXMATCH(LOWER($E511),XLOOKUP(Z$1,Metadata!$A$2:$A1000,Metadata!$B$2:$B1000))),Z$1,"""")"),"")</f>
        <v/>
      </c>
    </row>
    <row r="512">
      <c r="A512" s="33"/>
      <c r="B512" s="33"/>
      <c r="C512" s="33"/>
      <c r="D512" s="33"/>
      <c r="E512" s="33"/>
      <c r="F512" s="33"/>
      <c r="G512" s="33"/>
      <c r="H512" s="33"/>
      <c r="I512" s="33"/>
      <c r="J512" s="33">
        <f>IFERROR(__xludf.DUMMYFUNCTION("LEN(REGEXREPLACE(XLOOKUP($A512,Cards!$A$2:$A1000,Cards!$H$2:$H1000,""""),"",\s"",""""))"),0.0)</f>
        <v>0</v>
      </c>
      <c r="K512" s="33" t="str">
        <f t="shared" si="1"/>
        <v>               </v>
      </c>
      <c r="L512" s="33" t="str">
        <f>IFERROR(__xludf.DUMMYFUNCTION("IF(IF(L$1="""","""",REGEXMATCH(LOWER($E512),XLOOKUP(L$1,Metadata!$A$2:$A1000,Metadata!$B$2:$B1000))),L$1,"""")"),"")</f>
        <v/>
      </c>
      <c r="M512" s="33" t="str">
        <f>IFERROR(__xludf.DUMMYFUNCTION("IF(IF(M$1="""","""",REGEXMATCH(LOWER($E512),XLOOKUP(M$1,Metadata!$A$2:$A1000,Metadata!$B$2:$B1000))),M$1,"""")"),"")</f>
        <v/>
      </c>
      <c r="N512" s="33" t="str">
        <f>IFERROR(__xludf.DUMMYFUNCTION("IF(IF(N$1="""","""",REGEXMATCH(LOWER($E512),XLOOKUP(N$1,Metadata!$A$2:$A1000,Metadata!$B$2:$B1000))),N$1,"""")"),"")</f>
        <v/>
      </c>
      <c r="O512" s="33" t="str">
        <f>IFERROR(__xludf.DUMMYFUNCTION("IF(IF(O$1="""","""",REGEXMATCH(LOWER($E512),XLOOKUP(O$1,Metadata!$A$2:$A1000,Metadata!$B$2:$B1000))),O$1,"""")"),"")</f>
        <v/>
      </c>
      <c r="P512" s="33" t="str">
        <f>IFERROR(__xludf.DUMMYFUNCTION("IF(IF(P$1="""","""",REGEXMATCH(LOWER($E512),XLOOKUP(P$1,Metadata!$A$2:$A1000,Metadata!$B$2:$B1000))),P$1,"""")"),"")</f>
        <v/>
      </c>
      <c r="Q512" s="33" t="str">
        <f>IFERROR(__xludf.DUMMYFUNCTION("IF(IF(Q$1="""","""",REGEXMATCH(LOWER($E512),XLOOKUP(Q$1,Metadata!$A$2:$A1000,Metadata!$B$2:$B1000))),Q$1,"""")"),"")</f>
        <v/>
      </c>
      <c r="R512" s="33" t="str">
        <f>IFERROR(__xludf.DUMMYFUNCTION("IF(IF(R$1="""","""",REGEXMATCH(LOWER($E512),XLOOKUP(R$1,Metadata!$A$2:$A1000,Metadata!$B$2:$B1000))),R$1,"""")"),"")</f>
        <v/>
      </c>
      <c r="S512" s="33" t="str">
        <f>IFERROR(__xludf.DUMMYFUNCTION("IF(IF(S$1="""","""",REGEXMATCH(LOWER($E512),XLOOKUP(S$1,Metadata!$A$2:$A1000,Metadata!$B$2:$B1000))),S$1,"""")"),"")</f>
        <v/>
      </c>
      <c r="T512" s="33" t="str">
        <f>IFERROR(__xludf.DUMMYFUNCTION("IF(IF(T$1="""","""",REGEXMATCH(LOWER($E512),XLOOKUP(T$1,Metadata!$A$2:$A1000,Metadata!$B$2:$B1000))),T$1,"""")"),"")</f>
        <v/>
      </c>
      <c r="U512" s="33" t="str">
        <f>IFERROR(__xludf.DUMMYFUNCTION("IF(IF(U$1="""","""",REGEXMATCH(LOWER($E512),XLOOKUP(U$1,Metadata!$A$2:$A1000,Metadata!$B$2:$B1000))),U$1,"""")"),"")</f>
        <v/>
      </c>
      <c r="V512" s="33" t="str">
        <f>IFERROR(__xludf.DUMMYFUNCTION("IF(IF(V$1="""","""",REGEXMATCH(LOWER($E512),XLOOKUP(V$1,Metadata!$A$2:$A1000,Metadata!$B$2:$B1000))),V$1,"""")"),"")</f>
        <v/>
      </c>
      <c r="W512" s="33" t="str">
        <f>IFERROR(__xludf.DUMMYFUNCTION("IF(IF(W$1="""","""",REGEXMATCH(LOWER($E512),XLOOKUP(W$1,Metadata!$A$2:$A1000,Metadata!$B$2:$B1000))),W$1,"""")"),"")</f>
        <v/>
      </c>
      <c r="X512" s="33" t="str">
        <f>IFERROR(__xludf.DUMMYFUNCTION("IF(IF(X$1="""","""",REGEXMATCH(LOWER($E512),XLOOKUP(X$1,Metadata!$A$2:$A1000,Metadata!$B$2:$B1000))),X$1,"""")"),"")</f>
        <v/>
      </c>
      <c r="Y512" s="33" t="str">
        <f>IFERROR(__xludf.DUMMYFUNCTION("IF(IF(Y$1="""","""",REGEXMATCH(LOWER($E512),XLOOKUP(Y$1,Metadata!$A$2:$A1000,Metadata!$B$2:$B1000))),Y$1,"""")"),"")</f>
        <v/>
      </c>
      <c r="Z512" s="33" t="str">
        <f>IFERROR(__xludf.DUMMYFUNCTION("IF(IF(Z$1="""","""",REGEXMATCH(LOWER($E512),XLOOKUP(Z$1,Metadata!$A$2:$A1000,Metadata!$B$2:$B1000))),Z$1,"""")"),"")</f>
        <v/>
      </c>
    </row>
    <row r="513">
      <c r="A513" s="33"/>
      <c r="B513" s="33"/>
      <c r="C513" s="33"/>
      <c r="D513" s="33"/>
      <c r="E513" s="33"/>
      <c r="F513" s="33"/>
      <c r="G513" s="33"/>
      <c r="H513" s="33"/>
      <c r="I513" s="33"/>
      <c r="J513" s="33">
        <f>IFERROR(__xludf.DUMMYFUNCTION("LEN(REGEXREPLACE(XLOOKUP($A513,Cards!$A$2:$A1000,Cards!$H$2:$H1000,""""),"",\s"",""""))"),0.0)</f>
        <v>0</v>
      </c>
      <c r="K513" s="33" t="str">
        <f t="shared" si="1"/>
        <v>               </v>
      </c>
      <c r="L513" s="33" t="str">
        <f>IFERROR(__xludf.DUMMYFUNCTION("IF(IF(L$1="""","""",REGEXMATCH(LOWER($E513),XLOOKUP(L$1,Metadata!$A$2:$A1000,Metadata!$B$2:$B1000))),L$1,"""")"),"")</f>
        <v/>
      </c>
      <c r="M513" s="33" t="str">
        <f>IFERROR(__xludf.DUMMYFUNCTION("IF(IF(M$1="""","""",REGEXMATCH(LOWER($E513),XLOOKUP(M$1,Metadata!$A$2:$A1000,Metadata!$B$2:$B1000))),M$1,"""")"),"")</f>
        <v/>
      </c>
      <c r="N513" s="33" t="str">
        <f>IFERROR(__xludf.DUMMYFUNCTION("IF(IF(N$1="""","""",REGEXMATCH(LOWER($E513),XLOOKUP(N$1,Metadata!$A$2:$A1000,Metadata!$B$2:$B1000))),N$1,"""")"),"")</f>
        <v/>
      </c>
      <c r="O513" s="33" t="str">
        <f>IFERROR(__xludf.DUMMYFUNCTION("IF(IF(O$1="""","""",REGEXMATCH(LOWER($E513),XLOOKUP(O$1,Metadata!$A$2:$A1000,Metadata!$B$2:$B1000))),O$1,"""")"),"")</f>
        <v/>
      </c>
      <c r="P513" s="33" t="str">
        <f>IFERROR(__xludf.DUMMYFUNCTION("IF(IF(P$1="""","""",REGEXMATCH(LOWER($E513),XLOOKUP(P$1,Metadata!$A$2:$A1000,Metadata!$B$2:$B1000))),P$1,"""")"),"")</f>
        <v/>
      </c>
      <c r="Q513" s="33" t="str">
        <f>IFERROR(__xludf.DUMMYFUNCTION("IF(IF(Q$1="""","""",REGEXMATCH(LOWER($E513),XLOOKUP(Q$1,Metadata!$A$2:$A1000,Metadata!$B$2:$B1000))),Q$1,"""")"),"")</f>
        <v/>
      </c>
      <c r="R513" s="33" t="str">
        <f>IFERROR(__xludf.DUMMYFUNCTION("IF(IF(R$1="""","""",REGEXMATCH(LOWER($E513),XLOOKUP(R$1,Metadata!$A$2:$A1000,Metadata!$B$2:$B1000))),R$1,"""")"),"")</f>
        <v/>
      </c>
      <c r="S513" s="33" t="str">
        <f>IFERROR(__xludf.DUMMYFUNCTION("IF(IF(S$1="""","""",REGEXMATCH(LOWER($E513),XLOOKUP(S$1,Metadata!$A$2:$A1000,Metadata!$B$2:$B1000))),S$1,"""")"),"")</f>
        <v/>
      </c>
      <c r="T513" s="33" t="str">
        <f>IFERROR(__xludf.DUMMYFUNCTION("IF(IF(T$1="""","""",REGEXMATCH(LOWER($E513),XLOOKUP(T$1,Metadata!$A$2:$A1000,Metadata!$B$2:$B1000))),T$1,"""")"),"")</f>
        <v/>
      </c>
      <c r="U513" s="33" t="str">
        <f>IFERROR(__xludf.DUMMYFUNCTION("IF(IF(U$1="""","""",REGEXMATCH(LOWER($E513),XLOOKUP(U$1,Metadata!$A$2:$A1000,Metadata!$B$2:$B1000))),U$1,"""")"),"")</f>
        <v/>
      </c>
      <c r="V513" s="33" t="str">
        <f>IFERROR(__xludf.DUMMYFUNCTION("IF(IF(V$1="""","""",REGEXMATCH(LOWER($E513),XLOOKUP(V$1,Metadata!$A$2:$A1000,Metadata!$B$2:$B1000))),V$1,"""")"),"")</f>
        <v/>
      </c>
      <c r="W513" s="33" t="str">
        <f>IFERROR(__xludf.DUMMYFUNCTION("IF(IF(W$1="""","""",REGEXMATCH(LOWER($E513),XLOOKUP(W$1,Metadata!$A$2:$A1000,Metadata!$B$2:$B1000))),W$1,"""")"),"")</f>
        <v/>
      </c>
      <c r="X513" s="33" t="str">
        <f>IFERROR(__xludf.DUMMYFUNCTION("IF(IF(X$1="""","""",REGEXMATCH(LOWER($E513),XLOOKUP(X$1,Metadata!$A$2:$A1000,Metadata!$B$2:$B1000))),X$1,"""")"),"")</f>
        <v/>
      </c>
      <c r="Y513" s="33" t="str">
        <f>IFERROR(__xludf.DUMMYFUNCTION("IF(IF(Y$1="""","""",REGEXMATCH(LOWER($E513),XLOOKUP(Y$1,Metadata!$A$2:$A1000,Metadata!$B$2:$B1000))),Y$1,"""")"),"")</f>
        <v/>
      </c>
      <c r="Z513" s="33" t="str">
        <f>IFERROR(__xludf.DUMMYFUNCTION("IF(IF(Z$1="""","""",REGEXMATCH(LOWER($E513),XLOOKUP(Z$1,Metadata!$A$2:$A1000,Metadata!$B$2:$B1000))),Z$1,"""")"),"")</f>
        <v/>
      </c>
    </row>
    <row r="514">
      <c r="A514" s="33"/>
      <c r="B514" s="33"/>
      <c r="C514" s="33"/>
      <c r="D514" s="33"/>
      <c r="E514" s="33"/>
      <c r="F514" s="33"/>
      <c r="G514" s="33"/>
      <c r="H514" s="33"/>
      <c r="I514" s="33"/>
      <c r="J514" s="33">
        <f>IFERROR(__xludf.DUMMYFUNCTION("LEN(REGEXREPLACE(XLOOKUP($A514,Cards!$A$2:$A1000,Cards!$H$2:$H1000,""""),"",\s"",""""))"),0.0)</f>
        <v>0</v>
      </c>
      <c r="K514" s="33" t="str">
        <f t="shared" si="1"/>
        <v>               </v>
      </c>
      <c r="L514" s="33" t="str">
        <f>IFERROR(__xludf.DUMMYFUNCTION("IF(IF(L$1="""","""",REGEXMATCH(LOWER($E514),XLOOKUP(L$1,Metadata!$A$2:$A1000,Metadata!$B$2:$B1000))),L$1,"""")"),"")</f>
        <v/>
      </c>
      <c r="M514" s="33" t="str">
        <f>IFERROR(__xludf.DUMMYFUNCTION("IF(IF(M$1="""","""",REGEXMATCH(LOWER($E514),XLOOKUP(M$1,Metadata!$A$2:$A1000,Metadata!$B$2:$B1000))),M$1,"""")"),"")</f>
        <v/>
      </c>
      <c r="N514" s="33" t="str">
        <f>IFERROR(__xludf.DUMMYFUNCTION("IF(IF(N$1="""","""",REGEXMATCH(LOWER($E514),XLOOKUP(N$1,Metadata!$A$2:$A1000,Metadata!$B$2:$B1000))),N$1,"""")"),"")</f>
        <v/>
      </c>
      <c r="O514" s="33" t="str">
        <f>IFERROR(__xludf.DUMMYFUNCTION("IF(IF(O$1="""","""",REGEXMATCH(LOWER($E514),XLOOKUP(O$1,Metadata!$A$2:$A1000,Metadata!$B$2:$B1000))),O$1,"""")"),"")</f>
        <v/>
      </c>
      <c r="P514" s="33" t="str">
        <f>IFERROR(__xludf.DUMMYFUNCTION("IF(IF(P$1="""","""",REGEXMATCH(LOWER($E514),XLOOKUP(P$1,Metadata!$A$2:$A1000,Metadata!$B$2:$B1000))),P$1,"""")"),"")</f>
        <v/>
      </c>
      <c r="Q514" s="33" t="str">
        <f>IFERROR(__xludf.DUMMYFUNCTION("IF(IF(Q$1="""","""",REGEXMATCH(LOWER($E514),XLOOKUP(Q$1,Metadata!$A$2:$A1000,Metadata!$B$2:$B1000))),Q$1,"""")"),"")</f>
        <v/>
      </c>
      <c r="R514" s="33" t="str">
        <f>IFERROR(__xludf.DUMMYFUNCTION("IF(IF(R$1="""","""",REGEXMATCH(LOWER($E514),XLOOKUP(R$1,Metadata!$A$2:$A1000,Metadata!$B$2:$B1000))),R$1,"""")"),"")</f>
        <v/>
      </c>
      <c r="S514" s="33" t="str">
        <f>IFERROR(__xludf.DUMMYFUNCTION("IF(IF(S$1="""","""",REGEXMATCH(LOWER($E514),XLOOKUP(S$1,Metadata!$A$2:$A1000,Metadata!$B$2:$B1000))),S$1,"""")"),"")</f>
        <v/>
      </c>
      <c r="T514" s="33" t="str">
        <f>IFERROR(__xludf.DUMMYFUNCTION("IF(IF(T$1="""","""",REGEXMATCH(LOWER($E514),XLOOKUP(T$1,Metadata!$A$2:$A1000,Metadata!$B$2:$B1000))),T$1,"""")"),"")</f>
        <v/>
      </c>
      <c r="U514" s="33" t="str">
        <f>IFERROR(__xludf.DUMMYFUNCTION("IF(IF(U$1="""","""",REGEXMATCH(LOWER($E514),XLOOKUP(U$1,Metadata!$A$2:$A1000,Metadata!$B$2:$B1000))),U$1,"""")"),"")</f>
        <v/>
      </c>
      <c r="V514" s="33" t="str">
        <f>IFERROR(__xludf.DUMMYFUNCTION("IF(IF(V$1="""","""",REGEXMATCH(LOWER($E514),XLOOKUP(V$1,Metadata!$A$2:$A1000,Metadata!$B$2:$B1000))),V$1,"""")"),"")</f>
        <v/>
      </c>
      <c r="W514" s="33" t="str">
        <f>IFERROR(__xludf.DUMMYFUNCTION("IF(IF(W$1="""","""",REGEXMATCH(LOWER($E514),XLOOKUP(W$1,Metadata!$A$2:$A1000,Metadata!$B$2:$B1000))),W$1,"""")"),"")</f>
        <v/>
      </c>
      <c r="X514" s="33" t="str">
        <f>IFERROR(__xludf.DUMMYFUNCTION("IF(IF(X$1="""","""",REGEXMATCH(LOWER($E514),XLOOKUP(X$1,Metadata!$A$2:$A1000,Metadata!$B$2:$B1000))),X$1,"""")"),"")</f>
        <v/>
      </c>
      <c r="Y514" s="33" t="str">
        <f>IFERROR(__xludf.DUMMYFUNCTION("IF(IF(Y$1="""","""",REGEXMATCH(LOWER($E514),XLOOKUP(Y$1,Metadata!$A$2:$A1000,Metadata!$B$2:$B1000))),Y$1,"""")"),"")</f>
        <v/>
      </c>
      <c r="Z514" s="33" t="str">
        <f>IFERROR(__xludf.DUMMYFUNCTION("IF(IF(Z$1="""","""",REGEXMATCH(LOWER($E514),XLOOKUP(Z$1,Metadata!$A$2:$A1000,Metadata!$B$2:$B1000))),Z$1,"""")"),"")</f>
        <v/>
      </c>
    </row>
    <row r="515">
      <c r="A515" s="33"/>
      <c r="B515" s="33"/>
      <c r="C515" s="33"/>
      <c r="D515" s="33"/>
      <c r="E515" s="33"/>
      <c r="F515" s="33"/>
      <c r="G515" s="33"/>
      <c r="H515" s="33"/>
      <c r="I515" s="33"/>
      <c r="J515" s="33">
        <f>IFERROR(__xludf.DUMMYFUNCTION("LEN(REGEXREPLACE(XLOOKUP($A515,Cards!$A$2:$A1000,Cards!$H$2:$H1000,""""),"",\s"",""""))"),0.0)</f>
        <v>0</v>
      </c>
      <c r="K515" s="33" t="str">
        <f t="shared" si="1"/>
        <v>               </v>
      </c>
      <c r="L515" s="33" t="str">
        <f>IFERROR(__xludf.DUMMYFUNCTION("IF(IF(L$1="""","""",REGEXMATCH(LOWER($E515),XLOOKUP(L$1,Metadata!$A$2:$A1000,Metadata!$B$2:$B1000))),L$1,"""")"),"")</f>
        <v/>
      </c>
      <c r="M515" s="33" t="str">
        <f>IFERROR(__xludf.DUMMYFUNCTION("IF(IF(M$1="""","""",REGEXMATCH(LOWER($E515),XLOOKUP(M$1,Metadata!$A$2:$A1000,Metadata!$B$2:$B1000))),M$1,"""")"),"")</f>
        <v/>
      </c>
      <c r="N515" s="33" t="str">
        <f>IFERROR(__xludf.DUMMYFUNCTION("IF(IF(N$1="""","""",REGEXMATCH(LOWER($E515),XLOOKUP(N$1,Metadata!$A$2:$A1000,Metadata!$B$2:$B1000))),N$1,"""")"),"")</f>
        <v/>
      </c>
      <c r="O515" s="33" t="str">
        <f>IFERROR(__xludf.DUMMYFUNCTION("IF(IF(O$1="""","""",REGEXMATCH(LOWER($E515),XLOOKUP(O$1,Metadata!$A$2:$A1000,Metadata!$B$2:$B1000))),O$1,"""")"),"")</f>
        <v/>
      </c>
      <c r="P515" s="33" t="str">
        <f>IFERROR(__xludf.DUMMYFUNCTION("IF(IF(P$1="""","""",REGEXMATCH(LOWER($E515),XLOOKUP(P$1,Metadata!$A$2:$A1000,Metadata!$B$2:$B1000))),P$1,"""")"),"")</f>
        <v/>
      </c>
      <c r="Q515" s="33" t="str">
        <f>IFERROR(__xludf.DUMMYFUNCTION("IF(IF(Q$1="""","""",REGEXMATCH(LOWER($E515),XLOOKUP(Q$1,Metadata!$A$2:$A1000,Metadata!$B$2:$B1000))),Q$1,"""")"),"")</f>
        <v/>
      </c>
      <c r="R515" s="33" t="str">
        <f>IFERROR(__xludf.DUMMYFUNCTION("IF(IF(R$1="""","""",REGEXMATCH(LOWER($E515),XLOOKUP(R$1,Metadata!$A$2:$A1000,Metadata!$B$2:$B1000))),R$1,"""")"),"")</f>
        <v/>
      </c>
      <c r="S515" s="33" t="str">
        <f>IFERROR(__xludf.DUMMYFUNCTION("IF(IF(S$1="""","""",REGEXMATCH(LOWER($E515),XLOOKUP(S$1,Metadata!$A$2:$A1000,Metadata!$B$2:$B1000))),S$1,"""")"),"")</f>
        <v/>
      </c>
      <c r="T515" s="33" t="str">
        <f>IFERROR(__xludf.DUMMYFUNCTION("IF(IF(T$1="""","""",REGEXMATCH(LOWER($E515),XLOOKUP(T$1,Metadata!$A$2:$A1000,Metadata!$B$2:$B1000))),T$1,"""")"),"")</f>
        <v/>
      </c>
      <c r="U515" s="33" t="str">
        <f>IFERROR(__xludf.DUMMYFUNCTION("IF(IF(U$1="""","""",REGEXMATCH(LOWER($E515),XLOOKUP(U$1,Metadata!$A$2:$A1000,Metadata!$B$2:$B1000))),U$1,"""")"),"")</f>
        <v/>
      </c>
      <c r="V515" s="33" t="str">
        <f>IFERROR(__xludf.DUMMYFUNCTION("IF(IF(V$1="""","""",REGEXMATCH(LOWER($E515),XLOOKUP(V$1,Metadata!$A$2:$A1000,Metadata!$B$2:$B1000))),V$1,"""")"),"")</f>
        <v/>
      </c>
      <c r="W515" s="33" t="str">
        <f>IFERROR(__xludf.DUMMYFUNCTION("IF(IF(W$1="""","""",REGEXMATCH(LOWER($E515),XLOOKUP(W$1,Metadata!$A$2:$A1000,Metadata!$B$2:$B1000))),W$1,"""")"),"")</f>
        <v/>
      </c>
      <c r="X515" s="33" t="str">
        <f>IFERROR(__xludf.DUMMYFUNCTION("IF(IF(X$1="""","""",REGEXMATCH(LOWER($E515),XLOOKUP(X$1,Metadata!$A$2:$A1000,Metadata!$B$2:$B1000))),X$1,"""")"),"")</f>
        <v/>
      </c>
      <c r="Y515" s="33" t="str">
        <f>IFERROR(__xludf.DUMMYFUNCTION("IF(IF(Y$1="""","""",REGEXMATCH(LOWER($E515),XLOOKUP(Y$1,Metadata!$A$2:$A1000,Metadata!$B$2:$B1000))),Y$1,"""")"),"")</f>
        <v/>
      </c>
      <c r="Z515" s="33" t="str">
        <f>IFERROR(__xludf.DUMMYFUNCTION("IF(IF(Z$1="""","""",REGEXMATCH(LOWER($E515),XLOOKUP(Z$1,Metadata!$A$2:$A1000,Metadata!$B$2:$B1000))),Z$1,"""")"),"")</f>
        <v/>
      </c>
    </row>
    <row r="516">
      <c r="A516" s="33"/>
      <c r="B516" s="33"/>
      <c r="C516" s="33"/>
      <c r="D516" s="33"/>
      <c r="E516" s="33"/>
      <c r="F516" s="33"/>
      <c r="G516" s="33"/>
      <c r="H516" s="33"/>
      <c r="I516" s="33"/>
      <c r="J516" s="33">
        <f>IFERROR(__xludf.DUMMYFUNCTION("LEN(REGEXREPLACE(XLOOKUP($A516,Cards!$A$2:$A1000,Cards!$H$2:$H1000,""""),"",\s"",""""))"),0.0)</f>
        <v>0</v>
      </c>
      <c r="K516" s="33" t="str">
        <f t="shared" si="1"/>
        <v>               </v>
      </c>
      <c r="L516" s="33" t="str">
        <f>IFERROR(__xludf.DUMMYFUNCTION("IF(IF(L$1="""","""",REGEXMATCH(LOWER($E516),XLOOKUP(L$1,Metadata!$A$2:$A1000,Metadata!$B$2:$B1000))),L$1,"""")"),"")</f>
        <v/>
      </c>
      <c r="M516" s="33" t="str">
        <f>IFERROR(__xludf.DUMMYFUNCTION("IF(IF(M$1="""","""",REGEXMATCH(LOWER($E516),XLOOKUP(M$1,Metadata!$A$2:$A1000,Metadata!$B$2:$B1000))),M$1,"""")"),"")</f>
        <v/>
      </c>
      <c r="N516" s="33" t="str">
        <f>IFERROR(__xludf.DUMMYFUNCTION("IF(IF(N$1="""","""",REGEXMATCH(LOWER($E516),XLOOKUP(N$1,Metadata!$A$2:$A1000,Metadata!$B$2:$B1000))),N$1,"""")"),"")</f>
        <v/>
      </c>
      <c r="O516" s="33" t="str">
        <f>IFERROR(__xludf.DUMMYFUNCTION("IF(IF(O$1="""","""",REGEXMATCH(LOWER($E516),XLOOKUP(O$1,Metadata!$A$2:$A1000,Metadata!$B$2:$B1000))),O$1,"""")"),"")</f>
        <v/>
      </c>
      <c r="P516" s="33" t="str">
        <f>IFERROR(__xludf.DUMMYFUNCTION("IF(IF(P$1="""","""",REGEXMATCH(LOWER($E516),XLOOKUP(P$1,Metadata!$A$2:$A1000,Metadata!$B$2:$B1000))),P$1,"""")"),"")</f>
        <v/>
      </c>
      <c r="Q516" s="33" t="str">
        <f>IFERROR(__xludf.DUMMYFUNCTION("IF(IF(Q$1="""","""",REGEXMATCH(LOWER($E516),XLOOKUP(Q$1,Metadata!$A$2:$A1000,Metadata!$B$2:$B1000))),Q$1,"""")"),"")</f>
        <v/>
      </c>
      <c r="R516" s="33" t="str">
        <f>IFERROR(__xludf.DUMMYFUNCTION("IF(IF(R$1="""","""",REGEXMATCH(LOWER($E516),XLOOKUP(R$1,Metadata!$A$2:$A1000,Metadata!$B$2:$B1000))),R$1,"""")"),"")</f>
        <v/>
      </c>
      <c r="S516" s="33" t="str">
        <f>IFERROR(__xludf.DUMMYFUNCTION("IF(IF(S$1="""","""",REGEXMATCH(LOWER($E516),XLOOKUP(S$1,Metadata!$A$2:$A1000,Metadata!$B$2:$B1000))),S$1,"""")"),"")</f>
        <v/>
      </c>
      <c r="T516" s="33" t="str">
        <f>IFERROR(__xludf.DUMMYFUNCTION("IF(IF(T$1="""","""",REGEXMATCH(LOWER($E516),XLOOKUP(T$1,Metadata!$A$2:$A1000,Metadata!$B$2:$B1000))),T$1,"""")"),"")</f>
        <v/>
      </c>
      <c r="U516" s="33" t="str">
        <f>IFERROR(__xludf.DUMMYFUNCTION("IF(IF(U$1="""","""",REGEXMATCH(LOWER($E516),XLOOKUP(U$1,Metadata!$A$2:$A1000,Metadata!$B$2:$B1000))),U$1,"""")"),"")</f>
        <v/>
      </c>
      <c r="V516" s="33" t="str">
        <f>IFERROR(__xludf.DUMMYFUNCTION("IF(IF(V$1="""","""",REGEXMATCH(LOWER($E516),XLOOKUP(V$1,Metadata!$A$2:$A1000,Metadata!$B$2:$B1000))),V$1,"""")"),"")</f>
        <v/>
      </c>
      <c r="W516" s="33" t="str">
        <f>IFERROR(__xludf.DUMMYFUNCTION("IF(IF(W$1="""","""",REGEXMATCH(LOWER($E516),XLOOKUP(W$1,Metadata!$A$2:$A1000,Metadata!$B$2:$B1000))),W$1,"""")"),"")</f>
        <v/>
      </c>
      <c r="X516" s="33" t="str">
        <f>IFERROR(__xludf.DUMMYFUNCTION("IF(IF(X$1="""","""",REGEXMATCH(LOWER($E516),XLOOKUP(X$1,Metadata!$A$2:$A1000,Metadata!$B$2:$B1000))),X$1,"""")"),"")</f>
        <v/>
      </c>
      <c r="Y516" s="33" t="str">
        <f>IFERROR(__xludf.DUMMYFUNCTION("IF(IF(Y$1="""","""",REGEXMATCH(LOWER($E516),XLOOKUP(Y$1,Metadata!$A$2:$A1000,Metadata!$B$2:$B1000))),Y$1,"""")"),"")</f>
        <v/>
      </c>
      <c r="Z516" s="33" t="str">
        <f>IFERROR(__xludf.DUMMYFUNCTION("IF(IF(Z$1="""","""",REGEXMATCH(LOWER($E516),XLOOKUP(Z$1,Metadata!$A$2:$A1000,Metadata!$B$2:$B1000))),Z$1,"""")"),"")</f>
        <v/>
      </c>
    </row>
    <row r="517">
      <c r="A517" s="33"/>
      <c r="B517" s="33"/>
      <c r="C517" s="33"/>
      <c r="D517" s="33"/>
      <c r="E517" s="33"/>
      <c r="F517" s="33"/>
      <c r="G517" s="33"/>
      <c r="H517" s="33"/>
      <c r="I517" s="33"/>
      <c r="J517" s="33">
        <f>IFERROR(__xludf.DUMMYFUNCTION("LEN(REGEXREPLACE(XLOOKUP($A517,Cards!$A$2:$A1000,Cards!$H$2:$H1000,""""),"",\s"",""""))"),0.0)</f>
        <v>0</v>
      </c>
      <c r="K517" s="33" t="str">
        <f t="shared" si="1"/>
        <v>               </v>
      </c>
      <c r="L517" s="33" t="str">
        <f>IFERROR(__xludf.DUMMYFUNCTION("IF(IF(L$1="""","""",REGEXMATCH(LOWER($E517),XLOOKUP(L$1,Metadata!$A$2:$A1000,Metadata!$B$2:$B1000))),L$1,"""")"),"")</f>
        <v/>
      </c>
      <c r="M517" s="33" t="str">
        <f>IFERROR(__xludf.DUMMYFUNCTION("IF(IF(M$1="""","""",REGEXMATCH(LOWER($E517),XLOOKUP(M$1,Metadata!$A$2:$A1000,Metadata!$B$2:$B1000))),M$1,"""")"),"")</f>
        <v/>
      </c>
      <c r="N517" s="33" t="str">
        <f>IFERROR(__xludf.DUMMYFUNCTION("IF(IF(N$1="""","""",REGEXMATCH(LOWER($E517),XLOOKUP(N$1,Metadata!$A$2:$A1000,Metadata!$B$2:$B1000))),N$1,"""")"),"")</f>
        <v/>
      </c>
      <c r="O517" s="33" t="str">
        <f>IFERROR(__xludf.DUMMYFUNCTION("IF(IF(O$1="""","""",REGEXMATCH(LOWER($E517),XLOOKUP(O$1,Metadata!$A$2:$A1000,Metadata!$B$2:$B1000))),O$1,"""")"),"")</f>
        <v/>
      </c>
      <c r="P517" s="33" t="str">
        <f>IFERROR(__xludf.DUMMYFUNCTION("IF(IF(P$1="""","""",REGEXMATCH(LOWER($E517),XLOOKUP(P$1,Metadata!$A$2:$A1000,Metadata!$B$2:$B1000))),P$1,"""")"),"")</f>
        <v/>
      </c>
      <c r="Q517" s="33" t="str">
        <f>IFERROR(__xludf.DUMMYFUNCTION("IF(IF(Q$1="""","""",REGEXMATCH(LOWER($E517),XLOOKUP(Q$1,Metadata!$A$2:$A1000,Metadata!$B$2:$B1000))),Q$1,"""")"),"")</f>
        <v/>
      </c>
      <c r="R517" s="33" t="str">
        <f>IFERROR(__xludf.DUMMYFUNCTION("IF(IF(R$1="""","""",REGEXMATCH(LOWER($E517),XLOOKUP(R$1,Metadata!$A$2:$A1000,Metadata!$B$2:$B1000))),R$1,"""")"),"")</f>
        <v/>
      </c>
      <c r="S517" s="33" t="str">
        <f>IFERROR(__xludf.DUMMYFUNCTION("IF(IF(S$1="""","""",REGEXMATCH(LOWER($E517),XLOOKUP(S$1,Metadata!$A$2:$A1000,Metadata!$B$2:$B1000))),S$1,"""")"),"")</f>
        <v/>
      </c>
      <c r="T517" s="33" t="str">
        <f>IFERROR(__xludf.DUMMYFUNCTION("IF(IF(T$1="""","""",REGEXMATCH(LOWER($E517),XLOOKUP(T$1,Metadata!$A$2:$A1000,Metadata!$B$2:$B1000))),T$1,"""")"),"")</f>
        <v/>
      </c>
      <c r="U517" s="33" t="str">
        <f>IFERROR(__xludf.DUMMYFUNCTION("IF(IF(U$1="""","""",REGEXMATCH(LOWER($E517),XLOOKUP(U$1,Metadata!$A$2:$A1000,Metadata!$B$2:$B1000))),U$1,"""")"),"")</f>
        <v/>
      </c>
      <c r="V517" s="33" t="str">
        <f>IFERROR(__xludf.DUMMYFUNCTION("IF(IF(V$1="""","""",REGEXMATCH(LOWER($E517),XLOOKUP(V$1,Metadata!$A$2:$A1000,Metadata!$B$2:$B1000))),V$1,"""")"),"")</f>
        <v/>
      </c>
      <c r="W517" s="33" t="str">
        <f>IFERROR(__xludf.DUMMYFUNCTION("IF(IF(W$1="""","""",REGEXMATCH(LOWER($E517),XLOOKUP(W$1,Metadata!$A$2:$A1000,Metadata!$B$2:$B1000))),W$1,"""")"),"")</f>
        <v/>
      </c>
      <c r="X517" s="33" t="str">
        <f>IFERROR(__xludf.DUMMYFUNCTION("IF(IF(X$1="""","""",REGEXMATCH(LOWER($E517),XLOOKUP(X$1,Metadata!$A$2:$A1000,Metadata!$B$2:$B1000))),X$1,"""")"),"")</f>
        <v/>
      </c>
      <c r="Y517" s="33" t="str">
        <f>IFERROR(__xludf.DUMMYFUNCTION("IF(IF(Y$1="""","""",REGEXMATCH(LOWER($E517),XLOOKUP(Y$1,Metadata!$A$2:$A1000,Metadata!$B$2:$B1000))),Y$1,"""")"),"")</f>
        <v/>
      </c>
      <c r="Z517" s="33" t="str">
        <f>IFERROR(__xludf.DUMMYFUNCTION("IF(IF(Z$1="""","""",REGEXMATCH(LOWER($E517),XLOOKUP(Z$1,Metadata!$A$2:$A1000,Metadata!$B$2:$B1000))),Z$1,"""")"),"")</f>
        <v/>
      </c>
    </row>
    <row r="518">
      <c r="A518" s="33"/>
      <c r="B518" s="33"/>
      <c r="C518" s="33"/>
      <c r="D518" s="33"/>
      <c r="E518" s="33"/>
      <c r="F518" s="33"/>
      <c r="G518" s="33"/>
      <c r="H518" s="33"/>
      <c r="I518" s="33"/>
      <c r="J518" s="33">
        <f>IFERROR(__xludf.DUMMYFUNCTION("LEN(REGEXREPLACE(XLOOKUP($A518,Cards!$A$2:$A1000,Cards!$H$2:$H1000,""""),"",\s"",""""))"),0.0)</f>
        <v>0</v>
      </c>
      <c r="K518" s="33" t="str">
        <f t="shared" si="1"/>
        <v>               </v>
      </c>
      <c r="L518" s="33" t="str">
        <f>IFERROR(__xludf.DUMMYFUNCTION("IF(IF(L$1="""","""",REGEXMATCH(LOWER($E518),XLOOKUP(L$1,Metadata!$A$2:$A1000,Metadata!$B$2:$B1000))),L$1,"""")"),"")</f>
        <v/>
      </c>
      <c r="M518" s="33" t="str">
        <f>IFERROR(__xludf.DUMMYFUNCTION("IF(IF(M$1="""","""",REGEXMATCH(LOWER($E518),XLOOKUP(M$1,Metadata!$A$2:$A1000,Metadata!$B$2:$B1000))),M$1,"""")"),"")</f>
        <v/>
      </c>
      <c r="N518" s="33" t="str">
        <f>IFERROR(__xludf.DUMMYFUNCTION("IF(IF(N$1="""","""",REGEXMATCH(LOWER($E518),XLOOKUP(N$1,Metadata!$A$2:$A1000,Metadata!$B$2:$B1000))),N$1,"""")"),"")</f>
        <v/>
      </c>
      <c r="O518" s="33" t="str">
        <f>IFERROR(__xludf.DUMMYFUNCTION("IF(IF(O$1="""","""",REGEXMATCH(LOWER($E518),XLOOKUP(O$1,Metadata!$A$2:$A1000,Metadata!$B$2:$B1000))),O$1,"""")"),"")</f>
        <v/>
      </c>
      <c r="P518" s="33" t="str">
        <f>IFERROR(__xludf.DUMMYFUNCTION("IF(IF(P$1="""","""",REGEXMATCH(LOWER($E518),XLOOKUP(P$1,Metadata!$A$2:$A1000,Metadata!$B$2:$B1000))),P$1,"""")"),"")</f>
        <v/>
      </c>
      <c r="Q518" s="33" t="str">
        <f>IFERROR(__xludf.DUMMYFUNCTION("IF(IF(Q$1="""","""",REGEXMATCH(LOWER($E518),XLOOKUP(Q$1,Metadata!$A$2:$A1000,Metadata!$B$2:$B1000))),Q$1,"""")"),"")</f>
        <v/>
      </c>
      <c r="R518" s="33" t="str">
        <f>IFERROR(__xludf.DUMMYFUNCTION("IF(IF(R$1="""","""",REGEXMATCH(LOWER($E518),XLOOKUP(R$1,Metadata!$A$2:$A1000,Metadata!$B$2:$B1000))),R$1,"""")"),"")</f>
        <v/>
      </c>
      <c r="S518" s="33" t="str">
        <f>IFERROR(__xludf.DUMMYFUNCTION("IF(IF(S$1="""","""",REGEXMATCH(LOWER($E518),XLOOKUP(S$1,Metadata!$A$2:$A1000,Metadata!$B$2:$B1000))),S$1,"""")"),"")</f>
        <v/>
      </c>
      <c r="T518" s="33" t="str">
        <f>IFERROR(__xludf.DUMMYFUNCTION("IF(IF(T$1="""","""",REGEXMATCH(LOWER($E518),XLOOKUP(T$1,Metadata!$A$2:$A1000,Metadata!$B$2:$B1000))),T$1,"""")"),"")</f>
        <v/>
      </c>
      <c r="U518" s="33" t="str">
        <f>IFERROR(__xludf.DUMMYFUNCTION("IF(IF(U$1="""","""",REGEXMATCH(LOWER($E518),XLOOKUP(U$1,Metadata!$A$2:$A1000,Metadata!$B$2:$B1000))),U$1,"""")"),"")</f>
        <v/>
      </c>
      <c r="V518" s="33" t="str">
        <f>IFERROR(__xludf.DUMMYFUNCTION("IF(IF(V$1="""","""",REGEXMATCH(LOWER($E518),XLOOKUP(V$1,Metadata!$A$2:$A1000,Metadata!$B$2:$B1000))),V$1,"""")"),"")</f>
        <v/>
      </c>
      <c r="W518" s="33" t="str">
        <f>IFERROR(__xludf.DUMMYFUNCTION("IF(IF(W$1="""","""",REGEXMATCH(LOWER($E518),XLOOKUP(W$1,Metadata!$A$2:$A1000,Metadata!$B$2:$B1000))),W$1,"""")"),"")</f>
        <v/>
      </c>
      <c r="X518" s="33" t="str">
        <f>IFERROR(__xludf.DUMMYFUNCTION("IF(IF(X$1="""","""",REGEXMATCH(LOWER($E518),XLOOKUP(X$1,Metadata!$A$2:$A1000,Metadata!$B$2:$B1000))),X$1,"""")"),"")</f>
        <v/>
      </c>
      <c r="Y518" s="33" t="str">
        <f>IFERROR(__xludf.DUMMYFUNCTION("IF(IF(Y$1="""","""",REGEXMATCH(LOWER($E518),XLOOKUP(Y$1,Metadata!$A$2:$A1000,Metadata!$B$2:$B1000))),Y$1,"""")"),"")</f>
        <v/>
      </c>
      <c r="Z518" s="33" t="str">
        <f>IFERROR(__xludf.DUMMYFUNCTION("IF(IF(Z$1="""","""",REGEXMATCH(LOWER($E518),XLOOKUP(Z$1,Metadata!$A$2:$A1000,Metadata!$B$2:$B1000))),Z$1,"""")"),"")</f>
        <v/>
      </c>
    </row>
    <row r="519">
      <c r="A519" s="33"/>
      <c r="B519" s="33"/>
      <c r="C519" s="33"/>
      <c r="D519" s="33"/>
      <c r="E519" s="33"/>
      <c r="F519" s="33"/>
      <c r="G519" s="33"/>
      <c r="H519" s="33"/>
      <c r="I519" s="33"/>
      <c r="J519" s="33">
        <f>IFERROR(__xludf.DUMMYFUNCTION("LEN(REGEXREPLACE(XLOOKUP($A519,Cards!$A$2:$A1000,Cards!$H$2:$H1000,""""),"",\s"",""""))"),0.0)</f>
        <v>0</v>
      </c>
      <c r="K519" s="33" t="str">
        <f t="shared" si="1"/>
        <v>               </v>
      </c>
      <c r="L519" s="33" t="str">
        <f>IFERROR(__xludf.DUMMYFUNCTION("IF(IF(L$1="""","""",REGEXMATCH(LOWER($E519),XLOOKUP(L$1,Metadata!$A$2:$A1000,Metadata!$B$2:$B1000))),L$1,"""")"),"")</f>
        <v/>
      </c>
      <c r="M519" s="33" t="str">
        <f>IFERROR(__xludf.DUMMYFUNCTION("IF(IF(M$1="""","""",REGEXMATCH(LOWER($E519),XLOOKUP(M$1,Metadata!$A$2:$A1000,Metadata!$B$2:$B1000))),M$1,"""")"),"")</f>
        <v/>
      </c>
      <c r="N519" s="33" t="str">
        <f>IFERROR(__xludf.DUMMYFUNCTION("IF(IF(N$1="""","""",REGEXMATCH(LOWER($E519),XLOOKUP(N$1,Metadata!$A$2:$A1000,Metadata!$B$2:$B1000))),N$1,"""")"),"")</f>
        <v/>
      </c>
      <c r="O519" s="33" t="str">
        <f>IFERROR(__xludf.DUMMYFUNCTION("IF(IF(O$1="""","""",REGEXMATCH(LOWER($E519),XLOOKUP(O$1,Metadata!$A$2:$A1000,Metadata!$B$2:$B1000))),O$1,"""")"),"")</f>
        <v/>
      </c>
      <c r="P519" s="33" t="str">
        <f>IFERROR(__xludf.DUMMYFUNCTION("IF(IF(P$1="""","""",REGEXMATCH(LOWER($E519),XLOOKUP(P$1,Metadata!$A$2:$A1000,Metadata!$B$2:$B1000))),P$1,"""")"),"")</f>
        <v/>
      </c>
      <c r="Q519" s="33" t="str">
        <f>IFERROR(__xludf.DUMMYFUNCTION("IF(IF(Q$1="""","""",REGEXMATCH(LOWER($E519),XLOOKUP(Q$1,Metadata!$A$2:$A1000,Metadata!$B$2:$B1000))),Q$1,"""")"),"")</f>
        <v/>
      </c>
      <c r="R519" s="33" t="str">
        <f>IFERROR(__xludf.DUMMYFUNCTION("IF(IF(R$1="""","""",REGEXMATCH(LOWER($E519),XLOOKUP(R$1,Metadata!$A$2:$A1000,Metadata!$B$2:$B1000))),R$1,"""")"),"")</f>
        <v/>
      </c>
      <c r="S519" s="33" t="str">
        <f>IFERROR(__xludf.DUMMYFUNCTION("IF(IF(S$1="""","""",REGEXMATCH(LOWER($E519),XLOOKUP(S$1,Metadata!$A$2:$A1000,Metadata!$B$2:$B1000))),S$1,"""")"),"")</f>
        <v/>
      </c>
      <c r="T519" s="33" t="str">
        <f>IFERROR(__xludf.DUMMYFUNCTION("IF(IF(T$1="""","""",REGEXMATCH(LOWER($E519),XLOOKUP(T$1,Metadata!$A$2:$A1000,Metadata!$B$2:$B1000))),T$1,"""")"),"")</f>
        <v/>
      </c>
      <c r="U519" s="33" t="str">
        <f>IFERROR(__xludf.DUMMYFUNCTION("IF(IF(U$1="""","""",REGEXMATCH(LOWER($E519),XLOOKUP(U$1,Metadata!$A$2:$A1000,Metadata!$B$2:$B1000))),U$1,"""")"),"")</f>
        <v/>
      </c>
      <c r="V519" s="33" t="str">
        <f>IFERROR(__xludf.DUMMYFUNCTION("IF(IF(V$1="""","""",REGEXMATCH(LOWER($E519),XLOOKUP(V$1,Metadata!$A$2:$A1000,Metadata!$B$2:$B1000))),V$1,"""")"),"")</f>
        <v/>
      </c>
      <c r="W519" s="33" t="str">
        <f>IFERROR(__xludf.DUMMYFUNCTION("IF(IF(W$1="""","""",REGEXMATCH(LOWER($E519),XLOOKUP(W$1,Metadata!$A$2:$A1000,Metadata!$B$2:$B1000))),W$1,"""")"),"")</f>
        <v/>
      </c>
      <c r="X519" s="33" t="str">
        <f>IFERROR(__xludf.DUMMYFUNCTION("IF(IF(X$1="""","""",REGEXMATCH(LOWER($E519),XLOOKUP(X$1,Metadata!$A$2:$A1000,Metadata!$B$2:$B1000))),X$1,"""")"),"")</f>
        <v/>
      </c>
      <c r="Y519" s="33" t="str">
        <f>IFERROR(__xludf.DUMMYFUNCTION("IF(IF(Y$1="""","""",REGEXMATCH(LOWER($E519),XLOOKUP(Y$1,Metadata!$A$2:$A1000,Metadata!$B$2:$B1000))),Y$1,"""")"),"")</f>
        <v/>
      </c>
      <c r="Z519" s="33" t="str">
        <f>IFERROR(__xludf.DUMMYFUNCTION("IF(IF(Z$1="""","""",REGEXMATCH(LOWER($E519),XLOOKUP(Z$1,Metadata!$A$2:$A1000,Metadata!$B$2:$B1000))),Z$1,"""")"),"")</f>
        <v/>
      </c>
    </row>
    <row r="520">
      <c r="A520" s="33"/>
      <c r="B520" s="33"/>
      <c r="C520" s="33"/>
      <c r="D520" s="33"/>
      <c r="E520" s="33"/>
      <c r="F520" s="33"/>
      <c r="G520" s="33"/>
      <c r="H520" s="33"/>
      <c r="I520" s="33"/>
      <c r="J520" s="33">
        <f>IFERROR(__xludf.DUMMYFUNCTION("LEN(REGEXREPLACE(XLOOKUP($A520,Cards!$A$2:$A1000,Cards!$H$2:$H1000,""""),"",\s"",""""))"),0.0)</f>
        <v>0</v>
      </c>
      <c r="K520" s="33" t="str">
        <f t="shared" si="1"/>
        <v>               </v>
      </c>
      <c r="L520" s="33" t="str">
        <f>IFERROR(__xludf.DUMMYFUNCTION("IF(IF(L$1="""","""",REGEXMATCH(LOWER($E520),XLOOKUP(L$1,Metadata!$A$2:$A1000,Metadata!$B$2:$B1000))),L$1,"""")"),"")</f>
        <v/>
      </c>
      <c r="M520" s="33" t="str">
        <f>IFERROR(__xludf.DUMMYFUNCTION("IF(IF(M$1="""","""",REGEXMATCH(LOWER($E520),XLOOKUP(M$1,Metadata!$A$2:$A1000,Metadata!$B$2:$B1000))),M$1,"""")"),"")</f>
        <v/>
      </c>
      <c r="N520" s="33" t="str">
        <f>IFERROR(__xludf.DUMMYFUNCTION("IF(IF(N$1="""","""",REGEXMATCH(LOWER($E520),XLOOKUP(N$1,Metadata!$A$2:$A1000,Metadata!$B$2:$B1000))),N$1,"""")"),"")</f>
        <v/>
      </c>
      <c r="O520" s="33" t="str">
        <f>IFERROR(__xludf.DUMMYFUNCTION("IF(IF(O$1="""","""",REGEXMATCH(LOWER($E520),XLOOKUP(O$1,Metadata!$A$2:$A1000,Metadata!$B$2:$B1000))),O$1,"""")"),"")</f>
        <v/>
      </c>
      <c r="P520" s="33" t="str">
        <f>IFERROR(__xludf.DUMMYFUNCTION("IF(IF(P$1="""","""",REGEXMATCH(LOWER($E520),XLOOKUP(P$1,Metadata!$A$2:$A1000,Metadata!$B$2:$B1000))),P$1,"""")"),"")</f>
        <v/>
      </c>
      <c r="Q520" s="33" t="str">
        <f>IFERROR(__xludf.DUMMYFUNCTION("IF(IF(Q$1="""","""",REGEXMATCH(LOWER($E520),XLOOKUP(Q$1,Metadata!$A$2:$A1000,Metadata!$B$2:$B1000))),Q$1,"""")"),"")</f>
        <v/>
      </c>
      <c r="R520" s="33" t="str">
        <f>IFERROR(__xludf.DUMMYFUNCTION("IF(IF(R$1="""","""",REGEXMATCH(LOWER($E520),XLOOKUP(R$1,Metadata!$A$2:$A1000,Metadata!$B$2:$B1000))),R$1,"""")"),"")</f>
        <v/>
      </c>
      <c r="S520" s="33" t="str">
        <f>IFERROR(__xludf.DUMMYFUNCTION("IF(IF(S$1="""","""",REGEXMATCH(LOWER($E520),XLOOKUP(S$1,Metadata!$A$2:$A1000,Metadata!$B$2:$B1000))),S$1,"""")"),"")</f>
        <v/>
      </c>
      <c r="T520" s="33" t="str">
        <f>IFERROR(__xludf.DUMMYFUNCTION("IF(IF(T$1="""","""",REGEXMATCH(LOWER($E520),XLOOKUP(T$1,Metadata!$A$2:$A1000,Metadata!$B$2:$B1000))),T$1,"""")"),"")</f>
        <v/>
      </c>
      <c r="U520" s="33" t="str">
        <f>IFERROR(__xludf.DUMMYFUNCTION("IF(IF(U$1="""","""",REGEXMATCH(LOWER($E520),XLOOKUP(U$1,Metadata!$A$2:$A1000,Metadata!$B$2:$B1000))),U$1,"""")"),"")</f>
        <v/>
      </c>
      <c r="V520" s="33" t="str">
        <f>IFERROR(__xludf.DUMMYFUNCTION("IF(IF(V$1="""","""",REGEXMATCH(LOWER($E520),XLOOKUP(V$1,Metadata!$A$2:$A1000,Metadata!$B$2:$B1000))),V$1,"""")"),"")</f>
        <v/>
      </c>
      <c r="W520" s="33" t="str">
        <f>IFERROR(__xludf.DUMMYFUNCTION("IF(IF(W$1="""","""",REGEXMATCH(LOWER($E520),XLOOKUP(W$1,Metadata!$A$2:$A1000,Metadata!$B$2:$B1000))),W$1,"""")"),"")</f>
        <v/>
      </c>
      <c r="X520" s="33" t="str">
        <f>IFERROR(__xludf.DUMMYFUNCTION("IF(IF(X$1="""","""",REGEXMATCH(LOWER($E520),XLOOKUP(X$1,Metadata!$A$2:$A1000,Metadata!$B$2:$B1000))),X$1,"""")"),"")</f>
        <v/>
      </c>
      <c r="Y520" s="33" t="str">
        <f>IFERROR(__xludf.DUMMYFUNCTION("IF(IF(Y$1="""","""",REGEXMATCH(LOWER($E520),XLOOKUP(Y$1,Metadata!$A$2:$A1000,Metadata!$B$2:$B1000))),Y$1,"""")"),"")</f>
        <v/>
      </c>
      <c r="Z520" s="33" t="str">
        <f>IFERROR(__xludf.DUMMYFUNCTION("IF(IF(Z$1="""","""",REGEXMATCH(LOWER($E520),XLOOKUP(Z$1,Metadata!$A$2:$A1000,Metadata!$B$2:$B1000))),Z$1,"""")"),"")</f>
        <v/>
      </c>
    </row>
    <row r="521">
      <c r="A521" s="33"/>
      <c r="B521" s="33"/>
      <c r="C521" s="33"/>
      <c r="D521" s="33"/>
      <c r="E521" s="33"/>
      <c r="F521" s="33"/>
      <c r="G521" s="33"/>
      <c r="H521" s="33"/>
      <c r="I521" s="33"/>
      <c r="J521" s="33">
        <f>IFERROR(__xludf.DUMMYFUNCTION("LEN(REGEXREPLACE(XLOOKUP($A521,Cards!$A$2:$A1000,Cards!$H$2:$H1000,""""),"",\s"",""""))"),0.0)</f>
        <v>0</v>
      </c>
      <c r="K521" s="33" t="str">
        <f t="shared" si="1"/>
        <v>               </v>
      </c>
      <c r="L521" s="33" t="str">
        <f>IFERROR(__xludf.DUMMYFUNCTION("IF(IF(L$1="""","""",REGEXMATCH(LOWER($E521),XLOOKUP(L$1,Metadata!$A$2:$A1000,Metadata!$B$2:$B1000))),L$1,"""")"),"")</f>
        <v/>
      </c>
      <c r="M521" s="33" t="str">
        <f>IFERROR(__xludf.DUMMYFUNCTION("IF(IF(M$1="""","""",REGEXMATCH(LOWER($E521),XLOOKUP(M$1,Metadata!$A$2:$A1000,Metadata!$B$2:$B1000))),M$1,"""")"),"")</f>
        <v/>
      </c>
      <c r="N521" s="33" t="str">
        <f>IFERROR(__xludf.DUMMYFUNCTION("IF(IF(N$1="""","""",REGEXMATCH(LOWER($E521),XLOOKUP(N$1,Metadata!$A$2:$A1000,Metadata!$B$2:$B1000))),N$1,"""")"),"")</f>
        <v/>
      </c>
      <c r="O521" s="33" t="str">
        <f>IFERROR(__xludf.DUMMYFUNCTION("IF(IF(O$1="""","""",REGEXMATCH(LOWER($E521),XLOOKUP(O$1,Metadata!$A$2:$A1000,Metadata!$B$2:$B1000))),O$1,"""")"),"")</f>
        <v/>
      </c>
      <c r="P521" s="33" t="str">
        <f>IFERROR(__xludf.DUMMYFUNCTION("IF(IF(P$1="""","""",REGEXMATCH(LOWER($E521),XLOOKUP(P$1,Metadata!$A$2:$A1000,Metadata!$B$2:$B1000))),P$1,"""")"),"")</f>
        <v/>
      </c>
      <c r="Q521" s="33" t="str">
        <f>IFERROR(__xludf.DUMMYFUNCTION("IF(IF(Q$1="""","""",REGEXMATCH(LOWER($E521),XLOOKUP(Q$1,Metadata!$A$2:$A1000,Metadata!$B$2:$B1000))),Q$1,"""")"),"")</f>
        <v/>
      </c>
      <c r="R521" s="33" t="str">
        <f>IFERROR(__xludf.DUMMYFUNCTION("IF(IF(R$1="""","""",REGEXMATCH(LOWER($E521),XLOOKUP(R$1,Metadata!$A$2:$A1000,Metadata!$B$2:$B1000))),R$1,"""")"),"")</f>
        <v/>
      </c>
      <c r="S521" s="33" t="str">
        <f>IFERROR(__xludf.DUMMYFUNCTION("IF(IF(S$1="""","""",REGEXMATCH(LOWER($E521),XLOOKUP(S$1,Metadata!$A$2:$A1000,Metadata!$B$2:$B1000))),S$1,"""")"),"")</f>
        <v/>
      </c>
      <c r="T521" s="33" t="str">
        <f>IFERROR(__xludf.DUMMYFUNCTION("IF(IF(T$1="""","""",REGEXMATCH(LOWER($E521),XLOOKUP(T$1,Metadata!$A$2:$A1000,Metadata!$B$2:$B1000))),T$1,"""")"),"")</f>
        <v/>
      </c>
      <c r="U521" s="33" t="str">
        <f>IFERROR(__xludf.DUMMYFUNCTION("IF(IF(U$1="""","""",REGEXMATCH(LOWER($E521),XLOOKUP(U$1,Metadata!$A$2:$A1000,Metadata!$B$2:$B1000))),U$1,"""")"),"")</f>
        <v/>
      </c>
      <c r="V521" s="33" t="str">
        <f>IFERROR(__xludf.DUMMYFUNCTION("IF(IF(V$1="""","""",REGEXMATCH(LOWER($E521),XLOOKUP(V$1,Metadata!$A$2:$A1000,Metadata!$B$2:$B1000))),V$1,"""")"),"")</f>
        <v/>
      </c>
      <c r="W521" s="33" t="str">
        <f>IFERROR(__xludf.DUMMYFUNCTION("IF(IF(W$1="""","""",REGEXMATCH(LOWER($E521),XLOOKUP(W$1,Metadata!$A$2:$A1000,Metadata!$B$2:$B1000))),W$1,"""")"),"")</f>
        <v/>
      </c>
      <c r="X521" s="33" t="str">
        <f>IFERROR(__xludf.DUMMYFUNCTION("IF(IF(X$1="""","""",REGEXMATCH(LOWER($E521),XLOOKUP(X$1,Metadata!$A$2:$A1000,Metadata!$B$2:$B1000))),X$1,"""")"),"")</f>
        <v/>
      </c>
      <c r="Y521" s="33" t="str">
        <f>IFERROR(__xludf.DUMMYFUNCTION("IF(IF(Y$1="""","""",REGEXMATCH(LOWER($E521),XLOOKUP(Y$1,Metadata!$A$2:$A1000,Metadata!$B$2:$B1000))),Y$1,"""")"),"")</f>
        <v/>
      </c>
      <c r="Z521" s="33" t="str">
        <f>IFERROR(__xludf.DUMMYFUNCTION("IF(IF(Z$1="""","""",REGEXMATCH(LOWER($E521),XLOOKUP(Z$1,Metadata!$A$2:$A1000,Metadata!$B$2:$B1000))),Z$1,"""")"),"")</f>
        <v/>
      </c>
    </row>
    <row r="522">
      <c r="A522" s="33"/>
      <c r="B522" s="33"/>
      <c r="C522" s="33"/>
      <c r="D522" s="33"/>
      <c r="E522" s="33"/>
      <c r="F522" s="33"/>
      <c r="G522" s="33"/>
      <c r="H522" s="33"/>
      <c r="I522" s="33"/>
      <c r="J522" s="33">
        <f>IFERROR(__xludf.DUMMYFUNCTION("LEN(REGEXREPLACE(XLOOKUP($A522,Cards!$A$2:$A1000,Cards!$H$2:$H1000,""""),"",\s"",""""))"),0.0)</f>
        <v>0</v>
      </c>
      <c r="K522" s="33" t="str">
        <f t="shared" si="1"/>
        <v>               </v>
      </c>
      <c r="L522" s="33" t="str">
        <f>IFERROR(__xludf.DUMMYFUNCTION("IF(IF(L$1="""","""",REGEXMATCH(LOWER($E522),XLOOKUP(L$1,Metadata!$A$2:$A1000,Metadata!$B$2:$B1000))),L$1,"""")"),"")</f>
        <v/>
      </c>
      <c r="M522" s="33" t="str">
        <f>IFERROR(__xludf.DUMMYFUNCTION("IF(IF(M$1="""","""",REGEXMATCH(LOWER($E522),XLOOKUP(M$1,Metadata!$A$2:$A1000,Metadata!$B$2:$B1000))),M$1,"""")"),"")</f>
        <v/>
      </c>
      <c r="N522" s="33" t="str">
        <f>IFERROR(__xludf.DUMMYFUNCTION("IF(IF(N$1="""","""",REGEXMATCH(LOWER($E522),XLOOKUP(N$1,Metadata!$A$2:$A1000,Metadata!$B$2:$B1000))),N$1,"""")"),"")</f>
        <v/>
      </c>
      <c r="O522" s="33" t="str">
        <f>IFERROR(__xludf.DUMMYFUNCTION("IF(IF(O$1="""","""",REGEXMATCH(LOWER($E522),XLOOKUP(O$1,Metadata!$A$2:$A1000,Metadata!$B$2:$B1000))),O$1,"""")"),"")</f>
        <v/>
      </c>
      <c r="P522" s="33" t="str">
        <f>IFERROR(__xludf.DUMMYFUNCTION("IF(IF(P$1="""","""",REGEXMATCH(LOWER($E522),XLOOKUP(P$1,Metadata!$A$2:$A1000,Metadata!$B$2:$B1000))),P$1,"""")"),"")</f>
        <v/>
      </c>
      <c r="Q522" s="33" t="str">
        <f>IFERROR(__xludf.DUMMYFUNCTION("IF(IF(Q$1="""","""",REGEXMATCH(LOWER($E522),XLOOKUP(Q$1,Metadata!$A$2:$A1000,Metadata!$B$2:$B1000))),Q$1,"""")"),"")</f>
        <v/>
      </c>
      <c r="R522" s="33" t="str">
        <f>IFERROR(__xludf.DUMMYFUNCTION("IF(IF(R$1="""","""",REGEXMATCH(LOWER($E522),XLOOKUP(R$1,Metadata!$A$2:$A1000,Metadata!$B$2:$B1000))),R$1,"""")"),"")</f>
        <v/>
      </c>
      <c r="S522" s="33" t="str">
        <f>IFERROR(__xludf.DUMMYFUNCTION("IF(IF(S$1="""","""",REGEXMATCH(LOWER($E522),XLOOKUP(S$1,Metadata!$A$2:$A1000,Metadata!$B$2:$B1000))),S$1,"""")"),"")</f>
        <v/>
      </c>
      <c r="T522" s="33" t="str">
        <f>IFERROR(__xludf.DUMMYFUNCTION("IF(IF(T$1="""","""",REGEXMATCH(LOWER($E522),XLOOKUP(T$1,Metadata!$A$2:$A1000,Metadata!$B$2:$B1000))),T$1,"""")"),"")</f>
        <v/>
      </c>
      <c r="U522" s="33" t="str">
        <f>IFERROR(__xludf.DUMMYFUNCTION("IF(IF(U$1="""","""",REGEXMATCH(LOWER($E522),XLOOKUP(U$1,Metadata!$A$2:$A1000,Metadata!$B$2:$B1000))),U$1,"""")"),"")</f>
        <v/>
      </c>
      <c r="V522" s="33" t="str">
        <f>IFERROR(__xludf.DUMMYFUNCTION("IF(IF(V$1="""","""",REGEXMATCH(LOWER($E522),XLOOKUP(V$1,Metadata!$A$2:$A1000,Metadata!$B$2:$B1000))),V$1,"""")"),"")</f>
        <v/>
      </c>
      <c r="W522" s="33" t="str">
        <f>IFERROR(__xludf.DUMMYFUNCTION("IF(IF(W$1="""","""",REGEXMATCH(LOWER($E522),XLOOKUP(W$1,Metadata!$A$2:$A1000,Metadata!$B$2:$B1000))),W$1,"""")"),"")</f>
        <v/>
      </c>
      <c r="X522" s="33" t="str">
        <f>IFERROR(__xludf.DUMMYFUNCTION("IF(IF(X$1="""","""",REGEXMATCH(LOWER($E522),XLOOKUP(X$1,Metadata!$A$2:$A1000,Metadata!$B$2:$B1000))),X$1,"""")"),"")</f>
        <v/>
      </c>
      <c r="Y522" s="33" t="str">
        <f>IFERROR(__xludf.DUMMYFUNCTION("IF(IF(Y$1="""","""",REGEXMATCH(LOWER($E522),XLOOKUP(Y$1,Metadata!$A$2:$A1000,Metadata!$B$2:$B1000))),Y$1,"""")"),"")</f>
        <v/>
      </c>
      <c r="Z522" s="33" t="str">
        <f>IFERROR(__xludf.DUMMYFUNCTION("IF(IF(Z$1="""","""",REGEXMATCH(LOWER($E522),XLOOKUP(Z$1,Metadata!$A$2:$A1000,Metadata!$B$2:$B1000))),Z$1,"""")"),"")</f>
        <v/>
      </c>
    </row>
    <row r="523">
      <c r="A523" s="33"/>
      <c r="B523" s="33"/>
      <c r="C523" s="33"/>
      <c r="D523" s="33"/>
      <c r="E523" s="33"/>
      <c r="F523" s="33"/>
      <c r="G523" s="33"/>
      <c r="H523" s="33"/>
      <c r="I523" s="33"/>
      <c r="J523" s="33">
        <f>IFERROR(__xludf.DUMMYFUNCTION("LEN(REGEXREPLACE(XLOOKUP($A523,Cards!$A$2:$A1000,Cards!$H$2:$H1000,""""),"",\s"",""""))"),0.0)</f>
        <v>0</v>
      </c>
      <c r="K523" s="33" t="str">
        <f t="shared" si="1"/>
        <v>               </v>
      </c>
      <c r="L523" s="33" t="str">
        <f>IFERROR(__xludf.DUMMYFUNCTION("IF(IF(L$1="""","""",REGEXMATCH(LOWER($E523),XLOOKUP(L$1,Metadata!$A$2:$A1000,Metadata!$B$2:$B1000))),L$1,"""")"),"")</f>
        <v/>
      </c>
      <c r="M523" s="33" t="str">
        <f>IFERROR(__xludf.DUMMYFUNCTION("IF(IF(M$1="""","""",REGEXMATCH(LOWER($E523),XLOOKUP(M$1,Metadata!$A$2:$A1000,Metadata!$B$2:$B1000))),M$1,"""")"),"")</f>
        <v/>
      </c>
      <c r="N523" s="33" t="str">
        <f>IFERROR(__xludf.DUMMYFUNCTION("IF(IF(N$1="""","""",REGEXMATCH(LOWER($E523),XLOOKUP(N$1,Metadata!$A$2:$A1000,Metadata!$B$2:$B1000))),N$1,"""")"),"")</f>
        <v/>
      </c>
      <c r="O523" s="33" t="str">
        <f>IFERROR(__xludf.DUMMYFUNCTION("IF(IF(O$1="""","""",REGEXMATCH(LOWER($E523),XLOOKUP(O$1,Metadata!$A$2:$A1000,Metadata!$B$2:$B1000))),O$1,"""")"),"")</f>
        <v/>
      </c>
      <c r="P523" s="33" t="str">
        <f>IFERROR(__xludf.DUMMYFUNCTION("IF(IF(P$1="""","""",REGEXMATCH(LOWER($E523),XLOOKUP(P$1,Metadata!$A$2:$A1000,Metadata!$B$2:$B1000))),P$1,"""")"),"")</f>
        <v/>
      </c>
      <c r="Q523" s="33" t="str">
        <f>IFERROR(__xludf.DUMMYFUNCTION("IF(IF(Q$1="""","""",REGEXMATCH(LOWER($E523),XLOOKUP(Q$1,Metadata!$A$2:$A1000,Metadata!$B$2:$B1000))),Q$1,"""")"),"")</f>
        <v/>
      </c>
      <c r="R523" s="33" t="str">
        <f>IFERROR(__xludf.DUMMYFUNCTION("IF(IF(R$1="""","""",REGEXMATCH(LOWER($E523),XLOOKUP(R$1,Metadata!$A$2:$A1000,Metadata!$B$2:$B1000))),R$1,"""")"),"")</f>
        <v/>
      </c>
      <c r="S523" s="33" t="str">
        <f>IFERROR(__xludf.DUMMYFUNCTION("IF(IF(S$1="""","""",REGEXMATCH(LOWER($E523),XLOOKUP(S$1,Metadata!$A$2:$A1000,Metadata!$B$2:$B1000))),S$1,"""")"),"")</f>
        <v/>
      </c>
      <c r="T523" s="33" t="str">
        <f>IFERROR(__xludf.DUMMYFUNCTION("IF(IF(T$1="""","""",REGEXMATCH(LOWER($E523),XLOOKUP(T$1,Metadata!$A$2:$A1000,Metadata!$B$2:$B1000))),T$1,"""")"),"")</f>
        <v/>
      </c>
      <c r="U523" s="33" t="str">
        <f>IFERROR(__xludf.DUMMYFUNCTION("IF(IF(U$1="""","""",REGEXMATCH(LOWER($E523),XLOOKUP(U$1,Metadata!$A$2:$A1000,Metadata!$B$2:$B1000))),U$1,"""")"),"")</f>
        <v/>
      </c>
      <c r="V523" s="33" t="str">
        <f>IFERROR(__xludf.DUMMYFUNCTION("IF(IF(V$1="""","""",REGEXMATCH(LOWER($E523),XLOOKUP(V$1,Metadata!$A$2:$A1000,Metadata!$B$2:$B1000))),V$1,"""")"),"")</f>
        <v/>
      </c>
      <c r="W523" s="33" t="str">
        <f>IFERROR(__xludf.DUMMYFUNCTION("IF(IF(W$1="""","""",REGEXMATCH(LOWER($E523),XLOOKUP(W$1,Metadata!$A$2:$A1000,Metadata!$B$2:$B1000))),W$1,"""")"),"")</f>
        <v/>
      </c>
      <c r="X523" s="33" t="str">
        <f>IFERROR(__xludf.DUMMYFUNCTION("IF(IF(X$1="""","""",REGEXMATCH(LOWER($E523),XLOOKUP(X$1,Metadata!$A$2:$A1000,Metadata!$B$2:$B1000))),X$1,"""")"),"")</f>
        <v/>
      </c>
      <c r="Y523" s="33" t="str">
        <f>IFERROR(__xludf.DUMMYFUNCTION("IF(IF(Y$1="""","""",REGEXMATCH(LOWER($E523),XLOOKUP(Y$1,Metadata!$A$2:$A1000,Metadata!$B$2:$B1000))),Y$1,"""")"),"")</f>
        <v/>
      </c>
      <c r="Z523" s="33" t="str">
        <f>IFERROR(__xludf.DUMMYFUNCTION("IF(IF(Z$1="""","""",REGEXMATCH(LOWER($E523),XLOOKUP(Z$1,Metadata!$A$2:$A1000,Metadata!$B$2:$B1000))),Z$1,"""")"),"")</f>
        <v/>
      </c>
    </row>
    <row r="524">
      <c r="A524" s="33"/>
      <c r="B524" s="33"/>
      <c r="C524" s="33"/>
      <c r="D524" s="33"/>
      <c r="E524" s="33"/>
      <c r="F524" s="33"/>
      <c r="G524" s="33"/>
      <c r="H524" s="33"/>
      <c r="I524" s="33"/>
      <c r="J524" s="33">
        <f>IFERROR(__xludf.DUMMYFUNCTION("LEN(REGEXREPLACE(XLOOKUP($A524,Cards!$A$2:$A1000,Cards!$H$2:$H1000,""""),"",\s"",""""))"),0.0)</f>
        <v>0</v>
      </c>
      <c r="K524" s="33" t="str">
        <f t="shared" si="1"/>
        <v>               </v>
      </c>
      <c r="L524" s="33" t="str">
        <f>IFERROR(__xludf.DUMMYFUNCTION("IF(IF(L$1="""","""",REGEXMATCH(LOWER($E524),XLOOKUP(L$1,Metadata!$A$2:$A1000,Metadata!$B$2:$B1000))),L$1,"""")"),"")</f>
        <v/>
      </c>
      <c r="M524" s="33" t="str">
        <f>IFERROR(__xludf.DUMMYFUNCTION("IF(IF(M$1="""","""",REGEXMATCH(LOWER($E524),XLOOKUP(M$1,Metadata!$A$2:$A1000,Metadata!$B$2:$B1000))),M$1,"""")"),"")</f>
        <v/>
      </c>
      <c r="N524" s="33" t="str">
        <f>IFERROR(__xludf.DUMMYFUNCTION("IF(IF(N$1="""","""",REGEXMATCH(LOWER($E524),XLOOKUP(N$1,Metadata!$A$2:$A1000,Metadata!$B$2:$B1000))),N$1,"""")"),"")</f>
        <v/>
      </c>
      <c r="O524" s="33" t="str">
        <f>IFERROR(__xludf.DUMMYFUNCTION("IF(IF(O$1="""","""",REGEXMATCH(LOWER($E524),XLOOKUP(O$1,Metadata!$A$2:$A1000,Metadata!$B$2:$B1000))),O$1,"""")"),"")</f>
        <v/>
      </c>
      <c r="P524" s="33" t="str">
        <f>IFERROR(__xludf.DUMMYFUNCTION("IF(IF(P$1="""","""",REGEXMATCH(LOWER($E524),XLOOKUP(P$1,Metadata!$A$2:$A1000,Metadata!$B$2:$B1000))),P$1,"""")"),"")</f>
        <v/>
      </c>
      <c r="Q524" s="33" t="str">
        <f>IFERROR(__xludf.DUMMYFUNCTION("IF(IF(Q$1="""","""",REGEXMATCH(LOWER($E524),XLOOKUP(Q$1,Metadata!$A$2:$A1000,Metadata!$B$2:$B1000))),Q$1,"""")"),"")</f>
        <v/>
      </c>
      <c r="R524" s="33" t="str">
        <f>IFERROR(__xludf.DUMMYFUNCTION("IF(IF(R$1="""","""",REGEXMATCH(LOWER($E524),XLOOKUP(R$1,Metadata!$A$2:$A1000,Metadata!$B$2:$B1000))),R$1,"""")"),"")</f>
        <v/>
      </c>
      <c r="S524" s="33" t="str">
        <f>IFERROR(__xludf.DUMMYFUNCTION("IF(IF(S$1="""","""",REGEXMATCH(LOWER($E524),XLOOKUP(S$1,Metadata!$A$2:$A1000,Metadata!$B$2:$B1000))),S$1,"""")"),"")</f>
        <v/>
      </c>
      <c r="T524" s="33" t="str">
        <f>IFERROR(__xludf.DUMMYFUNCTION("IF(IF(T$1="""","""",REGEXMATCH(LOWER($E524),XLOOKUP(T$1,Metadata!$A$2:$A1000,Metadata!$B$2:$B1000))),T$1,"""")"),"")</f>
        <v/>
      </c>
      <c r="U524" s="33" t="str">
        <f>IFERROR(__xludf.DUMMYFUNCTION("IF(IF(U$1="""","""",REGEXMATCH(LOWER($E524),XLOOKUP(U$1,Metadata!$A$2:$A1000,Metadata!$B$2:$B1000))),U$1,"""")"),"")</f>
        <v/>
      </c>
      <c r="V524" s="33" t="str">
        <f>IFERROR(__xludf.DUMMYFUNCTION("IF(IF(V$1="""","""",REGEXMATCH(LOWER($E524),XLOOKUP(V$1,Metadata!$A$2:$A1000,Metadata!$B$2:$B1000))),V$1,"""")"),"")</f>
        <v/>
      </c>
      <c r="W524" s="33" t="str">
        <f>IFERROR(__xludf.DUMMYFUNCTION("IF(IF(W$1="""","""",REGEXMATCH(LOWER($E524),XLOOKUP(W$1,Metadata!$A$2:$A1000,Metadata!$B$2:$B1000))),W$1,"""")"),"")</f>
        <v/>
      </c>
      <c r="X524" s="33" t="str">
        <f>IFERROR(__xludf.DUMMYFUNCTION("IF(IF(X$1="""","""",REGEXMATCH(LOWER($E524),XLOOKUP(X$1,Metadata!$A$2:$A1000,Metadata!$B$2:$B1000))),X$1,"""")"),"")</f>
        <v/>
      </c>
      <c r="Y524" s="33" t="str">
        <f>IFERROR(__xludf.DUMMYFUNCTION("IF(IF(Y$1="""","""",REGEXMATCH(LOWER($E524),XLOOKUP(Y$1,Metadata!$A$2:$A1000,Metadata!$B$2:$B1000))),Y$1,"""")"),"")</f>
        <v/>
      </c>
      <c r="Z524" s="33" t="str">
        <f>IFERROR(__xludf.DUMMYFUNCTION("IF(IF(Z$1="""","""",REGEXMATCH(LOWER($E524),XLOOKUP(Z$1,Metadata!$A$2:$A1000,Metadata!$B$2:$B1000))),Z$1,"""")"),"")</f>
        <v/>
      </c>
    </row>
    <row r="525">
      <c r="A525" s="33"/>
      <c r="B525" s="33"/>
      <c r="C525" s="33"/>
      <c r="D525" s="33"/>
      <c r="E525" s="33"/>
      <c r="F525" s="33"/>
      <c r="G525" s="33"/>
      <c r="H525" s="33"/>
      <c r="I525" s="33"/>
      <c r="J525" s="33">
        <f>IFERROR(__xludf.DUMMYFUNCTION("LEN(REGEXREPLACE(XLOOKUP($A525,Cards!$A$2:$A1000,Cards!$H$2:$H1000,""""),"",\s"",""""))"),0.0)</f>
        <v>0</v>
      </c>
      <c r="K525" s="33" t="str">
        <f t="shared" si="1"/>
        <v>               </v>
      </c>
      <c r="L525" s="33" t="str">
        <f>IFERROR(__xludf.DUMMYFUNCTION("IF(IF(L$1="""","""",REGEXMATCH(LOWER($E525),XLOOKUP(L$1,Metadata!$A$2:$A1000,Metadata!$B$2:$B1000))),L$1,"""")"),"")</f>
        <v/>
      </c>
      <c r="M525" s="33" t="str">
        <f>IFERROR(__xludf.DUMMYFUNCTION("IF(IF(M$1="""","""",REGEXMATCH(LOWER($E525),XLOOKUP(M$1,Metadata!$A$2:$A1000,Metadata!$B$2:$B1000))),M$1,"""")"),"")</f>
        <v/>
      </c>
      <c r="N525" s="33" t="str">
        <f>IFERROR(__xludf.DUMMYFUNCTION("IF(IF(N$1="""","""",REGEXMATCH(LOWER($E525),XLOOKUP(N$1,Metadata!$A$2:$A1000,Metadata!$B$2:$B1000))),N$1,"""")"),"")</f>
        <v/>
      </c>
      <c r="O525" s="33" t="str">
        <f>IFERROR(__xludf.DUMMYFUNCTION("IF(IF(O$1="""","""",REGEXMATCH(LOWER($E525),XLOOKUP(O$1,Metadata!$A$2:$A1000,Metadata!$B$2:$B1000))),O$1,"""")"),"")</f>
        <v/>
      </c>
      <c r="P525" s="33" t="str">
        <f>IFERROR(__xludf.DUMMYFUNCTION("IF(IF(P$1="""","""",REGEXMATCH(LOWER($E525),XLOOKUP(P$1,Metadata!$A$2:$A1000,Metadata!$B$2:$B1000))),P$1,"""")"),"")</f>
        <v/>
      </c>
      <c r="Q525" s="33" t="str">
        <f>IFERROR(__xludf.DUMMYFUNCTION("IF(IF(Q$1="""","""",REGEXMATCH(LOWER($E525),XLOOKUP(Q$1,Metadata!$A$2:$A1000,Metadata!$B$2:$B1000))),Q$1,"""")"),"")</f>
        <v/>
      </c>
      <c r="R525" s="33" t="str">
        <f>IFERROR(__xludf.DUMMYFUNCTION("IF(IF(R$1="""","""",REGEXMATCH(LOWER($E525),XLOOKUP(R$1,Metadata!$A$2:$A1000,Metadata!$B$2:$B1000))),R$1,"""")"),"")</f>
        <v/>
      </c>
      <c r="S525" s="33" t="str">
        <f>IFERROR(__xludf.DUMMYFUNCTION("IF(IF(S$1="""","""",REGEXMATCH(LOWER($E525),XLOOKUP(S$1,Metadata!$A$2:$A1000,Metadata!$B$2:$B1000))),S$1,"""")"),"")</f>
        <v/>
      </c>
      <c r="T525" s="33" t="str">
        <f>IFERROR(__xludf.DUMMYFUNCTION("IF(IF(T$1="""","""",REGEXMATCH(LOWER($E525),XLOOKUP(T$1,Metadata!$A$2:$A1000,Metadata!$B$2:$B1000))),T$1,"""")"),"")</f>
        <v/>
      </c>
      <c r="U525" s="33" t="str">
        <f>IFERROR(__xludf.DUMMYFUNCTION("IF(IF(U$1="""","""",REGEXMATCH(LOWER($E525),XLOOKUP(U$1,Metadata!$A$2:$A1000,Metadata!$B$2:$B1000))),U$1,"""")"),"")</f>
        <v/>
      </c>
      <c r="V525" s="33" t="str">
        <f>IFERROR(__xludf.DUMMYFUNCTION("IF(IF(V$1="""","""",REGEXMATCH(LOWER($E525),XLOOKUP(V$1,Metadata!$A$2:$A1000,Metadata!$B$2:$B1000))),V$1,"""")"),"")</f>
        <v/>
      </c>
      <c r="W525" s="33" t="str">
        <f>IFERROR(__xludf.DUMMYFUNCTION("IF(IF(W$1="""","""",REGEXMATCH(LOWER($E525),XLOOKUP(W$1,Metadata!$A$2:$A1000,Metadata!$B$2:$B1000))),W$1,"""")"),"")</f>
        <v/>
      </c>
      <c r="X525" s="33" t="str">
        <f>IFERROR(__xludf.DUMMYFUNCTION("IF(IF(X$1="""","""",REGEXMATCH(LOWER($E525),XLOOKUP(X$1,Metadata!$A$2:$A1000,Metadata!$B$2:$B1000))),X$1,"""")"),"")</f>
        <v/>
      </c>
      <c r="Y525" s="33" t="str">
        <f>IFERROR(__xludf.DUMMYFUNCTION("IF(IF(Y$1="""","""",REGEXMATCH(LOWER($E525),XLOOKUP(Y$1,Metadata!$A$2:$A1000,Metadata!$B$2:$B1000))),Y$1,"""")"),"")</f>
        <v/>
      </c>
      <c r="Z525" s="33" t="str">
        <f>IFERROR(__xludf.DUMMYFUNCTION("IF(IF(Z$1="""","""",REGEXMATCH(LOWER($E525),XLOOKUP(Z$1,Metadata!$A$2:$A1000,Metadata!$B$2:$B1000))),Z$1,"""")"),"")</f>
        <v/>
      </c>
    </row>
    <row r="526">
      <c r="A526" s="33"/>
      <c r="B526" s="33"/>
      <c r="C526" s="33"/>
      <c r="D526" s="33"/>
      <c r="E526" s="33"/>
      <c r="F526" s="33"/>
      <c r="G526" s="33"/>
      <c r="H526" s="33"/>
      <c r="I526" s="33"/>
      <c r="J526" s="33">
        <f>IFERROR(__xludf.DUMMYFUNCTION("LEN(REGEXREPLACE(XLOOKUP($A526,Cards!$A$2:$A1000,Cards!$H$2:$H1000,""""),"",\s"",""""))"),0.0)</f>
        <v>0</v>
      </c>
      <c r="K526" s="33" t="str">
        <f t="shared" si="1"/>
        <v>               </v>
      </c>
      <c r="L526" s="33" t="str">
        <f>IFERROR(__xludf.DUMMYFUNCTION("IF(IF(L$1="""","""",REGEXMATCH(LOWER($E526),XLOOKUP(L$1,Metadata!$A$2:$A1000,Metadata!$B$2:$B1000))),L$1,"""")"),"")</f>
        <v/>
      </c>
      <c r="M526" s="33" t="str">
        <f>IFERROR(__xludf.DUMMYFUNCTION("IF(IF(M$1="""","""",REGEXMATCH(LOWER($E526),XLOOKUP(M$1,Metadata!$A$2:$A1000,Metadata!$B$2:$B1000))),M$1,"""")"),"")</f>
        <v/>
      </c>
      <c r="N526" s="33" t="str">
        <f>IFERROR(__xludf.DUMMYFUNCTION("IF(IF(N$1="""","""",REGEXMATCH(LOWER($E526),XLOOKUP(N$1,Metadata!$A$2:$A1000,Metadata!$B$2:$B1000))),N$1,"""")"),"")</f>
        <v/>
      </c>
      <c r="O526" s="33" t="str">
        <f>IFERROR(__xludf.DUMMYFUNCTION("IF(IF(O$1="""","""",REGEXMATCH(LOWER($E526),XLOOKUP(O$1,Metadata!$A$2:$A1000,Metadata!$B$2:$B1000))),O$1,"""")"),"")</f>
        <v/>
      </c>
      <c r="P526" s="33" t="str">
        <f>IFERROR(__xludf.DUMMYFUNCTION("IF(IF(P$1="""","""",REGEXMATCH(LOWER($E526),XLOOKUP(P$1,Metadata!$A$2:$A1000,Metadata!$B$2:$B1000))),P$1,"""")"),"")</f>
        <v/>
      </c>
      <c r="Q526" s="33" t="str">
        <f>IFERROR(__xludf.DUMMYFUNCTION("IF(IF(Q$1="""","""",REGEXMATCH(LOWER($E526),XLOOKUP(Q$1,Metadata!$A$2:$A1000,Metadata!$B$2:$B1000))),Q$1,"""")"),"")</f>
        <v/>
      </c>
      <c r="R526" s="33" t="str">
        <f>IFERROR(__xludf.DUMMYFUNCTION("IF(IF(R$1="""","""",REGEXMATCH(LOWER($E526),XLOOKUP(R$1,Metadata!$A$2:$A1000,Metadata!$B$2:$B1000))),R$1,"""")"),"")</f>
        <v/>
      </c>
      <c r="S526" s="33" t="str">
        <f>IFERROR(__xludf.DUMMYFUNCTION("IF(IF(S$1="""","""",REGEXMATCH(LOWER($E526),XLOOKUP(S$1,Metadata!$A$2:$A1000,Metadata!$B$2:$B1000))),S$1,"""")"),"")</f>
        <v/>
      </c>
      <c r="T526" s="33" t="str">
        <f>IFERROR(__xludf.DUMMYFUNCTION("IF(IF(T$1="""","""",REGEXMATCH(LOWER($E526),XLOOKUP(T$1,Metadata!$A$2:$A1000,Metadata!$B$2:$B1000))),T$1,"""")"),"")</f>
        <v/>
      </c>
      <c r="U526" s="33" t="str">
        <f>IFERROR(__xludf.DUMMYFUNCTION("IF(IF(U$1="""","""",REGEXMATCH(LOWER($E526),XLOOKUP(U$1,Metadata!$A$2:$A1000,Metadata!$B$2:$B1000))),U$1,"""")"),"")</f>
        <v/>
      </c>
      <c r="V526" s="33" t="str">
        <f>IFERROR(__xludf.DUMMYFUNCTION("IF(IF(V$1="""","""",REGEXMATCH(LOWER($E526),XLOOKUP(V$1,Metadata!$A$2:$A1000,Metadata!$B$2:$B1000))),V$1,"""")"),"")</f>
        <v/>
      </c>
      <c r="W526" s="33" t="str">
        <f>IFERROR(__xludf.DUMMYFUNCTION("IF(IF(W$1="""","""",REGEXMATCH(LOWER($E526),XLOOKUP(W$1,Metadata!$A$2:$A1000,Metadata!$B$2:$B1000))),W$1,"""")"),"")</f>
        <v/>
      </c>
      <c r="X526" s="33" t="str">
        <f>IFERROR(__xludf.DUMMYFUNCTION("IF(IF(X$1="""","""",REGEXMATCH(LOWER($E526),XLOOKUP(X$1,Metadata!$A$2:$A1000,Metadata!$B$2:$B1000))),X$1,"""")"),"")</f>
        <v/>
      </c>
      <c r="Y526" s="33" t="str">
        <f>IFERROR(__xludf.DUMMYFUNCTION("IF(IF(Y$1="""","""",REGEXMATCH(LOWER($E526),XLOOKUP(Y$1,Metadata!$A$2:$A1000,Metadata!$B$2:$B1000))),Y$1,"""")"),"")</f>
        <v/>
      </c>
      <c r="Z526" s="33" t="str">
        <f>IFERROR(__xludf.DUMMYFUNCTION("IF(IF(Z$1="""","""",REGEXMATCH(LOWER($E526),XLOOKUP(Z$1,Metadata!$A$2:$A1000,Metadata!$B$2:$B1000))),Z$1,"""")"),"")</f>
        <v/>
      </c>
    </row>
    <row r="527">
      <c r="A527" s="33"/>
      <c r="B527" s="33"/>
      <c r="C527" s="33"/>
      <c r="D527" s="33"/>
      <c r="E527" s="33"/>
      <c r="F527" s="33"/>
      <c r="G527" s="33"/>
      <c r="H527" s="33"/>
      <c r="I527" s="33"/>
      <c r="J527" s="33">
        <f>IFERROR(__xludf.DUMMYFUNCTION("LEN(REGEXREPLACE(XLOOKUP($A527,Cards!$A$2:$A1000,Cards!$H$2:$H1000,""""),"",\s"",""""))"),0.0)</f>
        <v>0</v>
      </c>
      <c r="K527" s="33" t="str">
        <f t="shared" si="1"/>
        <v>               </v>
      </c>
      <c r="L527" s="33" t="str">
        <f>IFERROR(__xludf.DUMMYFUNCTION("IF(IF(L$1="""","""",REGEXMATCH(LOWER($E527),XLOOKUP(L$1,Metadata!$A$2:$A1000,Metadata!$B$2:$B1000))),L$1,"""")"),"")</f>
        <v/>
      </c>
      <c r="M527" s="33" t="str">
        <f>IFERROR(__xludf.DUMMYFUNCTION("IF(IF(M$1="""","""",REGEXMATCH(LOWER($E527),XLOOKUP(M$1,Metadata!$A$2:$A1000,Metadata!$B$2:$B1000))),M$1,"""")"),"")</f>
        <v/>
      </c>
      <c r="N527" s="33" t="str">
        <f>IFERROR(__xludf.DUMMYFUNCTION("IF(IF(N$1="""","""",REGEXMATCH(LOWER($E527),XLOOKUP(N$1,Metadata!$A$2:$A1000,Metadata!$B$2:$B1000))),N$1,"""")"),"")</f>
        <v/>
      </c>
      <c r="O527" s="33" t="str">
        <f>IFERROR(__xludf.DUMMYFUNCTION("IF(IF(O$1="""","""",REGEXMATCH(LOWER($E527),XLOOKUP(O$1,Metadata!$A$2:$A1000,Metadata!$B$2:$B1000))),O$1,"""")"),"")</f>
        <v/>
      </c>
      <c r="P527" s="33" t="str">
        <f>IFERROR(__xludf.DUMMYFUNCTION("IF(IF(P$1="""","""",REGEXMATCH(LOWER($E527),XLOOKUP(P$1,Metadata!$A$2:$A1000,Metadata!$B$2:$B1000))),P$1,"""")"),"")</f>
        <v/>
      </c>
      <c r="Q527" s="33" t="str">
        <f>IFERROR(__xludf.DUMMYFUNCTION("IF(IF(Q$1="""","""",REGEXMATCH(LOWER($E527),XLOOKUP(Q$1,Metadata!$A$2:$A1000,Metadata!$B$2:$B1000))),Q$1,"""")"),"")</f>
        <v/>
      </c>
      <c r="R527" s="33" t="str">
        <f>IFERROR(__xludf.DUMMYFUNCTION("IF(IF(R$1="""","""",REGEXMATCH(LOWER($E527),XLOOKUP(R$1,Metadata!$A$2:$A1000,Metadata!$B$2:$B1000))),R$1,"""")"),"")</f>
        <v/>
      </c>
      <c r="S527" s="33" t="str">
        <f>IFERROR(__xludf.DUMMYFUNCTION("IF(IF(S$1="""","""",REGEXMATCH(LOWER($E527),XLOOKUP(S$1,Metadata!$A$2:$A1000,Metadata!$B$2:$B1000))),S$1,"""")"),"")</f>
        <v/>
      </c>
      <c r="T527" s="33" t="str">
        <f>IFERROR(__xludf.DUMMYFUNCTION("IF(IF(T$1="""","""",REGEXMATCH(LOWER($E527),XLOOKUP(T$1,Metadata!$A$2:$A1000,Metadata!$B$2:$B1000))),T$1,"""")"),"")</f>
        <v/>
      </c>
      <c r="U527" s="33" t="str">
        <f>IFERROR(__xludf.DUMMYFUNCTION("IF(IF(U$1="""","""",REGEXMATCH(LOWER($E527),XLOOKUP(U$1,Metadata!$A$2:$A1000,Metadata!$B$2:$B1000))),U$1,"""")"),"")</f>
        <v/>
      </c>
      <c r="V527" s="33" t="str">
        <f>IFERROR(__xludf.DUMMYFUNCTION("IF(IF(V$1="""","""",REGEXMATCH(LOWER($E527),XLOOKUP(V$1,Metadata!$A$2:$A1000,Metadata!$B$2:$B1000))),V$1,"""")"),"")</f>
        <v/>
      </c>
      <c r="W527" s="33" t="str">
        <f>IFERROR(__xludf.DUMMYFUNCTION("IF(IF(W$1="""","""",REGEXMATCH(LOWER($E527),XLOOKUP(W$1,Metadata!$A$2:$A1000,Metadata!$B$2:$B1000))),W$1,"""")"),"")</f>
        <v/>
      </c>
      <c r="X527" s="33" t="str">
        <f>IFERROR(__xludf.DUMMYFUNCTION("IF(IF(X$1="""","""",REGEXMATCH(LOWER($E527),XLOOKUP(X$1,Metadata!$A$2:$A1000,Metadata!$B$2:$B1000))),X$1,"""")"),"")</f>
        <v/>
      </c>
      <c r="Y527" s="33" t="str">
        <f>IFERROR(__xludf.DUMMYFUNCTION("IF(IF(Y$1="""","""",REGEXMATCH(LOWER($E527),XLOOKUP(Y$1,Metadata!$A$2:$A1000,Metadata!$B$2:$B1000))),Y$1,"""")"),"")</f>
        <v/>
      </c>
      <c r="Z527" s="33" t="str">
        <f>IFERROR(__xludf.DUMMYFUNCTION("IF(IF(Z$1="""","""",REGEXMATCH(LOWER($E527),XLOOKUP(Z$1,Metadata!$A$2:$A1000,Metadata!$B$2:$B1000))),Z$1,"""")"),"")</f>
        <v/>
      </c>
    </row>
    <row r="528">
      <c r="A528" s="33"/>
      <c r="B528" s="33"/>
      <c r="C528" s="33"/>
      <c r="D528" s="33"/>
      <c r="E528" s="33"/>
      <c r="F528" s="33"/>
      <c r="G528" s="33"/>
      <c r="H528" s="33"/>
      <c r="I528" s="33"/>
      <c r="J528" s="33">
        <f>IFERROR(__xludf.DUMMYFUNCTION("LEN(REGEXREPLACE(XLOOKUP($A528,Cards!$A$2:$A1000,Cards!$H$2:$H1000,""""),"",\s"",""""))"),0.0)</f>
        <v>0</v>
      </c>
      <c r="K528" s="33" t="str">
        <f t="shared" si="1"/>
        <v>               </v>
      </c>
      <c r="L528" s="33" t="str">
        <f>IFERROR(__xludf.DUMMYFUNCTION("IF(IF(L$1="""","""",REGEXMATCH(LOWER($E528),XLOOKUP(L$1,Metadata!$A$2:$A1000,Metadata!$B$2:$B1000))),L$1,"""")"),"")</f>
        <v/>
      </c>
      <c r="M528" s="33" t="str">
        <f>IFERROR(__xludf.DUMMYFUNCTION("IF(IF(M$1="""","""",REGEXMATCH(LOWER($E528),XLOOKUP(M$1,Metadata!$A$2:$A1000,Metadata!$B$2:$B1000))),M$1,"""")"),"")</f>
        <v/>
      </c>
      <c r="N528" s="33" t="str">
        <f>IFERROR(__xludf.DUMMYFUNCTION("IF(IF(N$1="""","""",REGEXMATCH(LOWER($E528),XLOOKUP(N$1,Metadata!$A$2:$A1000,Metadata!$B$2:$B1000))),N$1,"""")"),"")</f>
        <v/>
      </c>
      <c r="O528" s="33" t="str">
        <f>IFERROR(__xludf.DUMMYFUNCTION("IF(IF(O$1="""","""",REGEXMATCH(LOWER($E528),XLOOKUP(O$1,Metadata!$A$2:$A1000,Metadata!$B$2:$B1000))),O$1,"""")"),"")</f>
        <v/>
      </c>
      <c r="P528" s="33" t="str">
        <f>IFERROR(__xludf.DUMMYFUNCTION("IF(IF(P$1="""","""",REGEXMATCH(LOWER($E528),XLOOKUP(P$1,Metadata!$A$2:$A1000,Metadata!$B$2:$B1000))),P$1,"""")"),"")</f>
        <v/>
      </c>
      <c r="Q528" s="33" t="str">
        <f>IFERROR(__xludf.DUMMYFUNCTION("IF(IF(Q$1="""","""",REGEXMATCH(LOWER($E528),XLOOKUP(Q$1,Metadata!$A$2:$A1000,Metadata!$B$2:$B1000))),Q$1,"""")"),"")</f>
        <v/>
      </c>
      <c r="R528" s="33" t="str">
        <f>IFERROR(__xludf.DUMMYFUNCTION("IF(IF(R$1="""","""",REGEXMATCH(LOWER($E528),XLOOKUP(R$1,Metadata!$A$2:$A1000,Metadata!$B$2:$B1000))),R$1,"""")"),"")</f>
        <v/>
      </c>
      <c r="S528" s="33" t="str">
        <f>IFERROR(__xludf.DUMMYFUNCTION("IF(IF(S$1="""","""",REGEXMATCH(LOWER($E528),XLOOKUP(S$1,Metadata!$A$2:$A1000,Metadata!$B$2:$B1000))),S$1,"""")"),"")</f>
        <v/>
      </c>
      <c r="T528" s="33" t="str">
        <f>IFERROR(__xludf.DUMMYFUNCTION("IF(IF(T$1="""","""",REGEXMATCH(LOWER($E528),XLOOKUP(T$1,Metadata!$A$2:$A1000,Metadata!$B$2:$B1000))),T$1,"""")"),"")</f>
        <v/>
      </c>
      <c r="U528" s="33" t="str">
        <f>IFERROR(__xludf.DUMMYFUNCTION("IF(IF(U$1="""","""",REGEXMATCH(LOWER($E528),XLOOKUP(U$1,Metadata!$A$2:$A1000,Metadata!$B$2:$B1000))),U$1,"""")"),"")</f>
        <v/>
      </c>
      <c r="V528" s="33" t="str">
        <f>IFERROR(__xludf.DUMMYFUNCTION("IF(IF(V$1="""","""",REGEXMATCH(LOWER($E528),XLOOKUP(V$1,Metadata!$A$2:$A1000,Metadata!$B$2:$B1000))),V$1,"""")"),"")</f>
        <v/>
      </c>
      <c r="W528" s="33" t="str">
        <f>IFERROR(__xludf.DUMMYFUNCTION("IF(IF(W$1="""","""",REGEXMATCH(LOWER($E528),XLOOKUP(W$1,Metadata!$A$2:$A1000,Metadata!$B$2:$B1000))),W$1,"""")"),"")</f>
        <v/>
      </c>
      <c r="X528" s="33" t="str">
        <f>IFERROR(__xludf.DUMMYFUNCTION("IF(IF(X$1="""","""",REGEXMATCH(LOWER($E528),XLOOKUP(X$1,Metadata!$A$2:$A1000,Metadata!$B$2:$B1000))),X$1,"""")"),"")</f>
        <v/>
      </c>
      <c r="Y528" s="33" t="str">
        <f>IFERROR(__xludf.DUMMYFUNCTION("IF(IF(Y$1="""","""",REGEXMATCH(LOWER($E528),XLOOKUP(Y$1,Metadata!$A$2:$A1000,Metadata!$B$2:$B1000))),Y$1,"""")"),"")</f>
        <v/>
      </c>
      <c r="Z528" s="33" t="str">
        <f>IFERROR(__xludf.DUMMYFUNCTION("IF(IF(Z$1="""","""",REGEXMATCH(LOWER($E528),XLOOKUP(Z$1,Metadata!$A$2:$A1000,Metadata!$B$2:$B1000))),Z$1,"""")"),"")</f>
        <v/>
      </c>
    </row>
    <row r="529">
      <c r="A529" s="33"/>
      <c r="B529" s="33"/>
      <c r="C529" s="33"/>
      <c r="D529" s="33"/>
      <c r="E529" s="33"/>
      <c r="F529" s="33"/>
      <c r="G529" s="33"/>
      <c r="H529" s="33"/>
      <c r="I529" s="33"/>
      <c r="J529" s="33">
        <f>IFERROR(__xludf.DUMMYFUNCTION("LEN(REGEXREPLACE(XLOOKUP($A529,Cards!$A$2:$A1000,Cards!$H$2:$H1000,""""),"",\s"",""""))"),0.0)</f>
        <v>0</v>
      </c>
      <c r="K529" s="33" t="str">
        <f t="shared" si="1"/>
        <v>               </v>
      </c>
      <c r="L529" s="33" t="str">
        <f>IFERROR(__xludf.DUMMYFUNCTION("IF(IF(L$1="""","""",REGEXMATCH(LOWER($E529),XLOOKUP(L$1,Metadata!$A$2:$A1000,Metadata!$B$2:$B1000))),L$1,"""")"),"")</f>
        <v/>
      </c>
      <c r="M529" s="33" t="str">
        <f>IFERROR(__xludf.DUMMYFUNCTION("IF(IF(M$1="""","""",REGEXMATCH(LOWER($E529),XLOOKUP(M$1,Metadata!$A$2:$A1000,Metadata!$B$2:$B1000))),M$1,"""")"),"")</f>
        <v/>
      </c>
      <c r="N529" s="33" t="str">
        <f>IFERROR(__xludf.DUMMYFUNCTION("IF(IF(N$1="""","""",REGEXMATCH(LOWER($E529),XLOOKUP(N$1,Metadata!$A$2:$A1000,Metadata!$B$2:$B1000))),N$1,"""")"),"")</f>
        <v/>
      </c>
      <c r="O529" s="33" t="str">
        <f>IFERROR(__xludf.DUMMYFUNCTION("IF(IF(O$1="""","""",REGEXMATCH(LOWER($E529),XLOOKUP(O$1,Metadata!$A$2:$A1000,Metadata!$B$2:$B1000))),O$1,"""")"),"")</f>
        <v/>
      </c>
      <c r="P529" s="33" t="str">
        <f>IFERROR(__xludf.DUMMYFUNCTION("IF(IF(P$1="""","""",REGEXMATCH(LOWER($E529),XLOOKUP(P$1,Metadata!$A$2:$A1000,Metadata!$B$2:$B1000))),P$1,"""")"),"")</f>
        <v/>
      </c>
      <c r="Q529" s="33" t="str">
        <f>IFERROR(__xludf.DUMMYFUNCTION("IF(IF(Q$1="""","""",REGEXMATCH(LOWER($E529),XLOOKUP(Q$1,Metadata!$A$2:$A1000,Metadata!$B$2:$B1000))),Q$1,"""")"),"")</f>
        <v/>
      </c>
      <c r="R529" s="33" t="str">
        <f>IFERROR(__xludf.DUMMYFUNCTION("IF(IF(R$1="""","""",REGEXMATCH(LOWER($E529),XLOOKUP(R$1,Metadata!$A$2:$A1000,Metadata!$B$2:$B1000))),R$1,"""")"),"")</f>
        <v/>
      </c>
      <c r="S529" s="33" t="str">
        <f>IFERROR(__xludf.DUMMYFUNCTION("IF(IF(S$1="""","""",REGEXMATCH(LOWER($E529),XLOOKUP(S$1,Metadata!$A$2:$A1000,Metadata!$B$2:$B1000))),S$1,"""")"),"")</f>
        <v/>
      </c>
      <c r="T529" s="33" t="str">
        <f>IFERROR(__xludf.DUMMYFUNCTION("IF(IF(T$1="""","""",REGEXMATCH(LOWER($E529),XLOOKUP(T$1,Metadata!$A$2:$A1000,Metadata!$B$2:$B1000))),T$1,"""")"),"")</f>
        <v/>
      </c>
      <c r="U529" s="33" t="str">
        <f>IFERROR(__xludf.DUMMYFUNCTION("IF(IF(U$1="""","""",REGEXMATCH(LOWER($E529),XLOOKUP(U$1,Metadata!$A$2:$A1000,Metadata!$B$2:$B1000))),U$1,"""")"),"")</f>
        <v/>
      </c>
      <c r="V529" s="33" t="str">
        <f>IFERROR(__xludf.DUMMYFUNCTION("IF(IF(V$1="""","""",REGEXMATCH(LOWER($E529),XLOOKUP(V$1,Metadata!$A$2:$A1000,Metadata!$B$2:$B1000))),V$1,"""")"),"")</f>
        <v/>
      </c>
      <c r="W529" s="33" t="str">
        <f>IFERROR(__xludf.DUMMYFUNCTION("IF(IF(W$1="""","""",REGEXMATCH(LOWER($E529),XLOOKUP(W$1,Metadata!$A$2:$A1000,Metadata!$B$2:$B1000))),W$1,"""")"),"")</f>
        <v/>
      </c>
      <c r="X529" s="33" t="str">
        <f>IFERROR(__xludf.DUMMYFUNCTION("IF(IF(X$1="""","""",REGEXMATCH(LOWER($E529),XLOOKUP(X$1,Metadata!$A$2:$A1000,Metadata!$B$2:$B1000))),X$1,"""")"),"")</f>
        <v/>
      </c>
      <c r="Y529" s="33" t="str">
        <f>IFERROR(__xludf.DUMMYFUNCTION("IF(IF(Y$1="""","""",REGEXMATCH(LOWER($E529),XLOOKUP(Y$1,Metadata!$A$2:$A1000,Metadata!$B$2:$B1000))),Y$1,"""")"),"")</f>
        <v/>
      </c>
      <c r="Z529" s="33" t="str">
        <f>IFERROR(__xludf.DUMMYFUNCTION("IF(IF(Z$1="""","""",REGEXMATCH(LOWER($E529),XLOOKUP(Z$1,Metadata!$A$2:$A1000,Metadata!$B$2:$B1000))),Z$1,"""")"),"")</f>
        <v/>
      </c>
    </row>
    <row r="530">
      <c r="A530" s="33"/>
      <c r="B530" s="33"/>
      <c r="C530" s="33"/>
      <c r="D530" s="33"/>
      <c r="E530" s="33"/>
      <c r="F530" s="33"/>
      <c r="G530" s="33"/>
      <c r="H530" s="33"/>
      <c r="I530" s="33"/>
      <c r="J530" s="33">
        <f>IFERROR(__xludf.DUMMYFUNCTION("LEN(REGEXREPLACE(XLOOKUP($A530,Cards!$A$2:$A1000,Cards!$H$2:$H1000,""""),"",\s"",""""))"),0.0)</f>
        <v>0</v>
      </c>
      <c r="K530" s="33" t="str">
        <f t="shared" si="1"/>
        <v>               </v>
      </c>
      <c r="L530" s="33" t="str">
        <f>IFERROR(__xludf.DUMMYFUNCTION("IF(IF(L$1="""","""",REGEXMATCH(LOWER($E530),XLOOKUP(L$1,Metadata!$A$2:$A1000,Metadata!$B$2:$B1000))),L$1,"""")"),"")</f>
        <v/>
      </c>
      <c r="M530" s="33" t="str">
        <f>IFERROR(__xludf.DUMMYFUNCTION("IF(IF(M$1="""","""",REGEXMATCH(LOWER($E530),XLOOKUP(M$1,Metadata!$A$2:$A1000,Metadata!$B$2:$B1000))),M$1,"""")"),"")</f>
        <v/>
      </c>
      <c r="N530" s="33" t="str">
        <f>IFERROR(__xludf.DUMMYFUNCTION("IF(IF(N$1="""","""",REGEXMATCH(LOWER($E530),XLOOKUP(N$1,Metadata!$A$2:$A1000,Metadata!$B$2:$B1000))),N$1,"""")"),"")</f>
        <v/>
      </c>
      <c r="O530" s="33" t="str">
        <f>IFERROR(__xludf.DUMMYFUNCTION("IF(IF(O$1="""","""",REGEXMATCH(LOWER($E530),XLOOKUP(O$1,Metadata!$A$2:$A1000,Metadata!$B$2:$B1000))),O$1,"""")"),"")</f>
        <v/>
      </c>
      <c r="P530" s="33" t="str">
        <f>IFERROR(__xludf.DUMMYFUNCTION("IF(IF(P$1="""","""",REGEXMATCH(LOWER($E530),XLOOKUP(P$1,Metadata!$A$2:$A1000,Metadata!$B$2:$B1000))),P$1,"""")"),"")</f>
        <v/>
      </c>
      <c r="Q530" s="33" t="str">
        <f>IFERROR(__xludf.DUMMYFUNCTION("IF(IF(Q$1="""","""",REGEXMATCH(LOWER($E530),XLOOKUP(Q$1,Metadata!$A$2:$A1000,Metadata!$B$2:$B1000))),Q$1,"""")"),"")</f>
        <v/>
      </c>
      <c r="R530" s="33" t="str">
        <f>IFERROR(__xludf.DUMMYFUNCTION("IF(IF(R$1="""","""",REGEXMATCH(LOWER($E530),XLOOKUP(R$1,Metadata!$A$2:$A1000,Metadata!$B$2:$B1000))),R$1,"""")"),"")</f>
        <v/>
      </c>
      <c r="S530" s="33" t="str">
        <f>IFERROR(__xludf.DUMMYFUNCTION("IF(IF(S$1="""","""",REGEXMATCH(LOWER($E530),XLOOKUP(S$1,Metadata!$A$2:$A1000,Metadata!$B$2:$B1000))),S$1,"""")"),"")</f>
        <v/>
      </c>
      <c r="T530" s="33" t="str">
        <f>IFERROR(__xludf.DUMMYFUNCTION("IF(IF(T$1="""","""",REGEXMATCH(LOWER($E530),XLOOKUP(T$1,Metadata!$A$2:$A1000,Metadata!$B$2:$B1000))),T$1,"""")"),"")</f>
        <v/>
      </c>
      <c r="U530" s="33" t="str">
        <f>IFERROR(__xludf.DUMMYFUNCTION("IF(IF(U$1="""","""",REGEXMATCH(LOWER($E530),XLOOKUP(U$1,Metadata!$A$2:$A1000,Metadata!$B$2:$B1000))),U$1,"""")"),"")</f>
        <v/>
      </c>
      <c r="V530" s="33" t="str">
        <f>IFERROR(__xludf.DUMMYFUNCTION("IF(IF(V$1="""","""",REGEXMATCH(LOWER($E530),XLOOKUP(V$1,Metadata!$A$2:$A1000,Metadata!$B$2:$B1000))),V$1,"""")"),"")</f>
        <v/>
      </c>
      <c r="W530" s="33" t="str">
        <f>IFERROR(__xludf.DUMMYFUNCTION("IF(IF(W$1="""","""",REGEXMATCH(LOWER($E530),XLOOKUP(W$1,Metadata!$A$2:$A1000,Metadata!$B$2:$B1000))),W$1,"""")"),"")</f>
        <v/>
      </c>
      <c r="X530" s="33" t="str">
        <f>IFERROR(__xludf.DUMMYFUNCTION("IF(IF(X$1="""","""",REGEXMATCH(LOWER($E530),XLOOKUP(X$1,Metadata!$A$2:$A1000,Metadata!$B$2:$B1000))),X$1,"""")"),"")</f>
        <v/>
      </c>
      <c r="Y530" s="33" t="str">
        <f>IFERROR(__xludf.DUMMYFUNCTION("IF(IF(Y$1="""","""",REGEXMATCH(LOWER($E530),XLOOKUP(Y$1,Metadata!$A$2:$A1000,Metadata!$B$2:$B1000))),Y$1,"""")"),"")</f>
        <v/>
      </c>
      <c r="Z530" s="33" t="str">
        <f>IFERROR(__xludf.DUMMYFUNCTION("IF(IF(Z$1="""","""",REGEXMATCH(LOWER($E530),XLOOKUP(Z$1,Metadata!$A$2:$A1000,Metadata!$B$2:$B1000))),Z$1,"""")"),"")</f>
        <v/>
      </c>
    </row>
    <row r="531">
      <c r="A531" s="33"/>
      <c r="B531" s="33"/>
      <c r="C531" s="33"/>
      <c r="D531" s="33"/>
      <c r="E531" s="33"/>
      <c r="F531" s="33"/>
      <c r="G531" s="33"/>
      <c r="H531" s="33"/>
      <c r="I531" s="33"/>
      <c r="J531" s="33">
        <f>IFERROR(__xludf.DUMMYFUNCTION("LEN(REGEXREPLACE(XLOOKUP($A531,Cards!$A$2:$A1000,Cards!$H$2:$H1000,""""),"",\s"",""""))"),0.0)</f>
        <v>0</v>
      </c>
      <c r="K531" s="33" t="str">
        <f t="shared" si="1"/>
        <v>               </v>
      </c>
      <c r="L531" s="33" t="str">
        <f>IFERROR(__xludf.DUMMYFUNCTION("IF(IF(L$1="""","""",REGEXMATCH(LOWER($E531),XLOOKUP(L$1,Metadata!$A$2:$A1000,Metadata!$B$2:$B1000))),L$1,"""")"),"")</f>
        <v/>
      </c>
      <c r="M531" s="33" t="str">
        <f>IFERROR(__xludf.DUMMYFUNCTION("IF(IF(M$1="""","""",REGEXMATCH(LOWER($E531),XLOOKUP(M$1,Metadata!$A$2:$A1000,Metadata!$B$2:$B1000))),M$1,"""")"),"")</f>
        <v/>
      </c>
      <c r="N531" s="33" t="str">
        <f>IFERROR(__xludf.DUMMYFUNCTION("IF(IF(N$1="""","""",REGEXMATCH(LOWER($E531),XLOOKUP(N$1,Metadata!$A$2:$A1000,Metadata!$B$2:$B1000))),N$1,"""")"),"")</f>
        <v/>
      </c>
      <c r="O531" s="33" t="str">
        <f>IFERROR(__xludf.DUMMYFUNCTION("IF(IF(O$1="""","""",REGEXMATCH(LOWER($E531),XLOOKUP(O$1,Metadata!$A$2:$A1000,Metadata!$B$2:$B1000))),O$1,"""")"),"")</f>
        <v/>
      </c>
      <c r="P531" s="33" t="str">
        <f>IFERROR(__xludf.DUMMYFUNCTION("IF(IF(P$1="""","""",REGEXMATCH(LOWER($E531),XLOOKUP(P$1,Metadata!$A$2:$A1000,Metadata!$B$2:$B1000))),P$1,"""")"),"")</f>
        <v/>
      </c>
      <c r="Q531" s="33" t="str">
        <f>IFERROR(__xludf.DUMMYFUNCTION("IF(IF(Q$1="""","""",REGEXMATCH(LOWER($E531),XLOOKUP(Q$1,Metadata!$A$2:$A1000,Metadata!$B$2:$B1000))),Q$1,"""")"),"")</f>
        <v/>
      </c>
      <c r="R531" s="33" t="str">
        <f>IFERROR(__xludf.DUMMYFUNCTION("IF(IF(R$1="""","""",REGEXMATCH(LOWER($E531),XLOOKUP(R$1,Metadata!$A$2:$A1000,Metadata!$B$2:$B1000))),R$1,"""")"),"")</f>
        <v/>
      </c>
      <c r="S531" s="33" t="str">
        <f>IFERROR(__xludf.DUMMYFUNCTION("IF(IF(S$1="""","""",REGEXMATCH(LOWER($E531),XLOOKUP(S$1,Metadata!$A$2:$A1000,Metadata!$B$2:$B1000))),S$1,"""")"),"")</f>
        <v/>
      </c>
      <c r="T531" s="33" t="str">
        <f>IFERROR(__xludf.DUMMYFUNCTION("IF(IF(T$1="""","""",REGEXMATCH(LOWER($E531),XLOOKUP(T$1,Metadata!$A$2:$A1000,Metadata!$B$2:$B1000))),T$1,"""")"),"")</f>
        <v/>
      </c>
      <c r="U531" s="33" t="str">
        <f>IFERROR(__xludf.DUMMYFUNCTION("IF(IF(U$1="""","""",REGEXMATCH(LOWER($E531),XLOOKUP(U$1,Metadata!$A$2:$A1000,Metadata!$B$2:$B1000))),U$1,"""")"),"")</f>
        <v/>
      </c>
      <c r="V531" s="33" t="str">
        <f>IFERROR(__xludf.DUMMYFUNCTION("IF(IF(V$1="""","""",REGEXMATCH(LOWER($E531),XLOOKUP(V$1,Metadata!$A$2:$A1000,Metadata!$B$2:$B1000))),V$1,"""")"),"")</f>
        <v/>
      </c>
      <c r="W531" s="33" t="str">
        <f>IFERROR(__xludf.DUMMYFUNCTION("IF(IF(W$1="""","""",REGEXMATCH(LOWER($E531),XLOOKUP(W$1,Metadata!$A$2:$A1000,Metadata!$B$2:$B1000))),W$1,"""")"),"")</f>
        <v/>
      </c>
      <c r="X531" s="33" t="str">
        <f>IFERROR(__xludf.DUMMYFUNCTION("IF(IF(X$1="""","""",REGEXMATCH(LOWER($E531),XLOOKUP(X$1,Metadata!$A$2:$A1000,Metadata!$B$2:$B1000))),X$1,"""")"),"")</f>
        <v/>
      </c>
      <c r="Y531" s="33" t="str">
        <f>IFERROR(__xludf.DUMMYFUNCTION("IF(IF(Y$1="""","""",REGEXMATCH(LOWER($E531),XLOOKUP(Y$1,Metadata!$A$2:$A1000,Metadata!$B$2:$B1000))),Y$1,"""")"),"")</f>
        <v/>
      </c>
      <c r="Z531" s="33" t="str">
        <f>IFERROR(__xludf.DUMMYFUNCTION("IF(IF(Z$1="""","""",REGEXMATCH(LOWER($E531),XLOOKUP(Z$1,Metadata!$A$2:$A1000,Metadata!$B$2:$B1000))),Z$1,"""")"),"")</f>
        <v/>
      </c>
    </row>
    <row r="532">
      <c r="A532" s="33"/>
      <c r="B532" s="33"/>
      <c r="C532" s="33"/>
      <c r="D532" s="33"/>
      <c r="E532" s="33"/>
      <c r="F532" s="33"/>
      <c r="G532" s="33"/>
      <c r="H532" s="33"/>
      <c r="I532" s="33"/>
      <c r="J532" s="33">
        <f>IFERROR(__xludf.DUMMYFUNCTION("LEN(REGEXREPLACE(XLOOKUP($A532,Cards!$A$2:$A1000,Cards!$H$2:$H1000,""""),"",\s"",""""))"),0.0)</f>
        <v>0</v>
      </c>
      <c r="K532" s="33" t="str">
        <f t="shared" si="1"/>
        <v>               </v>
      </c>
      <c r="L532" s="33" t="str">
        <f>IFERROR(__xludf.DUMMYFUNCTION("IF(IF(L$1="""","""",REGEXMATCH(LOWER($E532),XLOOKUP(L$1,Metadata!$A$2:$A1000,Metadata!$B$2:$B1000))),L$1,"""")"),"")</f>
        <v/>
      </c>
      <c r="M532" s="33" t="str">
        <f>IFERROR(__xludf.DUMMYFUNCTION("IF(IF(M$1="""","""",REGEXMATCH(LOWER($E532),XLOOKUP(M$1,Metadata!$A$2:$A1000,Metadata!$B$2:$B1000))),M$1,"""")"),"")</f>
        <v/>
      </c>
      <c r="N532" s="33" t="str">
        <f>IFERROR(__xludf.DUMMYFUNCTION("IF(IF(N$1="""","""",REGEXMATCH(LOWER($E532),XLOOKUP(N$1,Metadata!$A$2:$A1000,Metadata!$B$2:$B1000))),N$1,"""")"),"")</f>
        <v/>
      </c>
      <c r="O532" s="33" t="str">
        <f>IFERROR(__xludf.DUMMYFUNCTION("IF(IF(O$1="""","""",REGEXMATCH(LOWER($E532),XLOOKUP(O$1,Metadata!$A$2:$A1000,Metadata!$B$2:$B1000))),O$1,"""")"),"")</f>
        <v/>
      </c>
      <c r="P532" s="33" t="str">
        <f>IFERROR(__xludf.DUMMYFUNCTION("IF(IF(P$1="""","""",REGEXMATCH(LOWER($E532),XLOOKUP(P$1,Metadata!$A$2:$A1000,Metadata!$B$2:$B1000))),P$1,"""")"),"")</f>
        <v/>
      </c>
      <c r="Q532" s="33" t="str">
        <f>IFERROR(__xludf.DUMMYFUNCTION("IF(IF(Q$1="""","""",REGEXMATCH(LOWER($E532),XLOOKUP(Q$1,Metadata!$A$2:$A1000,Metadata!$B$2:$B1000))),Q$1,"""")"),"")</f>
        <v/>
      </c>
      <c r="R532" s="33" t="str">
        <f>IFERROR(__xludf.DUMMYFUNCTION("IF(IF(R$1="""","""",REGEXMATCH(LOWER($E532),XLOOKUP(R$1,Metadata!$A$2:$A1000,Metadata!$B$2:$B1000))),R$1,"""")"),"")</f>
        <v/>
      </c>
      <c r="S532" s="33" t="str">
        <f>IFERROR(__xludf.DUMMYFUNCTION("IF(IF(S$1="""","""",REGEXMATCH(LOWER($E532),XLOOKUP(S$1,Metadata!$A$2:$A1000,Metadata!$B$2:$B1000))),S$1,"""")"),"")</f>
        <v/>
      </c>
      <c r="T532" s="33" t="str">
        <f>IFERROR(__xludf.DUMMYFUNCTION("IF(IF(T$1="""","""",REGEXMATCH(LOWER($E532),XLOOKUP(T$1,Metadata!$A$2:$A1000,Metadata!$B$2:$B1000))),T$1,"""")"),"")</f>
        <v/>
      </c>
      <c r="U532" s="33" t="str">
        <f>IFERROR(__xludf.DUMMYFUNCTION("IF(IF(U$1="""","""",REGEXMATCH(LOWER($E532),XLOOKUP(U$1,Metadata!$A$2:$A1000,Metadata!$B$2:$B1000))),U$1,"""")"),"")</f>
        <v/>
      </c>
      <c r="V532" s="33" t="str">
        <f>IFERROR(__xludf.DUMMYFUNCTION("IF(IF(V$1="""","""",REGEXMATCH(LOWER($E532),XLOOKUP(V$1,Metadata!$A$2:$A1000,Metadata!$B$2:$B1000))),V$1,"""")"),"")</f>
        <v/>
      </c>
      <c r="W532" s="33" t="str">
        <f>IFERROR(__xludf.DUMMYFUNCTION("IF(IF(W$1="""","""",REGEXMATCH(LOWER($E532),XLOOKUP(W$1,Metadata!$A$2:$A1000,Metadata!$B$2:$B1000))),W$1,"""")"),"")</f>
        <v/>
      </c>
      <c r="X532" s="33" t="str">
        <f>IFERROR(__xludf.DUMMYFUNCTION("IF(IF(X$1="""","""",REGEXMATCH(LOWER($E532),XLOOKUP(X$1,Metadata!$A$2:$A1000,Metadata!$B$2:$B1000))),X$1,"""")"),"")</f>
        <v/>
      </c>
      <c r="Y532" s="33" t="str">
        <f>IFERROR(__xludf.DUMMYFUNCTION("IF(IF(Y$1="""","""",REGEXMATCH(LOWER($E532),XLOOKUP(Y$1,Metadata!$A$2:$A1000,Metadata!$B$2:$B1000))),Y$1,"""")"),"")</f>
        <v/>
      </c>
      <c r="Z532" s="33" t="str">
        <f>IFERROR(__xludf.DUMMYFUNCTION("IF(IF(Z$1="""","""",REGEXMATCH(LOWER($E532),XLOOKUP(Z$1,Metadata!$A$2:$A1000,Metadata!$B$2:$B1000))),Z$1,"""")"),"")</f>
        <v/>
      </c>
    </row>
    <row r="533">
      <c r="A533" s="33"/>
      <c r="B533" s="33"/>
      <c r="C533" s="33"/>
      <c r="D533" s="33"/>
      <c r="E533" s="33"/>
      <c r="F533" s="33"/>
      <c r="G533" s="33"/>
      <c r="H533" s="33"/>
      <c r="I533" s="33"/>
      <c r="J533" s="33">
        <f>IFERROR(__xludf.DUMMYFUNCTION("LEN(REGEXREPLACE(XLOOKUP($A533,Cards!$A$2:$A1000,Cards!$H$2:$H1000,""""),"",\s"",""""))"),0.0)</f>
        <v>0</v>
      </c>
      <c r="K533" s="33" t="str">
        <f t="shared" si="1"/>
        <v>               </v>
      </c>
      <c r="L533" s="33" t="str">
        <f>IFERROR(__xludf.DUMMYFUNCTION("IF(IF(L$1="""","""",REGEXMATCH(LOWER($E533),XLOOKUP(L$1,Metadata!$A$2:$A1000,Metadata!$B$2:$B1000))),L$1,"""")"),"")</f>
        <v/>
      </c>
      <c r="M533" s="33" t="str">
        <f>IFERROR(__xludf.DUMMYFUNCTION("IF(IF(M$1="""","""",REGEXMATCH(LOWER($E533),XLOOKUP(M$1,Metadata!$A$2:$A1000,Metadata!$B$2:$B1000))),M$1,"""")"),"")</f>
        <v/>
      </c>
      <c r="N533" s="33" t="str">
        <f>IFERROR(__xludf.DUMMYFUNCTION("IF(IF(N$1="""","""",REGEXMATCH(LOWER($E533),XLOOKUP(N$1,Metadata!$A$2:$A1000,Metadata!$B$2:$B1000))),N$1,"""")"),"")</f>
        <v/>
      </c>
      <c r="O533" s="33" t="str">
        <f>IFERROR(__xludf.DUMMYFUNCTION("IF(IF(O$1="""","""",REGEXMATCH(LOWER($E533),XLOOKUP(O$1,Metadata!$A$2:$A1000,Metadata!$B$2:$B1000))),O$1,"""")"),"")</f>
        <v/>
      </c>
      <c r="P533" s="33" t="str">
        <f>IFERROR(__xludf.DUMMYFUNCTION("IF(IF(P$1="""","""",REGEXMATCH(LOWER($E533),XLOOKUP(P$1,Metadata!$A$2:$A1000,Metadata!$B$2:$B1000))),P$1,"""")"),"")</f>
        <v/>
      </c>
      <c r="Q533" s="33" t="str">
        <f>IFERROR(__xludf.DUMMYFUNCTION("IF(IF(Q$1="""","""",REGEXMATCH(LOWER($E533),XLOOKUP(Q$1,Metadata!$A$2:$A1000,Metadata!$B$2:$B1000))),Q$1,"""")"),"")</f>
        <v/>
      </c>
      <c r="R533" s="33" t="str">
        <f>IFERROR(__xludf.DUMMYFUNCTION("IF(IF(R$1="""","""",REGEXMATCH(LOWER($E533),XLOOKUP(R$1,Metadata!$A$2:$A1000,Metadata!$B$2:$B1000))),R$1,"""")"),"")</f>
        <v/>
      </c>
      <c r="S533" s="33" t="str">
        <f>IFERROR(__xludf.DUMMYFUNCTION("IF(IF(S$1="""","""",REGEXMATCH(LOWER($E533),XLOOKUP(S$1,Metadata!$A$2:$A1000,Metadata!$B$2:$B1000))),S$1,"""")"),"")</f>
        <v/>
      </c>
      <c r="T533" s="33" t="str">
        <f>IFERROR(__xludf.DUMMYFUNCTION("IF(IF(T$1="""","""",REGEXMATCH(LOWER($E533),XLOOKUP(T$1,Metadata!$A$2:$A1000,Metadata!$B$2:$B1000))),T$1,"""")"),"")</f>
        <v/>
      </c>
      <c r="U533" s="33" t="str">
        <f>IFERROR(__xludf.DUMMYFUNCTION("IF(IF(U$1="""","""",REGEXMATCH(LOWER($E533),XLOOKUP(U$1,Metadata!$A$2:$A1000,Metadata!$B$2:$B1000))),U$1,"""")"),"")</f>
        <v/>
      </c>
      <c r="V533" s="33" t="str">
        <f>IFERROR(__xludf.DUMMYFUNCTION("IF(IF(V$1="""","""",REGEXMATCH(LOWER($E533),XLOOKUP(V$1,Metadata!$A$2:$A1000,Metadata!$B$2:$B1000))),V$1,"""")"),"")</f>
        <v/>
      </c>
      <c r="W533" s="33" t="str">
        <f>IFERROR(__xludf.DUMMYFUNCTION("IF(IF(W$1="""","""",REGEXMATCH(LOWER($E533),XLOOKUP(W$1,Metadata!$A$2:$A1000,Metadata!$B$2:$B1000))),W$1,"""")"),"")</f>
        <v/>
      </c>
      <c r="X533" s="33" t="str">
        <f>IFERROR(__xludf.DUMMYFUNCTION("IF(IF(X$1="""","""",REGEXMATCH(LOWER($E533),XLOOKUP(X$1,Metadata!$A$2:$A1000,Metadata!$B$2:$B1000))),X$1,"""")"),"")</f>
        <v/>
      </c>
      <c r="Y533" s="33" t="str">
        <f>IFERROR(__xludf.DUMMYFUNCTION("IF(IF(Y$1="""","""",REGEXMATCH(LOWER($E533),XLOOKUP(Y$1,Metadata!$A$2:$A1000,Metadata!$B$2:$B1000))),Y$1,"""")"),"")</f>
        <v/>
      </c>
      <c r="Z533" s="33" t="str">
        <f>IFERROR(__xludf.DUMMYFUNCTION("IF(IF(Z$1="""","""",REGEXMATCH(LOWER($E533),XLOOKUP(Z$1,Metadata!$A$2:$A1000,Metadata!$B$2:$B1000))),Z$1,"""")"),"")</f>
        <v/>
      </c>
    </row>
    <row r="534">
      <c r="A534" s="33"/>
      <c r="B534" s="33"/>
      <c r="C534" s="33"/>
      <c r="D534" s="33"/>
      <c r="E534" s="33"/>
      <c r="F534" s="33"/>
      <c r="G534" s="33"/>
      <c r="H534" s="33"/>
      <c r="I534" s="33"/>
      <c r="J534" s="33">
        <f>IFERROR(__xludf.DUMMYFUNCTION("LEN(REGEXREPLACE(XLOOKUP($A534,Cards!$A$2:$A1000,Cards!$H$2:$H1000,""""),"",\s"",""""))"),0.0)</f>
        <v>0</v>
      </c>
      <c r="K534" s="33" t="str">
        <f t="shared" si="1"/>
        <v>               </v>
      </c>
      <c r="L534" s="33" t="str">
        <f>IFERROR(__xludf.DUMMYFUNCTION("IF(IF(L$1="""","""",REGEXMATCH(LOWER($E534),XLOOKUP(L$1,Metadata!$A$2:$A1000,Metadata!$B$2:$B1000))),L$1,"""")"),"")</f>
        <v/>
      </c>
      <c r="M534" s="33" t="str">
        <f>IFERROR(__xludf.DUMMYFUNCTION("IF(IF(M$1="""","""",REGEXMATCH(LOWER($E534),XLOOKUP(M$1,Metadata!$A$2:$A1000,Metadata!$B$2:$B1000))),M$1,"""")"),"")</f>
        <v/>
      </c>
      <c r="N534" s="33" t="str">
        <f>IFERROR(__xludf.DUMMYFUNCTION("IF(IF(N$1="""","""",REGEXMATCH(LOWER($E534),XLOOKUP(N$1,Metadata!$A$2:$A1000,Metadata!$B$2:$B1000))),N$1,"""")"),"")</f>
        <v/>
      </c>
      <c r="O534" s="33" t="str">
        <f>IFERROR(__xludf.DUMMYFUNCTION("IF(IF(O$1="""","""",REGEXMATCH(LOWER($E534),XLOOKUP(O$1,Metadata!$A$2:$A1000,Metadata!$B$2:$B1000))),O$1,"""")"),"")</f>
        <v/>
      </c>
      <c r="P534" s="33" t="str">
        <f>IFERROR(__xludf.DUMMYFUNCTION("IF(IF(P$1="""","""",REGEXMATCH(LOWER($E534),XLOOKUP(P$1,Metadata!$A$2:$A1000,Metadata!$B$2:$B1000))),P$1,"""")"),"")</f>
        <v/>
      </c>
      <c r="Q534" s="33" t="str">
        <f>IFERROR(__xludf.DUMMYFUNCTION("IF(IF(Q$1="""","""",REGEXMATCH(LOWER($E534),XLOOKUP(Q$1,Metadata!$A$2:$A1000,Metadata!$B$2:$B1000))),Q$1,"""")"),"")</f>
        <v/>
      </c>
      <c r="R534" s="33" t="str">
        <f>IFERROR(__xludf.DUMMYFUNCTION("IF(IF(R$1="""","""",REGEXMATCH(LOWER($E534),XLOOKUP(R$1,Metadata!$A$2:$A1000,Metadata!$B$2:$B1000))),R$1,"""")"),"")</f>
        <v/>
      </c>
      <c r="S534" s="33" t="str">
        <f>IFERROR(__xludf.DUMMYFUNCTION("IF(IF(S$1="""","""",REGEXMATCH(LOWER($E534),XLOOKUP(S$1,Metadata!$A$2:$A1000,Metadata!$B$2:$B1000))),S$1,"""")"),"")</f>
        <v/>
      </c>
      <c r="T534" s="33" t="str">
        <f>IFERROR(__xludf.DUMMYFUNCTION("IF(IF(T$1="""","""",REGEXMATCH(LOWER($E534),XLOOKUP(T$1,Metadata!$A$2:$A1000,Metadata!$B$2:$B1000))),T$1,"""")"),"")</f>
        <v/>
      </c>
      <c r="U534" s="33" t="str">
        <f>IFERROR(__xludf.DUMMYFUNCTION("IF(IF(U$1="""","""",REGEXMATCH(LOWER($E534),XLOOKUP(U$1,Metadata!$A$2:$A1000,Metadata!$B$2:$B1000))),U$1,"""")"),"")</f>
        <v/>
      </c>
      <c r="V534" s="33" t="str">
        <f>IFERROR(__xludf.DUMMYFUNCTION("IF(IF(V$1="""","""",REGEXMATCH(LOWER($E534),XLOOKUP(V$1,Metadata!$A$2:$A1000,Metadata!$B$2:$B1000))),V$1,"""")"),"")</f>
        <v/>
      </c>
      <c r="W534" s="33" t="str">
        <f>IFERROR(__xludf.DUMMYFUNCTION("IF(IF(W$1="""","""",REGEXMATCH(LOWER($E534),XLOOKUP(W$1,Metadata!$A$2:$A1000,Metadata!$B$2:$B1000))),W$1,"""")"),"")</f>
        <v/>
      </c>
      <c r="X534" s="33" t="str">
        <f>IFERROR(__xludf.DUMMYFUNCTION("IF(IF(X$1="""","""",REGEXMATCH(LOWER($E534),XLOOKUP(X$1,Metadata!$A$2:$A1000,Metadata!$B$2:$B1000))),X$1,"""")"),"")</f>
        <v/>
      </c>
      <c r="Y534" s="33" t="str">
        <f>IFERROR(__xludf.DUMMYFUNCTION("IF(IF(Y$1="""","""",REGEXMATCH(LOWER($E534),XLOOKUP(Y$1,Metadata!$A$2:$A1000,Metadata!$B$2:$B1000))),Y$1,"""")"),"")</f>
        <v/>
      </c>
      <c r="Z534" s="33" t="str">
        <f>IFERROR(__xludf.DUMMYFUNCTION("IF(IF(Z$1="""","""",REGEXMATCH(LOWER($E534),XLOOKUP(Z$1,Metadata!$A$2:$A1000,Metadata!$B$2:$B1000))),Z$1,"""")"),"")</f>
        <v/>
      </c>
    </row>
    <row r="535">
      <c r="A535" s="33"/>
      <c r="B535" s="33"/>
      <c r="C535" s="33"/>
      <c r="D535" s="33"/>
      <c r="E535" s="33"/>
      <c r="F535" s="33"/>
      <c r="G535" s="33"/>
      <c r="H535" s="33"/>
      <c r="I535" s="33"/>
      <c r="J535" s="33">
        <f>IFERROR(__xludf.DUMMYFUNCTION("LEN(REGEXREPLACE(XLOOKUP($A535,Cards!$A$2:$A1000,Cards!$H$2:$H1000,""""),"",\s"",""""))"),0.0)</f>
        <v>0</v>
      </c>
      <c r="K535" s="33" t="str">
        <f t="shared" si="1"/>
        <v>               </v>
      </c>
      <c r="L535" s="33" t="str">
        <f>IFERROR(__xludf.DUMMYFUNCTION("IF(IF(L$1="""","""",REGEXMATCH(LOWER($E535),XLOOKUP(L$1,Metadata!$A$2:$A1000,Metadata!$B$2:$B1000))),L$1,"""")"),"")</f>
        <v/>
      </c>
      <c r="M535" s="33" t="str">
        <f>IFERROR(__xludf.DUMMYFUNCTION("IF(IF(M$1="""","""",REGEXMATCH(LOWER($E535),XLOOKUP(M$1,Metadata!$A$2:$A1000,Metadata!$B$2:$B1000))),M$1,"""")"),"")</f>
        <v/>
      </c>
      <c r="N535" s="33" t="str">
        <f>IFERROR(__xludf.DUMMYFUNCTION("IF(IF(N$1="""","""",REGEXMATCH(LOWER($E535),XLOOKUP(N$1,Metadata!$A$2:$A1000,Metadata!$B$2:$B1000))),N$1,"""")"),"")</f>
        <v/>
      </c>
      <c r="O535" s="33" t="str">
        <f>IFERROR(__xludf.DUMMYFUNCTION("IF(IF(O$1="""","""",REGEXMATCH(LOWER($E535),XLOOKUP(O$1,Metadata!$A$2:$A1000,Metadata!$B$2:$B1000))),O$1,"""")"),"")</f>
        <v/>
      </c>
      <c r="P535" s="33" t="str">
        <f>IFERROR(__xludf.DUMMYFUNCTION("IF(IF(P$1="""","""",REGEXMATCH(LOWER($E535),XLOOKUP(P$1,Metadata!$A$2:$A1000,Metadata!$B$2:$B1000))),P$1,"""")"),"")</f>
        <v/>
      </c>
      <c r="Q535" s="33" t="str">
        <f>IFERROR(__xludf.DUMMYFUNCTION("IF(IF(Q$1="""","""",REGEXMATCH(LOWER($E535),XLOOKUP(Q$1,Metadata!$A$2:$A1000,Metadata!$B$2:$B1000))),Q$1,"""")"),"")</f>
        <v/>
      </c>
      <c r="R535" s="33" t="str">
        <f>IFERROR(__xludf.DUMMYFUNCTION("IF(IF(R$1="""","""",REGEXMATCH(LOWER($E535),XLOOKUP(R$1,Metadata!$A$2:$A1000,Metadata!$B$2:$B1000))),R$1,"""")"),"")</f>
        <v/>
      </c>
      <c r="S535" s="33" t="str">
        <f>IFERROR(__xludf.DUMMYFUNCTION("IF(IF(S$1="""","""",REGEXMATCH(LOWER($E535),XLOOKUP(S$1,Metadata!$A$2:$A1000,Metadata!$B$2:$B1000))),S$1,"""")"),"")</f>
        <v/>
      </c>
      <c r="T535" s="33" t="str">
        <f>IFERROR(__xludf.DUMMYFUNCTION("IF(IF(T$1="""","""",REGEXMATCH(LOWER($E535),XLOOKUP(T$1,Metadata!$A$2:$A1000,Metadata!$B$2:$B1000))),T$1,"""")"),"")</f>
        <v/>
      </c>
      <c r="U535" s="33" t="str">
        <f>IFERROR(__xludf.DUMMYFUNCTION("IF(IF(U$1="""","""",REGEXMATCH(LOWER($E535),XLOOKUP(U$1,Metadata!$A$2:$A1000,Metadata!$B$2:$B1000))),U$1,"""")"),"")</f>
        <v/>
      </c>
      <c r="V535" s="33" t="str">
        <f>IFERROR(__xludf.DUMMYFUNCTION("IF(IF(V$1="""","""",REGEXMATCH(LOWER($E535),XLOOKUP(V$1,Metadata!$A$2:$A1000,Metadata!$B$2:$B1000))),V$1,"""")"),"")</f>
        <v/>
      </c>
      <c r="W535" s="33" t="str">
        <f>IFERROR(__xludf.DUMMYFUNCTION("IF(IF(W$1="""","""",REGEXMATCH(LOWER($E535),XLOOKUP(W$1,Metadata!$A$2:$A1000,Metadata!$B$2:$B1000))),W$1,"""")"),"")</f>
        <v/>
      </c>
      <c r="X535" s="33" t="str">
        <f>IFERROR(__xludf.DUMMYFUNCTION("IF(IF(X$1="""","""",REGEXMATCH(LOWER($E535),XLOOKUP(X$1,Metadata!$A$2:$A1000,Metadata!$B$2:$B1000))),X$1,"""")"),"")</f>
        <v/>
      </c>
      <c r="Y535" s="33" t="str">
        <f>IFERROR(__xludf.DUMMYFUNCTION("IF(IF(Y$1="""","""",REGEXMATCH(LOWER($E535),XLOOKUP(Y$1,Metadata!$A$2:$A1000,Metadata!$B$2:$B1000))),Y$1,"""")"),"")</f>
        <v/>
      </c>
      <c r="Z535" s="33" t="str">
        <f>IFERROR(__xludf.DUMMYFUNCTION("IF(IF(Z$1="""","""",REGEXMATCH(LOWER($E535),XLOOKUP(Z$1,Metadata!$A$2:$A1000,Metadata!$B$2:$B1000))),Z$1,"""")"),"")</f>
        <v/>
      </c>
    </row>
    <row r="536">
      <c r="A536" s="33"/>
      <c r="B536" s="33"/>
      <c r="C536" s="33"/>
      <c r="D536" s="33"/>
      <c r="E536" s="33"/>
      <c r="F536" s="33"/>
      <c r="G536" s="33"/>
      <c r="H536" s="33"/>
      <c r="I536" s="33"/>
      <c r="J536" s="33">
        <f>IFERROR(__xludf.DUMMYFUNCTION("LEN(REGEXREPLACE(XLOOKUP($A536,Cards!$A$2:$A1000,Cards!$H$2:$H1000,""""),"",\s"",""""))"),0.0)</f>
        <v>0</v>
      </c>
      <c r="K536" s="33" t="str">
        <f t="shared" si="1"/>
        <v>               </v>
      </c>
      <c r="L536" s="33" t="str">
        <f>IFERROR(__xludf.DUMMYFUNCTION("IF(IF(L$1="""","""",REGEXMATCH(LOWER($E536),XLOOKUP(L$1,Metadata!$A$2:$A1000,Metadata!$B$2:$B1000))),L$1,"""")"),"")</f>
        <v/>
      </c>
      <c r="M536" s="33" t="str">
        <f>IFERROR(__xludf.DUMMYFUNCTION("IF(IF(M$1="""","""",REGEXMATCH(LOWER($E536),XLOOKUP(M$1,Metadata!$A$2:$A1000,Metadata!$B$2:$B1000))),M$1,"""")"),"")</f>
        <v/>
      </c>
      <c r="N536" s="33" t="str">
        <f>IFERROR(__xludf.DUMMYFUNCTION("IF(IF(N$1="""","""",REGEXMATCH(LOWER($E536),XLOOKUP(N$1,Metadata!$A$2:$A1000,Metadata!$B$2:$B1000))),N$1,"""")"),"")</f>
        <v/>
      </c>
      <c r="O536" s="33" t="str">
        <f>IFERROR(__xludf.DUMMYFUNCTION("IF(IF(O$1="""","""",REGEXMATCH(LOWER($E536),XLOOKUP(O$1,Metadata!$A$2:$A1000,Metadata!$B$2:$B1000))),O$1,"""")"),"")</f>
        <v/>
      </c>
      <c r="P536" s="33" t="str">
        <f>IFERROR(__xludf.DUMMYFUNCTION("IF(IF(P$1="""","""",REGEXMATCH(LOWER($E536),XLOOKUP(P$1,Metadata!$A$2:$A1000,Metadata!$B$2:$B1000))),P$1,"""")"),"")</f>
        <v/>
      </c>
      <c r="Q536" s="33" t="str">
        <f>IFERROR(__xludf.DUMMYFUNCTION("IF(IF(Q$1="""","""",REGEXMATCH(LOWER($E536),XLOOKUP(Q$1,Metadata!$A$2:$A1000,Metadata!$B$2:$B1000))),Q$1,"""")"),"")</f>
        <v/>
      </c>
      <c r="R536" s="33" t="str">
        <f>IFERROR(__xludf.DUMMYFUNCTION("IF(IF(R$1="""","""",REGEXMATCH(LOWER($E536),XLOOKUP(R$1,Metadata!$A$2:$A1000,Metadata!$B$2:$B1000))),R$1,"""")"),"")</f>
        <v/>
      </c>
      <c r="S536" s="33" t="str">
        <f>IFERROR(__xludf.DUMMYFUNCTION("IF(IF(S$1="""","""",REGEXMATCH(LOWER($E536),XLOOKUP(S$1,Metadata!$A$2:$A1000,Metadata!$B$2:$B1000))),S$1,"""")"),"")</f>
        <v/>
      </c>
      <c r="T536" s="33" t="str">
        <f>IFERROR(__xludf.DUMMYFUNCTION("IF(IF(T$1="""","""",REGEXMATCH(LOWER($E536),XLOOKUP(T$1,Metadata!$A$2:$A1000,Metadata!$B$2:$B1000))),T$1,"""")"),"")</f>
        <v/>
      </c>
      <c r="U536" s="33" t="str">
        <f>IFERROR(__xludf.DUMMYFUNCTION("IF(IF(U$1="""","""",REGEXMATCH(LOWER($E536),XLOOKUP(U$1,Metadata!$A$2:$A1000,Metadata!$B$2:$B1000))),U$1,"""")"),"")</f>
        <v/>
      </c>
      <c r="V536" s="33" t="str">
        <f>IFERROR(__xludf.DUMMYFUNCTION("IF(IF(V$1="""","""",REGEXMATCH(LOWER($E536),XLOOKUP(V$1,Metadata!$A$2:$A1000,Metadata!$B$2:$B1000))),V$1,"""")"),"")</f>
        <v/>
      </c>
      <c r="W536" s="33" t="str">
        <f>IFERROR(__xludf.DUMMYFUNCTION("IF(IF(W$1="""","""",REGEXMATCH(LOWER($E536),XLOOKUP(W$1,Metadata!$A$2:$A1000,Metadata!$B$2:$B1000))),W$1,"""")"),"")</f>
        <v/>
      </c>
      <c r="X536" s="33" t="str">
        <f>IFERROR(__xludf.DUMMYFUNCTION("IF(IF(X$1="""","""",REGEXMATCH(LOWER($E536),XLOOKUP(X$1,Metadata!$A$2:$A1000,Metadata!$B$2:$B1000))),X$1,"""")"),"")</f>
        <v/>
      </c>
      <c r="Y536" s="33" t="str">
        <f>IFERROR(__xludf.DUMMYFUNCTION("IF(IF(Y$1="""","""",REGEXMATCH(LOWER($E536),XLOOKUP(Y$1,Metadata!$A$2:$A1000,Metadata!$B$2:$B1000))),Y$1,"""")"),"")</f>
        <v/>
      </c>
      <c r="Z536" s="33" t="str">
        <f>IFERROR(__xludf.DUMMYFUNCTION("IF(IF(Z$1="""","""",REGEXMATCH(LOWER($E536),XLOOKUP(Z$1,Metadata!$A$2:$A1000,Metadata!$B$2:$B1000))),Z$1,"""")"),"")</f>
        <v/>
      </c>
    </row>
    <row r="537">
      <c r="A537" s="33"/>
      <c r="B537" s="33"/>
      <c r="C537" s="33"/>
      <c r="D537" s="33"/>
      <c r="E537" s="33"/>
      <c r="F537" s="33"/>
      <c r="G537" s="33"/>
      <c r="H537" s="33"/>
      <c r="I537" s="33"/>
      <c r="J537" s="33">
        <f>IFERROR(__xludf.DUMMYFUNCTION("LEN(REGEXREPLACE(XLOOKUP($A537,Cards!$A$2:$A1000,Cards!$H$2:$H1000,""""),"",\s"",""""))"),0.0)</f>
        <v>0</v>
      </c>
      <c r="K537" s="33" t="str">
        <f t="shared" si="1"/>
        <v>               </v>
      </c>
      <c r="L537" s="33" t="str">
        <f>IFERROR(__xludf.DUMMYFUNCTION("IF(IF(L$1="""","""",REGEXMATCH(LOWER($E537),XLOOKUP(L$1,Metadata!$A$2:$A1000,Metadata!$B$2:$B1000))),L$1,"""")"),"")</f>
        <v/>
      </c>
      <c r="M537" s="33" t="str">
        <f>IFERROR(__xludf.DUMMYFUNCTION("IF(IF(M$1="""","""",REGEXMATCH(LOWER($E537),XLOOKUP(M$1,Metadata!$A$2:$A1000,Metadata!$B$2:$B1000))),M$1,"""")"),"")</f>
        <v/>
      </c>
      <c r="N537" s="33" t="str">
        <f>IFERROR(__xludf.DUMMYFUNCTION("IF(IF(N$1="""","""",REGEXMATCH(LOWER($E537),XLOOKUP(N$1,Metadata!$A$2:$A1000,Metadata!$B$2:$B1000))),N$1,"""")"),"")</f>
        <v/>
      </c>
      <c r="O537" s="33" t="str">
        <f>IFERROR(__xludf.DUMMYFUNCTION("IF(IF(O$1="""","""",REGEXMATCH(LOWER($E537),XLOOKUP(O$1,Metadata!$A$2:$A1000,Metadata!$B$2:$B1000))),O$1,"""")"),"")</f>
        <v/>
      </c>
      <c r="P537" s="33" t="str">
        <f>IFERROR(__xludf.DUMMYFUNCTION("IF(IF(P$1="""","""",REGEXMATCH(LOWER($E537),XLOOKUP(P$1,Metadata!$A$2:$A1000,Metadata!$B$2:$B1000))),P$1,"""")"),"")</f>
        <v/>
      </c>
      <c r="Q537" s="33" t="str">
        <f>IFERROR(__xludf.DUMMYFUNCTION("IF(IF(Q$1="""","""",REGEXMATCH(LOWER($E537),XLOOKUP(Q$1,Metadata!$A$2:$A1000,Metadata!$B$2:$B1000))),Q$1,"""")"),"")</f>
        <v/>
      </c>
      <c r="R537" s="33" t="str">
        <f>IFERROR(__xludf.DUMMYFUNCTION("IF(IF(R$1="""","""",REGEXMATCH(LOWER($E537),XLOOKUP(R$1,Metadata!$A$2:$A1000,Metadata!$B$2:$B1000))),R$1,"""")"),"")</f>
        <v/>
      </c>
      <c r="S537" s="33" t="str">
        <f>IFERROR(__xludf.DUMMYFUNCTION("IF(IF(S$1="""","""",REGEXMATCH(LOWER($E537),XLOOKUP(S$1,Metadata!$A$2:$A1000,Metadata!$B$2:$B1000))),S$1,"""")"),"")</f>
        <v/>
      </c>
      <c r="T537" s="33" t="str">
        <f>IFERROR(__xludf.DUMMYFUNCTION("IF(IF(T$1="""","""",REGEXMATCH(LOWER($E537),XLOOKUP(T$1,Metadata!$A$2:$A1000,Metadata!$B$2:$B1000))),T$1,"""")"),"")</f>
        <v/>
      </c>
      <c r="U537" s="33" t="str">
        <f>IFERROR(__xludf.DUMMYFUNCTION("IF(IF(U$1="""","""",REGEXMATCH(LOWER($E537),XLOOKUP(U$1,Metadata!$A$2:$A1000,Metadata!$B$2:$B1000))),U$1,"""")"),"")</f>
        <v/>
      </c>
      <c r="V537" s="33" t="str">
        <f>IFERROR(__xludf.DUMMYFUNCTION("IF(IF(V$1="""","""",REGEXMATCH(LOWER($E537),XLOOKUP(V$1,Metadata!$A$2:$A1000,Metadata!$B$2:$B1000))),V$1,"""")"),"")</f>
        <v/>
      </c>
      <c r="W537" s="33" t="str">
        <f>IFERROR(__xludf.DUMMYFUNCTION("IF(IF(W$1="""","""",REGEXMATCH(LOWER($E537),XLOOKUP(W$1,Metadata!$A$2:$A1000,Metadata!$B$2:$B1000))),W$1,"""")"),"")</f>
        <v/>
      </c>
      <c r="X537" s="33" t="str">
        <f>IFERROR(__xludf.DUMMYFUNCTION("IF(IF(X$1="""","""",REGEXMATCH(LOWER($E537),XLOOKUP(X$1,Metadata!$A$2:$A1000,Metadata!$B$2:$B1000))),X$1,"""")"),"")</f>
        <v/>
      </c>
      <c r="Y537" s="33" t="str">
        <f>IFERROR(__xludf.DUMMYFUNCTION("IF(IF(Y$1="""","""",REGEXMATCH(LOWER($E537),XLOOKUP(Y$1,Metadata!$A$2:$A1000,Metadata!$B$2:$B1000))),Y$1,"""")"),"")</f>
        <v/>
      </c>
      <c r="Z537" s="33" t="str">
        <f>IFERROR(__xludf.DUMMYFUNCTION("IF(IF(Z$1="""","""",REGEXMATCH(LOWER($E537),XLOOKUP(Z$1,Metadata!$A$2:$A1000,Metadata!$B$2:$B1000))),Z$1,"""")"),"")</f>
        <v/>
      </c>
    </row>
    <row r="538">
      <c r="A538" s="33"/>
      <c r="B538" s="33"/>
      <c r="C538" s="33"/>
      <c r="D538" s="33"/>
      <c r="E538" s="33"/>
      <c r="F538" s="33"/>
      <c r="G538" s="33"/>
      <c r="H538" s="33"/>
      <c r="I538" s="33"/>
      <c r="J538" s="33">
        <f>IFERROR(__xludf.DUMMYFUNCTION("LEN(REGEXREPLACE(XLOOKUP($A538,Cards!$A$2:$A1000,Cards!$H$2:$H1000,""""),"",\s"",""""))"),0.0)</f>
        <v>0</v>
      </c>
      <c r="K538" s="33" t="str">
        <f t="shared" si="1"/>
        <v>               </v>
      </c>
      <c r="L538" s="33" t="str">
        <f>IFERROR(__xludf.DUMMYFUNCTION("IF(IF(L$1="""","""",REGEXMATCH(LOWER($E538),XLOOKUP(L$1,Metadata!$A$2:$A1000,Metadata!$B$2:$B1000))),L$1,"""")"),"")</f>
        <v/>
      </c>
      <c r="M538" s="33" t="str">
        <f>IFERROR(__xludf.DUMMYFUNCTION("IF(IF(M$1="""","""",REGEXMATCH(LOWER($E538),XLOOKUP(M$1,Metadata!$A$2:$A1000,Metadata!$B$2:$B1000))),M$1,"""")"),"")</f>
        <v/>
      </c>
      <c r="N538" s="33" t="str">
        <f>IFERROR(__xludf.DUMMYFUNCTION("IF(IF(N$1="""","""",REGEXMATCH(LOWER($E538),XLOOKUP(N$1,Metadata!$A$2:$A1000,Metadata!$B$2:$B1000))),N$1,"""")"),"")</f>
        <v/>
      </c>
      <c r="O538" s="33" t="str">
        <f>IFERROR(__xludf.DUMMYFUNCTION("IF(IF(O$1="""","""",REGEXMATCH(LOWER($E538),XLOOKUP(O$1,Metadata!$A$2:$A1000,Metadata!$B$2:$B1000))),O$1,"""")"),"")</f>
        <v/>
      </c>
      <c r="P538" s="33" t="str">
        <f>IFERROR(__xludf.DUMMYFUNCTION("IF(IF(P$1="""","""",REGEXMATCH(LOWER($E538),XLOOKUP(P$1,Metadata!$A$2:$A1000,Metadata!$B$2:$B1000))),P$1,"""")"),"")</f>
        <v/>
      </c>
      <c r="Q538" s="33" t="str">
        <f>IFERROR(__xludf.DUMMYFUNCTION("IF(IF(Q$1="""","""",REGEXMATCH(LOWER($E538),XLOOKUP(Q$1,Metadata!$A$2:$A1000,Metadata!$B$2:$B1000))),Q$1,"""")"),"")</f>
        <v/>
      </c>
      <c r="R538" s="33" t="str">
        <f>IFERROR(__xludf.DUMMYFUNCTION("IF(IF(R$1="""","""",REGEXMATCH(LOWER($E538),XLOOKUP(R$1,Metadata!$A$2:$A1000,Metadata!$B$2:$B1000))),R$1,"""")"),"")</f>
        <v/>
      </c>
      <c r="S538" s="33" t="str">
        <f>IFERROR(__xludf.DUMMYFUNCTION("IF(IF(S$1="""","""",REGEXMATCH(LOWER($E538),XLOOKUP(S$1,Metadata!$A$2:$A1000,Metadata!$B$2:$B1000))),S$1,"""")"),"")</f>
        <v/>
      </c>
      <c r="T538" s="33" t="str">
        <f>IFERROR(__xludf.DUMMYFUNCTION("IF(IF(T$1="""","""",REGEXMATCH(LOWER($E538),XLOOKUP(T$1,Metadata!$A$2:$A1000,Metadata!$B$2:$B1000))),T$1,"""")"),"")</f>
        <v/>
      </c>
      <c r="U538" s="33" t="str">
        <f>IFERROR(__xludf.DUMMYFUNCTION("IF(IF(U$1="""","""",REGEXMATCH(LOWER($E538),XLOOKUP(U$1,Metadata!$A$2:$A1000,Metadata!$B$2:$B1000))),U$1,"""")"),"")</f>
        <v/>
      </c>
      <c r="V538" s="33" t="str">
        <f>IFERROR(__xludf.DUMMYFUNCTION("IF(IF(V$1="""","""",REGEXMATCH(LOWER($E538),XLOOKUP(V$1,Metadata!$A$2:$A1000,Metadata!$B$2:$B1000))),V$1,"""")"),"")</f>
        <v/>
      </c>
      <c r="W538" s="33" t="str">
        <f>IFERROR(__xludf.DUMMYFUNCTION("IF(IF(W$1="""","""",REGEXMATCH(LOWER($E538),XLOOKUP(W$1,Metadata!$A$2:$A1000,Metadata!$B$2:$B1000))),W$1,"""")"),"")</f>
        <v/>
      </c>
      <c r="X538" s="33" t="str">
        <f>IFERROR(__xludf.DUMMYFUNCTION("IF(IF(X$1="""","""",REGEXMATCH(LOWER($E538),XLOOKUP(X$1,Metadata!$A$2:$A1000,Metadata!$B$2:$B1000))),X$1,"""")"),"")</f>
        <v/>
      </c>
      <c r="Y538" s="33" t="str">
        <f>IFERROR(__xludf.DUMMYFUNCTION("IF(IF(Y$1="""","""",REGEXMATCH(LOWER($E538),XLOOKUP(Y$1,Metadata!$A$2:$A1000,Metadata!$B$2:$B1000))),Y$1,"""")"),"")</f>
        <v/>
      </c>
      <c r="Z538" s="33" t="str">
        <f>IFERROR(__xludf.DUMMYFUNCTION("IF(IF(Z$1="""","""",REGEXMATCH(LOWER($E538),XLOOKUP(Z$1,Metadata!$A$2:$A1000,Metadata!$B$2:$B1000))),Z$1,"""")"),"")</f>
        <v/>
      </c>
    </row>
    <row r="539">
      <c r="A539" s="33"/>
      <c r="B539" s="33"/>
      <c r="C539" s="33"/>
      <c r="D539" s="33"/>
      <c r="E539" s="33"/>
      <c r="F539" s="33"/>
      <c r="G539" s="33"/>
      <c r="H539" s="33"/>
      <c r="I539" s="33"/>
      <c r="J539" s="33">
        <f>IFERROR(__xludf.DUMMYFUNCTION("LEN(REGEXREPLACE(XLOOKUP($A539,Cards!$A$2:$A1000,Cards!$H$2:$H1000,""""),"",\s"",""""))"),0.0)</f>
        <v>0</v>
      </c>
      <c r="K539" s="33" t="str">
        <f t="shared" si="1"/>
        <v>               </v>
      </c>
      <c r="L539" s="33" t="str">
        <f>IFERROR(__xludf.DUMMYFUNCTION("IF(IF(L$1="""","""",REGEXMATCH(LOWER($E539),XLOOKUP(L$1,Metadata!$A$2:$A1000,Metadata!$B$2:$B1000))),L$1,"""")"),"")</f>
        <v/>
      </c>
      <c r="M539" s="33" t="str">
        <f>IFERROR(__xludf.DUMMYFUNCTION("IF(IF(M$1="""","""",REGEXMATCH(LOWER($E539),XLOOKUP(M$1,Metadata!$A$2:$A1000,Metadata!$B$2:$B1000))),M$1,"""")"),"")</f>
        <v/>
      </c>
      <c r="N539" s="33" t="str">
        <f>IFERROR(__xludf.DUMMYFUNCTION("IF(IF(N$1="""","""",REGEXMATCH(LOWER($E539),XLOOKUP(N$1,Metadata!$A$2:$A1000,Metadata!$B$2:$B1000))),N$1,"""")"),"")</f>
        <v/>
      </c>
      <c r="O539" s="33" t="str">
        <f>IFERROR(__xludf.DUMMYFUNCTION("IF(IF(O$1="""","""",REGEXMATCH(LOWER($E539),XLOOKUP(O$1,Metadata!$A$2:$A1000,Metadata!$B$2:$B1000))),O$1,"""")"),"")</f>
        <v/>
      </c>
      <c r="P539" s="33" t="str">
        <f>IFERROR(__xludf.DUMMYFUNCTION("IF(IF(P$1="""","""",REGEXMATCH(LOWER($E539),XLOOKUP(P$1,Metadata!$A$2:$A1000,Metadata!$B$2:$B1000))),P$1,"""")"),"")</f>
        <v/>
      </c>
      <c r="Q539" s="33" t="str">
        <f>IFERROR(__xludf.DUMMYFUNCTION("IF(IF(Q$1="""","""",REGEXMATCH(LOWER($E539),XLOOKUP(Q$1,Metadata!$A$2:$A1000,Metadata!$B$2:$B1000))),Q$1,"""")"),"")</f>
        <v/>
      </c>
      <c r="R539" s="33" t="str">
        <f>IFERROR(__xludf.DUMMYFUNCTION("IF(IF(R$1="""","""",REGEXMATCH(LOWER($E539),XLOOKUP(R$1,Metadata!$A$2:$A1000,Metadata!$B$2:$B1000))),R$1,"""")"),"")</f>
        <v/>
      </c>
      <c r="S539" s="33" t="str">
        <f>IFERROR(__xludf.DUMMYFUNCTION("IF(IF(S$1="""","""",REGEXMATCH(LOWER($E539),XLOOKUP(S$1,Metadata!$A$2:$A1000,Metadata!$B$2:$B1000))),S$1,"""")"),"")</f>
        <v/>
      </c>
      <c r="T539" s="33" t="str">
        <f>IFERROR(__xludf.DUMMYFUNCTION("IF(IF(T$1="""","""",REGEXMATCH(LOWER($E539),XLOOKUP(T$1,Metadata!$A$2:$A1000,Metadata!$B$2:$B1000))),T$1,"""")"),"")</f>
        <v/>
      </c>
      <c r="U539" s="33" t="str">
        <f>IFERROR(__xludf.DUMMYFUNCTION("IF(IF(U$1="""","""",REGEXMATCH(LOWER($E539),XLOOKUP(U$1,Metadata!$A$2:$A1000,Metadata!$B$2:$B1000))),U$1,"""")"),"")</f>
        <v/>
      </c>
      <c r="V539" s="33" t="str">
        <f>IFERROR(__xludf.DUMMYFUNCTION("IF(IF(V$1="""","""",REGEXMATCH(LOWER($E539),XLOOKUP(V$1,Metadata!$A$2:$A1000,Metadata!$B$2:$B1000))),V$1,"""")"),"")</f>
        <v/>
      </c>
      <c r="W539" s="33" t="str">
        <f>IFERROR(__xludf.DUMMYFUNCTION("IF(IF(W$1="""","""",REGEXMATCH(LOWER($E539),XLOOKUP(W$1,Metadata!$A$2:$A1000,Metadata!$B$2:$B1000))),W$1,"""")"),"")</f>
        <v/>
      </c>
      <c r="X539" s="33" t="str">
        <f>IFERROR(__xludf.DUMMYFUNCTION("IF(IF(X$1="""","""",REGEXMATCH(LOWER($E539),XLOOKUP(X$1,Metadata!$A$2:$A1000,Metadata!$B$2:$B1000))),X$1,"""")"),"")</f>
        <v/>
      </c>
      <c r="Y539" s="33" t="str">
        <f>IFERROR(__xludf.DUMMYFUNCTION("IF(IF(Y$1="""","""",REGEXMATCH(LOWER($E539),XLOOKUP(Y$1,Metadata!$A$2:$A1000,Metadata!$B$2:$B1000))),Y$1,"""")"),"")</f>
        <v/>
      </c>
      <c r="Z539" s="33" t="str">
        <f>IFERROR(__xludf.DUMMYFUNCTION("IF(IF(Z$1="""","""",REGEXMATCH(LOWER($E539),XLOOKUP(Z$1,Metadata!$A$2:$A1000,Metadata!$B$2:$B1000))),Z$1,"""")"),"")</f>
        <v/>
      </c>
    </row>
    <row r="540">
      <c r="A540" s="33"/>
      <c r="B540" s="33"/>
      <c r="C540" s="33"/>
      <c r="D540" s="33"/>
      <c r="E540" s="33"/>
      <c r="F540" s="33"/>
      <c r="G540" s="33"/>
      <c r="H540" s="33"/>
      <c r="I540" s="33"/>
      <c r="J540" s="33">
        <f>IFERROR(__xludf.DUMMYFUNCTION("LEN(REGEXREPLACE(XLOOKUP($A540,Cards!$A$2:$A1000,Cards!$H$2:$H1000,""""),"",\s"",""""))"),0.0)</f>
        <v>0</v>
      </c>
      <c r="K540" s="33" t="str">
        <f t="shared" si="1"/>
        <v>               </v>
      </c>
      <c r="L540" s="33" t="str">
        <f>IFERROR(__xludf.DUMMYFUNCTION("IF(IF(L$1="""","""",REGEXMATCH(LOWER($E540),XLOOKUP(L$1,Metadata!$A$2:$A1000,Metadata!$B$2:$B1000))),L$1,"""")"),"")</f>
        <v/>
      </c>
      <c r="M540" s="33" t="str">
        <f>IFERROR(__xludf.DUMMYFUNCTION("IF(IF(M$1="""","""",REGEXMATCH(LOWER($E540),XLOOKUP(M$1,Metadata!$A$2:$A1000,Metadata!$B$2:$B1000))),M$1,"""")"),"")</f>
        <v/>
      </c>
      <c r="N540" s="33" t="str">
        <f>IFERROR(__xludf.DUMMYFUNCTION("IF(IF(N$1="""","""",REGEXMATCH(LOWER($E540),XLOOKUP(N$1,Metadata!$A$2:$A1000,Metadata!$B$2:$B1000))),N$1,"""")"),"")</f>
        <v/>
      </c>
      <c r="O540" s="33" t="str">
        <f>IFERROR(__xludf.DUMMYFUNCTION("IF(IF(O$1="""","""",REGEXMATCH(LOWER($E540),XLOOKUP(O$1,Metadata!$A$2:$A1000,Metadata!$B$2:$B1000))),O$1,"""")"),"")</f>
        <v/>
      </c>
      <c r="P540" s="33" t="str">
        <f>IFERROR(__xludf.DUMMYFUNCTION("IF(IF(P$1="""","""",REGEXMATCH(LOWER($E540),XLOOKUP(P$1,Metadata!$A$2:$A1000,Metadata!$B$2:$B1000))),P$1,"""")"),"")</f>
        <v/>
      </c>
      <c r="Q540" s="33" t="str">
        <f>IFERROR(__xludf.DUMMYFUNCTION("IF(IF(Q$1="""","""",REGEXMATCH(LOWER($E540),XLOOKUP(Q$1,Metadata!$A$2:$A1000,Metadata!$B$2:$B1000))),Q$1,"""")"),"")</f>
        <v/>
      </c>
      <c r="R540" s="33" t="str">
        <f>IFERROR(__xludf.DUMMYFUNCTION("IF(IF(R$1="""","""",REGEXMATCH(LOWER($E540),XLOOKUP(R$1,Metadata!$A$2:$A1000,Metadata!$B$2:$B1000))),R$1,"""")"),"")</f>
        <v/>
      </c>
      <c r="S540" s="33" t="str">
        <f>IFERROR(__xludf.DUMMYFUNCTION("IF(IF(S$1="""","""",REGEXMATCH(LOWER($E540),XLOOKUP(S$1,Metadata!$A$2:$A1000,Metadata!$B$2:$B1000))),S$1,"""")"),"")</f>
        <v/>
      </c>
      <c r="T540" s="33" t="str">
        <f>IFERROR(__xludf.DUMMYFUNCTION("IF(IF(T$1="""","""",REGEXMATCH(LOWER($E540),XLOOKUP(T$1,Metadata!$A$2:$A1000,Metadata!$B$2:$B1000))),T$1,"""")"),"")</f>
        <v/>
      </c>
      <c r="U540" s="33" t="str">
        <f>IFERROR(__xludf.DUMMYFUNCTION("IF(IF(U$1="""","""",REGEXMATCH(LOWER($E540),XLOOKUP(U$1,Metadata!$A$2:$A1000,Metadata!$B$2:$B1000))),U$1,"""")"),"")</f>
        <v/>
      </c>
      <c r="V540" s="33" t="str">
        <f>IFERROR(__xludf.DUMMYFUNCTION("IF(IF(V$1="""","""",REGEXMATCH(LOWER($E540),XLOOKUP(V$1,Metadata!$A$2:$A1000,Metadata!$B$2:$B1000))),V$1,"""")"),"")</f>
        <v/>
      </c>
      <c r="W540" s="33" t="str">
        <f>IFERROR(__xludf.DUMMYFUNCTION("IF(IF(W$1="""","""",REGEXMATCH(LOWER($E540),XLOOKUP(W$1,Metadata!$A$2:$A1000,Metadata!$B$2:$B1000))),W$1,"""")"),"")</f>
        <v/>
      </c>
      <c r="X540" s="33" t="str">
        <f>IFERROR(__xludf.DUMMYFUNCTION("IF(IF(X$1="""","""",REGEXMATCH(LOWER($E540),XLOOKUP(X$1,Metadata!$A$2:$A1000,Metadata!$B$2:$B1000))),X$1,"""")"),"")</f>
        <v/>
      </c>
      <c r="Y540" s="33" t="str">
        <f>IFERROR(__xludf.DUMMYFUNCTION("IF(IF(Y$1="""","""",REGEXMATCH(LOWER($E540),XLOOKUP(Y$1,Metadata!$A$2:$A1000,Metadata!$B$2:$B1000))),Y$1,"""")"),"")</f>
        <v/>
      </c>
      <c r="Z540" s="33" t="str">
        <f>IFERROR(__xludf.DUMMYFUNCTION("IF(IF(Z$1="""","""",REGEXMATCH(LOWER($E540),XLOOKUP(Z$1,Metadata!$A$2:$A1000,Metadata!$B$2:$B1000))),Z$1,"""")"),"")</f>
        <v/>
      </c>
    </row>
    <row r="541">
      <c r="A541" s="33"/>
      <c r="B541" s="33"/>
      <c r="C541" s="33"/>
      <c r="D541" s="33"/>
      <c r="E541" s="33"/>
      <c r="F541" s="33"/>
      <c r="G541" s="33"/>
      <c r="H541" s="33"/>
      <c r="I541" s="33"/>
      <c r="J541" s="33">
        <f>IFERROR(__xludf.DUMMYFUNCTION("LEN(REGEXREPLACE(XLOOKUP($A541,Cards!$A$2:$A1000,Cards!$H$2:$H1000,""""),"",\s"",""""))"),0.0)</f>
        <v>0</v>
      </c>
      <c r="K541" s="33" t="str">
        <f t="shared" si="1"/>
        <v>               </v>
      </c>
      <c r="L541" s="33" t="str">
        <f>IFERROR(__xludf.DUMMYFUNCTION("IF(IF(L$1="""","""",REGEXMATCH(LOWER($E541),XLOOKUP(L$1,Metadata!$A$2:$A1000,Metadata!$B$2:$B1000))),L$1,"""")"),"")</f>
        <v/>
      </c>
      <c r="M541" s="33" t="str">
        <f>IFERROR(__xludf.DUMMYFUNCTION("IF(IF(M$1="""","""",REGEXMATCH(LOWER($E541),XLOOKUP(M$1,Metadata!$A$2:$A1000,Metadata!$B$2:$B1000))),M$1,"""")"),"")</f>
        <v/>
      </c>
      <c r="N541" s="33" t="str">
        <f>IFERROR(__xludf.DUMMYFUNCTION("IF(IF(N$1="""","""",REGEXMATCH(LOWER($E541),XLOOKUP(N$1,Metadata!$A$2:$A1000,Metadata!$B$2:$B1000))),N$1,"""")"),"")</f>
        <v/>
      </c>
      <c r="O541" s="33" t="str">
        <f>IFERROR(__xludf.DUMMYFUNCTION("IF(IF(O$1="""","""",REGEXMATCH(LOWER($E541),XLOOKUP(O$1,Metadata!$A$2:$A1000,Metadata!$B$2:$B1000))),O$1,"""")"),"")</f>
        <v/>
      </c>
      <c r="P541" s="33" t="str">
        <f>IFERROR(__xludf.DUMMYFUNCTION("IF(IF(P$1="""","""",REGEXMATCH(LOWER($E541),XLOOKUP(P$1,Metadata!$A$2:$A1000,Metadata!$B$2:$B1000))),P$1,"""")"),"")</f>
        <v/>
      </c>
      <c r="Q541" s="33" t="str">
        <f>IFERROR(__xludf.DUMMYFUNCTION("IF(IF(Q$1="""","""",REGEXMATCH(LOWER($E541),XLOOKUP(Q$1,Metadata!$A$2:$A1000,Metadata!$B$2:$B1000))),Q$1,"""")"),"")</f>
        <v/>
      </c>
      <c r="R541" s="33" t="str">
        <f>IFERROR(__xludf.DUMMYFUNCTION("IF(IF(R$1="""","""",REGEXMATCH(LOWER($E541),XLOOKUP(R$1,Metadata!$A$2:$A1000,Metadata!$B$2:$B1000))),R$1,"""")"),"")</f>
        <v/>
      </c>
      <c r="S541" s="33" t="str">
        <f>IFERROR(__xludf.DUMMYFUNCTION("IF(IF(S$1="""","""",REGEXMATCH(LOWER($E541),XLOOKUP(S$1,Metadata!$A$2:$A1000,Metadata!$B$2:$B1000))),S$1,"""")"),"")</f>
        <v/>
      </c>
      <c r="T541" s="33" t="str">
        <f>IFERROR(__xludf.DUMMYFUNCTION("IF(IF(T$1="""","""",REGEXMATCH(LOWER($E541),XLOOKUP(T$1,Metadata!$A$2:$A1000,Metadata!$B$2:$B1000))),T$1,"""")"),"")</f>
        <v/>
      </c>
      <c r="U541" s="33" t="str">
        <f>IFERROR(__xludf.DUMMYFUNCTION("IF(IF(U$1="""","""",REGEXMATCH(LOWER($E541),XLOOKUP(U$1,Metadata!$A$2:$A1000,Metadata!$B$2:$B1000))),U$1,"""")"),"")</f>
        <v/>
      </c>
      <c r="V541" s="33" t="str">
        <f>IFERROR(__xludf.DUMMYFUNCTION("IF(IF(V$1="""","""",REGEXMATCH(LOWER($E541),XLOOKUP(V$1,Metadata!$A$2:$A1000,Metadata!$B$2:$B1000))),V$1,"""")"),"")</f>
        <v/>
      </c>
      <c r="W541" s="33" t="str">
        <f>IFERROR(__xludf.DUMMYFUNCTION("IF(IF(W$1="""","""",REGEXMATCH(LOWER($E541),XLOOKUP(W$1,Metadata!$A$2:$A1000,Metadata!$B$2:$B1000))),W$1,"""")"),"")</f>
        <v/>
      </c>
      <c r="X541" s="33" t="str">
        <f>IFERROR(__xludf.DUMMYFUNCTION("IF(IF(X$1="""","""",REGEXMATCH(LOWER($E541),XLOOKUP(X$1,Metadata!$A$2:$A1000,Metadata!$B$2:$B1000))),X$1,"""")"),"")</f>
        <v/>
      </c>
      <c r="Y541" s="33" t="str">
        <f>IFERROR(__xludf.DUMMYFUNCTION("IF(IF(Y$1="""","""",REGEXMATCH(LOWER($E541),XLOOKUP(Y$1,Metadata!$A$2:$A1000,Metadata!$B$2:$B1000))),Y$1,"""")"),"")</f>
        <v/>
      </c>
      <c r="Z541" s="33" t="str">
        <f>IFERROR(__xludf.DUMMYFUNCTION("IF(IF(Z$1="""","""",REGEXMATCH(LOWER($E541),XLOOKUP(Z$1,Metadata!$A$2:$A1000,Metadata!$B$2:$B1000))),Z$1,"""")"),"")</f>
        <v/>
      </c>
    </row>
    <row r="542">
      <c r="A542" s="33"/>
      <c r="B542" s="33"/>
      <c r="C542" s="33"/>
      <c r="D542" s="33"/>
      <c r="E542" s="33"/>
      <c r="F542" s="33"/>
      <c r="G542" s="33"/>
      <c r="H542" s="33"/>
      <c r="I542" s="33"/>
      <c r="J542" s="33">
        <f>IFERROR(__xludf.DUMMYFUNCTION("LEN(REGEXREPLACE(XLOOKUP($A542,Cards!$A$2:$A1000,Cards!$H$2:$H1000,""""),"",\s"",""""))"),0.0)</f>
        <v>0</v>
      </c>
      <c r="K542" s="33" t="str">
        <f t="shared" si="1"/>
        <v>               </v>
      </c>
      <c r="L542" s="33" t="str">
        <f>IFERROR(__xludf.DUMMYFUNCTION("IF(IF(L$1="""","""",REGEXMATCH(LOWER($E542),XLOOKUP(L$1,Metadata!$A$2:$A1000,Metadata!$B$2:$B1000))),L$1,"""")"),"")</f>
        <v/>
      </c>
      <c r="M542" s="33" t="str">
        <f>IFERROR(__xludf.DUMMYFUNCTION("IF(IF(M$1="""","""",REGEXMATCH(LOWER($E542),XLOOKUP(M$1,Metadata!$A$2:$A1000,Metadata!$B$2:$B1000))),M$1,"""")"),"")</f>
        <v/>
      </c>
      <c r="N542" s="33" t="str">
        <f>IFERROR(__xludf.DUMMYFUNCTION("IF(IF(N$1="""","""",REGEXMATCH(LOWER($E542),XLOOKUP(N$1,Metadata!$A$2:$A1000,Metadata!$B$2:$B1000))),N$1,"""")"),"")</f>
        <v/>
      </c>
      <c r="O542" s="33" t="str">
        <f>IFERROR(__xludf.DUMMYFUNCTION("IF(IF(O$1="""","""",REGEXMATCH(LOWER($E542),XLOOKUP(O$1,Metadata!$A$2:$A1000,Metadata!$B$2:$B1000))),O$1,"""")"),"")</f>
        <v/>
      </c>
      <c r="P542" s="33" t="str">
        <f>IFERROR(__xludf.DUMMYFUNCTION("IF(IF(P$1="""","""",REGEXMATCH(LOWER($E542),XLOOKUP(P$1,Metadata!$A$2:$A1000,Metadata!$B$2:$B1000))),P$1,"""")"),"")</f>
        <v/>
      </c>
      <c r="Q542" s="33" t="str">
        <f>IFERROR(__xludf.DUMMYFUNCTION("IF(IF(Q$1="""","""",REGEXMATCH(LOWER($E542),XLOOKUP(Q$1,Metadata!$A$2:$A1000,Metadata!$B$2:$B1000))),Q$1,"""")"),"")</f>
        <v/>
      </c>
      <c r="R542" s="33" t="str">
        <f>IFERROR(__xludf.DUMMYFUNCTION("IF(IF(R$1="""","""",REGEXMATCH(LOWER($E542),XLOOKUP(R$1,Metadata!$A$2:$A1000,Metadata!$B$2:$B1000))),R$1,"""")"),"")</f>
        <v/>
      </c>
      <c r="S542" s="33" t="str">
        <f>IFERROR(__xludf.DUMMYFUNCTION("IF(IF(S$1="""","""",REGEXMATCH(LOWER($E542),XLOOKUP(S$1,Metadata!$A$2:$A1000,Metadata!$B$2:$B1000))),S$1,"""")"),"")</f>
        <v/>
      </c>
      <c r="T542" s="33" t="str">
        <f>IFERROR(__xludf.DUMMYFUNCTION("IF(IF(T$1="""","""",REGEXMATCH(LOWER($E542),XLOOKUP(T$1,Metadata!$A$2:$A1000,Metadata!$B$2:$B1000))),T$1,"""")"),"")</f>
        <v/>
      </c>
      <c r="U542" s="33" t="str">
        <f>IFERROR(__xludf.DUMMYFUNCTION("IF(IF(U$1="""","""",REGEXMATCH(LOWER($E542),XLOOKUP(U$1,Metadata!$A$2:$A1000,Metadata!$B$2:$B1000))),U$1,"""")"),"")</f>
        <v/>
      </c>
      <c r="V542" s="33" t="str">
        <f>IFERROR(__xludf.DUMMYFUNCTION("IF(IF(V$1="""","""",REGEXMATCH(LOWER($E542),XLOOKUP(V$1,Metadata!$A$2:$A1000,Metadata!$B$2:$B1000))),V$1,"""")"),"")</f>
        <v/>
      </c>
      <c r="W542" s="33" t="str">
        <f>IFERROR(__xludf.DUMMYFUNCTION("IF(IF(W$1="""","""",REGEXMATCH(LOWER($E542),XLOOKUP(W$1,Metadata!$A$2:$A1000,Metadata!$B$2:$B1000))),W$1,"""")"),"")</f>
        <v/>
      </c>
      <c r="X542" s="33" t="str">
        <f>IFERROR(__xludf.DUMMYFUNCTION("IF(IF(X$1="""","""",REGEXMATCH(LOWER($E542),XLOOKUP(X$1,Metadata!$A$2:$A1000,Metadata!$B$2:$B1000))),X$1,"""")"),"")</f>
        <v/>
      </c>
      <c r="Y542" s="33" t="str">
        <f>IFERROR(__xludf.DUMMYFUNCTION("IF(IF(Y$1="""","""",REGEXMATCH(LOWER($E542),XLOOKUP(Y$1,Metadata!$A$2:$A1000,Metadata!$B$2:$B1000))),Y$1,"""")"),"")</f>
        <v/>
      </c>
      <c r="Z542" s="33" t="str">
        <f>IFERROR(__xludf.DUMMYFUNCTION("IF(IF(Z$1="""","""",REGEXMATCH(LOWER($E542),XLOOKUP(Z$1,Metadata!$A$2:$A1000,Metadata!$B$2:$B1000))),Z$1,"""")"),"")</f>
        <v/>
      </c>
    </row>
    <row r="543">
      <c r="A543" s="33"/>
      <c r="B543" s="33"/>
      <c r="C543" s="33"/>
      <c r="D543" s="33"/>
      <c r="E543" s="33"/>
      <c r="F543" s="33"/>
      <c r="G543" s="33"/>
      <c r="H543" s="33"/>
      <c r="I543" s="33"/>
      <c r="J543" s="33">
        <f>IFERROR(__xludf.DUMMYFUNCTION("LEN(REGEXREPLACE(XLOOKUP($A543,Cards!$A$2:$A1000,Cards!$H$2:$H1000,""""),"",\s"",""""))"),0.0)</f>
        <v>0</v>
      </c>
      <c r="K543" s="33" t="str">
        <f t="shared" si="1"/>
        <v>               </v>
      </c>
      <c r="L543" s="33" t="str">
        <f>IFERROR(__xludf.DUMMYFUNCTION("IF(IF(L$1="""","""",REGEXMATCH(LOWER($E543),XLOOKUP(L$1,Metadata!$A$2:$A1000,Metadata!$B$2:$B1000))),L$1,"""")"),"")</f>
        <v/>
      </c>
      <c r="M543" s="33" t="str">
        <f>IFERROR(__xludf.DUMMYFUNCTION("IF(IF(M$1="""","""",REGEXMATCH(LOWER($E543),XLOOKUP(M$1,Metadata!$A$2:$A1000,Metadata!$B$2:$B1000))),M$1,"""")"),"")</f>
        <v/>
      </c>
      <c r="N543" s="33" t="str">
        <f>IFERROR(__xludf.DUMMYFUNCTION("IF(IF(N$1="""","""",REGEXMATCH(LOWER($E543),XLOOKUP(N$1,Metadata!$A$2:$A1000,Metadata!$B$2:$B1000))),N$1,"""")"),"")</f>
        <v/>
      </c>
      <c r="O543" s="33" t="str">
        <f>IFERROR(__xludf.DUMMYFUNCTION("IF(IF(O$1="""","""",REGEXMATCH(LOWER($E543),XLOOKUP(O$1,Metadata!$A$2:$A1000,Metadata!$B$2:$B1000))),O$1,"""")"),"")</f>
        <v/>
      </c>
      <c r="P543" s="33" t="str">
        <f>IFERROR(__xludf.DUMMYFUNCTION("IF(IF(P$1="""","""",REGEXMATCH(LOWER($E543),XLOOKUP(P$1,Metadata!$A$2:$A1000,Metadata!$B$2:$B1000))),P$1,"""")"),"")</f>
        <v/>
      </c>
      <c r="Q543" s="33" t="str">
        <f>IFERROR(__xludf.DUMMYFUNCTION("IF(IF(Q$1="""","""",REGEXMATCH(LOWER($E543),XLOOKUP(Q$1,Metadata!$A$2:$A1000,Metadata!$B$2:$B1000))),Q$1,"""")"),"")</f>
        <v/>
      </c>
      <c r="R543" s="33" t="str">
        <f>IFERROR(__xludf.DUMMYFUNCTION("IF(IF(R$1="""","""",REGEXMATCH(LOWER($E543),XLOOKUP(R$1,Metadata!$A$2:$A1000,Metadata!$B$2:$B1000))),R$1,"""")"),"")</f>
        <v/>
      </c>
      <c r="S543" s="33" t="str">
        <f>IFERROR(__xludf.DUMMYFUNCTION("IF(IF(S$1="""","""",REGEXMATCH(LOWER($E543),XLOOKUP(S$1,Metadata!$A$2:$A1000,Metadata!$B$2:$B1000))),S$1,"""")"),"")</f>
        <v/>
      </c>
      <c r="T543" s="33" t="str">
        <f>IFERROR(__xludf.DUMMYFUNCTION("IF(IF(T$1="""","""",REGEXMATCH(LOWER($E543),XLOOKUP(T$1,Metadata!$A$2:$A1000,Metadata!$B$2:$B1000))),T$1,"""")"),"")</f>
        <v/>
      </c>
      <c r="U543" s="33" t="str">
        <f>IFERROR(__xludf.DUMMYFUNCTION("IF(IF(U$1="""","""",REGEXMATCH(LOWER($E543),XLOOKUP(U$1,Metadata!$A$2:$A1000,Metadata!$B$2:$B1000))),U$1,"""")"),"")</f>
        <v/>
      </c>
      <c r="V543" s="33" t="str">
        <f>IFERROR(__xludf.DUMMYFUNCTION("IF(IF(V$1="""","""",REGEXMATCH(LOWER($E543),XLOOKUP(V$1,Metadata!$A$2:$A1000,Metadata!$B$2:$B1000))),V$1,"""")"),"")</f>
        <v/>
      </c>
      <c r="W543" s="33" t="str">
        <f>IFERROR(__xludf.DUMMYFUNCTION("IF(IF(W$1="""","""",REGEXMATCH(LOWER($E543),XLOOKUP(W$1,Metadata!$A$2:$A1000,Metadata!$B$2:$B1000))),W$1,"""")"),"")</f>
        <v/>
      </c>
      <c r="X543" s="33" t="str">
        <f>IFERROR(__xludf.DUMMYFUNCTION("IF(IF(X$1="""","""",REGEXMATCH(LOWER($E543),XLOOKUP(X$1,Metadata!$A$2:$A1000,Metadata!$B$2:$B1000))),X$1,"""")"),"")</f>
        <v/>
      </c>
      <c r="Y543" s="33" t="str">
        <f>IFERROR(__xludf.DUMMYFUNCTION("IF(IF(Y$1="""","""",REGEXMATCH(LOWER($E543),XLOOKUP(Y$1,Metadata!$A$2:$A1000,Metadata!$B$2:$B1000))),Y$1,"""")"),"")</f>
        <v/>
      </c>
      <c r="Z543" s="33" t="str">
        <f>IFERROR(__xludf.DUMMYFUNCTION("IF(IF(Z$1="""","""",REGEXMATCH(LOWER($E543),XLOOKUP(Z$1,Metadata!$A$2:$A1000,Metadata!$B$2:$B1000))),Z$1,"""")"),"")</f>
        <v/>
      </c>
    </row>
    <row r="544">
      <c r="A544" s="33"/>
      <c r="B544" s="33"/>
      <c r="C544" s="33"/>
      <c r="D544" s="33"/>
      <c r="E544" s="33"/>
      <c r="F544" s="33"/>
      <c r="G544" s="33"/>
      <c r="H544" s="33"/>
      <c r="I544" s="33"/>
      <c r="J544" s="33">
        <f>IFERROR(__xludf.DUMMYFUNCTION("LEN(REGEXREPLACE(XLOOKUP($A544,Cards!$A$2:$A1000,Cards!$H$2:$H1000,""""),"",\s"",""""))"),0.0)</f>
        <v>0</v>
      </c>
      <c r="K544" s="33" t="str">
        <f t="shared" si="1"/>
        <v>               </v>
      </c>
      <c r="L544" s="33" t="str">
        <f>IFERROR(__xludf.DUMMYFUNCTION("IF(IF(L$1="""","""",REGEXMATCH(LOWER($E544),XLOOKUP(L$1,Metadata!$A$2:$A1000,Metadata!$B$2:$B1000))),L$1,"""")"),"")</f>
        <v/>
      </c>
      <c r="M544" s="33" t="str">
        <f>IFERROR(__xludf.DUMMYFUNCTION("IF(IF(M$1="""","""",REGEXMATCH(LOWER($E544),XLOOKUP(M$1,Metadata!$A$2:$A1000,Metadata!$B$2:$B1000))),M$1,"""")"),"")</f>
        <v/>
      </c>
      <c r="N544" s="33" t="str">
        <f>IFERROR(__xludf.DUMMYFUNCTION("IF(IF(N$1="""","""",REGEXMATCH(LOWER($E544),XLOOKUP(N$1,Metadata!$A$2:$A1000,Metadata!$B$2:$B1000))),N$1,"""")"),"")</f>
        <v/>
      </c>
      <c r="O544" s="33" t="str">
        <f>IFERROR(__xludf.DUMMYFUNCTION("IF(IF(O$1="""","""",REGEXMATCH(LOWER($E544),XLOOKUP(O$1,Metadata!$A$2:$A1000,Metadata!$B$2:$B1000))),O$1,"""")"),"")</f>
        <v/>
      </c>
      <c r="P544" s="33" t="str">
        <f>IFERROR(__xludf.DUMMYFUNCTION("IF(IF(P$1="""","""",REGEXMATCH(LOWER($E544),XLOOKUP(P$1,Metadata!$A$2:$A1000,Metadata!$B$2:$B1000))),P$1,"""")"),"")</f>
        <v/>
      </c>
      <c r="Q544" s="33" t="str">
        <f>IFERROR(__xludf.DUMMYFUNCTION("IF(IF(Q$1="""","""",REGEXMATCH(LOWER($E544),XLOOKUP(Q$1,Metadata!$A$2:$A1000,Metadata!$B$2:$B1000))),Q$1,"""")"),"")</f>
        <v/>
      </c>
      <c r="R544" s="33" t="str">
        <f>IFERROR(__xludf.DUMMYFUNCTION("IF(IF(R$1="""","""",REGEXMATCH(LOWER($E544),XLOOKUP(R$1,Metadata!$A$2:$A1000,Metadata!$B$2:$B1000))),R$1,"""")"),"")</f>
        <v/>
      </c>
      <c r="S544" s="33" t="str">
        <f>IFERROR(__xludf.DUMMYFUNCTION("IF(IF(S$1="""","""",REGEXMATCH(LOWER($E544),XLOOKUP(S$1,Metadata!$A$2:$A1000,Metadata!$B$2:$B1000))),S$1,"""")"),"")</f>
        <v/>
      </c>
      <c r="T544" s="33" t="str">
        <f>IFERROR(__xludf.DUMMYFUNCTION("IF(IF(T$1="""","""",REGEXMATCH(LOWER($E544),XLOOKUP(T$1,Metadata!$A$2:$A1000,Metadata!$B$2:$B1000))),T$1,"""")"),"")</f>
        <v/>
      </c>
      <c r="U544" s="33" t="str">
        <f>IFERROR(__xludf.DUMMYFUNCTION("IF(IF(U$1="""","""",REGEXMATCH(LOWER($E544),XLOOKUP(U$1,Metadata!$A$2:$A1000,Metadata!$B$2:$B1000))),U$1,"""")"),"")</f>
        <v/>
      </c>
      <c r="V544" s="33" t="str">
        <f>IFERROR(__xludf.DUMMYFUNCTION("IF(IF(V$1="""","""",REGEXMATCH(LOWER($E544),XLOOKUP(V$1,Metadata!$A$2:$A1000,Metadata!$B$2:$B1000))),V$1,"""")"),"")</f>
        <v/>
      </c>
      <c r="W544" s="33" t="str">
        <f>IFERROR(__xludf.DUMMYFUNCTION("IF(IF(W$1="""","""",REGEXMATCH(LOWER($E544),XLOOKUP(W$1,Metadata!$A$2:$A1000,Metadata!$B$2:$B1000))),W$1,"""")"),"")</f>
        <v/>
      </c>
      <c r="X544" s="33" t="str">
        <f>IFERROR(__xludf.DUMMYFUNCTION("IF(IF(X$1="""","""",REGEXMATCH(LOWER($E544),XLOOKUP(X$1,Metadata!$A$2:$A1000,Metadata!$B$2:$B1000))),X$1,"""")"),"")</f>
        <v/>
      </c>
      <c r="Y544" s="33" t="str">
        <f>IFERROR(__xludf.DUMMYFUNCTION("IF(IF(Y$1="""","""",REGEXMATCH(LOWER($E544),XLOOKUP(Y$1,Metadata!$A$2:$A1000,Metadata!$B$2:$B1000))),Y$1,"""")"),"")</f>
        <v/>
      </c>
      <c r="Z544" s="33" t="str">
        <f>IFERROR(__xludf.DUMMYFUNCTION("IF(IF(Z$1="""","""",REGEXMATCH(LOWER($E544),XLOOKUP(Z$1,Metadata!$A$2:$A1000,Metadata!$B$2:$B1000))),Z$1,"""")"),"")</f>
        <v/>
      </c>
    </row>
    <row r="545">
      <c r="A545" s="33"/>
      <c r="B545" s="33"/>
      <c r="C545" s="33"/>
      <c r="D545" s="33"/>
      <c r="E545" s="33"/>
      <c r="F545" s="33"/>
      <c r="G545" s="33"/>
      <c r="H545" s="33"/>
      <c r="I545" s="33"/>
      <c r="J545" s="33">
        <f>IFERROR(__xludf.DUMMYFUNCTION("LEN(REGEXREPLACE(XLOOKUP($A545,Cards!$A$2:$A1000,Cards!$H$2:$H1000,""""),"",\s"",""""))"),0.0)</f>
        <v>0</v>
      </c>
      <c r="K545" s="33" t="str">
        <f t="shared" si="1"/>
        <v>               </v>
      </c>
      <c r="L545" s="33" t="str">
        <f>IFERROR(__xludf.DUMMYFUNCTION("IF(IF(L$1="""","""",REGEXMATCH(LOWER($E545),XLOOKUP(L$1,Metadata!$A$2:$A1000,Metadata!$B$2:$B1000))),L$1,"""")"),"")</f>
        <v/>
      </c>
      <c r="M545" s="33" t="str">
        <f>IFERROR(__xludf.DUMMYFUNCTION("IF(IF(M$1="""","""",REGEXMATCH(LOWER($E545),XLOOKUP(M$1,Metadata!$A$2:$A1000,Metadata!$B$2:$B1000))),M$1,"""")"),"")</f>
        <v/>
      </c>
      <c r="N545" s="33" t="str">
        <f>IFERROR(__xludf.DUMMYFUNCTION("IF(IF(N$1="""","""",REGEXMATCH(LOWER($E545),XLOOKUP(N$1,Metadata!$A$2:$A1000,Metadata!$B$2:$B1000))),N$1,"""")"),"")</f>
        <v/>
      </c>
      <c r="O545" s="33" t="str">
        <f>IFERROR(__xludf.DUMMYFUNCTION("IF(IF(O$1="""","""",REGEXMATCH(LOWER($E545),XLOOKUP(O$1,Metadata!$A$2:$A1000,Metadata!$B$2:$B1000))),O$1,"""")"),"")</f>
        <v/>
      </c>
      <c r="P545" s="33" t="str">
        <f>IFERROR(__xludf.DUMMYFUNCTION("IF(IF(P$1="""","""",REGEXMATCH(LOWER($E545),XLOOKUP(P$1,Metadata!$A$2:$A1000,Metadata!$B$2:$B1000))),P$1,"""")"),"")</f>
        <v/>
      </c>
      <c r="Q545" s="33" t="str">
        <f>IFERROR(__xludf.DUMMYFUNCTION("IF(IF(Q$1="""","""",REGEXMATCH(LOWER($E545),XLOOKUP(Q$1,Metadata!$A$2:$A1000,Metadata!$B$2:$B1000))),Q$1,"""")"),"")</f>
        <v/>
      </c>
      <c r="R545" s="33" t="str">
        <f>IFERROR(__xludf.DUMMYFUNCTION("IF(IF(R$1="""","""",REGEXMATCH(LOWER($E545),XLOOKUP(R$1,Metadata!$A$2:$A1000,Metadata!$B$2:$B1000))),R$1,"""")"),"")</f>
        <v/>
      </c>
      <c r="S545" s="33" t="str">
        <f>IFERROR(__xludf.DUMMYFUNCTION("IF(IF(S$1="""","""",REGEXMATCH(LOWER($E545),XLOOKUP(S$1,Metadata!$A$2:$A1000,Metadata!$B$2:$B1000))),S$1,"""")"),"")</f>
        <v/>
      </c>
      <c r="T545" s="33" t="str">
        <f>IFERROR(__xludf.DUMMYFUNCTION("IF(IF(T$1="""","""",REGEXMATCH(LOWER($E545),XLOOKUP(T$1,Metadata!$A$2:$A1000,Metadata!$B$2:$B1000))),T$1,"""")"),"")</f>
        <v/>
      </c>
      <c r="U545" s="33" t="str">
        <f>IFERROR(__xludf.DUMMYFUNCTION("IF(IF(U$1="""","""",REGEXMATCH(LOWER($E545),XLOOKUP(U$1,Metadata!$A$2:$A1000,Metadata!$B$2:$B1000))),U$1,"""")"),"")</f>
        <v/>
      </c>
      <c r="V545" s="33" t="str">
        <f>IFERROR(__xludf.DUMMYFUNCTION("IF(IF(V$1="""","""",REGEXMATCH(LOWER($E545),XLOOKUP(V$1,Metadata!$A$2:$A1000,Metadata!$B$2:$B1000))),V$1,"""")"),"")</f>
        <v/>
      </c>
      <c r="W545" s="33" t="str">
        <f>IFERROR(__xludf.DUMMYFUNCTION("IF(IF(W$1="""","""",REGEXMATCH(LOWER($E545),XLOOKUP(W$1,Metadata!$A$2:$A1000,Metadata!$B$2:$B1000))),W$1,"""")"),"")</f>
        <v/>
      </c>
      <c r="X545" s="33" t="str">
        <f>IFERROR(__xludf.DUMMYFUNCTION("IF(IF(X$1="""","""",REGEXMATCH(LOWER($E545),XLOOKUP(X$1,Metadata!$A$2:$A1000,Metadata!$B$2:$B1000))),X$1,"""")"),"")</f>
        <v/>
      </c>
      <c r="Y545" s="33" t="str">
        <f>IFERROR(__xludf.DUMMYFUNCTION("IF(IF(Y$1="""","""",REGEXMATCH(LOWER($E545),XLOOKUP(Y$1,Metadata!$A$2:$A1000,Metadata!$B$2:$B1000))),Y$1,"""")"),"")</f>
        <v/>
      </c>
      <c r="Z545" s="33" t="str">
        <f>IFERROR(__xludf.DUMMYFUNCTION("IF(IF(Z$1="""","""",REGEXMATCH(LOWER($E545),XLOOKUP(Z$1,Metadata!$A$2:$A1000,Metadata!$B$2:$B1000))),Z$1,"""")"),"")</f>
        <v/>
      </c>
    </row>
    <row r="546">
      <c r="A546" s="33"/>
      <c r="B546" s="33"/>
      <c r="C546" s="33"/>
      <c r="D546" s="33"/>
      <c r="E546" s="33"/>
      <c r="F546" s="33"/>
      <c r="G546" s="33"/>
      <c r="H546" s="33"/>
      <c r="I546" s="33"/>
      <c r="J546" s="33">
        <f>IFERROR(__xludf.DUMMYFUNCTION("LEN(REGEXREPLACE(XLOOKUP($A546,Cards!$A$2:$A1000,Cards!$H$2:$H1000,""""),"",\s"",""""))"),0.0)</f>
        <v>0</v>
      </c>
      <c r="K546" s="33" t="str">
        <f t="shared" si="1"/>
        <v>               </v>
      </c>
      <c r="L546" s="33" t="str">
        <f>IFERROR(__xludf.DUMMYFUNCTION("IF(IF(L$1="""","""",REGEXMATCH(LOWER($E546),XLOOKUP(L$1,Metadata!$A$2:$A1000,Metadata!$B$2:$B1000))),L$1,"""")"),"")</f>
        <v/>
      </c>
      <c r="M546" s="33" t="str">
        <f>IFERROR(__xludf.DUMMYFUNCTION("IF(IF(M$1="""","""",REGEXMATCH(LOWER($E546),XLOOKUP(M$1,Metadata!$A$2:$A1000,Metadata!$B$2:$B1000))),M$1,"""")"),"")</f>
        <v/>
      </c>
      <c r="N546" s="33" t="str">
        <f>IFERROR(__xludf.DUMMYFUNCTION("IF(IF(N$1="""","""",REGEXMATCH(LOWER($E546),XLOOKUP(N$1,Metadata!$A$2:$A1000,Metadata!$B$2:$B1000))),N$1,"""")"),"")</f>
        <v/>
      </c>
      <c r="O546" s="33" t="str">
        <f>IFERROR(__xludf.DUMMYFUNCTION("IF(IF(O$1="""","""",REGEXMATCH(LOWER($E546),XLOOKUP(O$1,Metadata!$A$2:$A1000,Metadata!$B$2:$B1000))),O$1,"""")"),"")</f>
        <v/>
      </c>
      <c r="P546" s="33" t="str">
        <f>IFERROR(__xludf.DUMMYFUNCTION("IF(IF(P$1="""","""",REGEXMATCH(LOWER($E546),XLOOKUP(P$1,Metadata!$A$2:$A1000,Metadata!$B$2:$B1000))),P$1,"""")"),"")</f>
        <v/>
      </c>
      <c r="Q546" s="33" t="str">
        <f>IFERROR(__xludf.DUMMYFUNCTION("IF(IF(Q$1="""","""",REGEXMATCH(LOWER($E546),XLOOKUP(Q$1,Metadata!$A$2:$A1000,Metadata!$B$2:$B1000))),Q$1,"""")"),"")</f>
        <v/>
      </c>
      <c r="R546" s="33" t="str">
        <f>IFERROR(__xludf.DUMMYFUNCTION("IF(IF(R$1="""","""",REGEXMATCH(LOWER($E546),XLOOKUP(R$1,Metadata!$A$2:$A1000,Metadata!$B$2:$B1000))),R$1,"""")"),"")</f>
        <v/>
      </c>
      <c r="S546" s="33" t="str">
        <f>IFERROR(__xludf.DUMMYFUNCTION("IF(IF(S$1="""","""",REGEXMATCH(LOWER($E546),XLOOKUP(S$1,Metadata!$A$2:$A1000,Metadata!$B$2:$B1000))),S$1,"""")"),"")</f>
        <v/>
      </c>
      <c r="T546" s="33" t="str">
        <f>IFERROR(__xludf.DUMMYFUNCTION("IF(IF(T$1="""","""",REGEXMATCH(LOWER($E546),XLOOKUP(T$1,Metadata!$A$2:$A1000,Metadata!$B$2:$B1000))),T$1,"""")"),"")</f>
        <v/>
      </c>
      <c r="U546" s="33" t="str">
        <f>IFERROR(__xludf.DUMMYFUNCTION("IF(IF(U$1="""","""",REGEXMATCH(LOWER($E546),XLOOKUP(U$1,Metadata!$A$2:$A1000,Metadata!$B$2:$B1000))),U$1,"""")"),"")</f>
        <v/>
      </c>
      <c r="V546" s="33" t="str">
        <f>IFERROR(__xludf.DUMMYFUNCTION("IF(IF(V$1="""","""",REGEXMATCH(LOWER($E546),XLOOKUP(V$1,Metadata!$A$2:$A1000,Metadata!$B$2:$B1000))),V$1,"""")"),"")</f>
        <v/>
      </c>
      <c r="W546" s="33" t="str">
        <f>IFERROR(__xludf.DUMMYFUNCTION("IF(IF(W$1="""","""",REGEXMATCH(LOWER($E546),XLOOKUP(W$1,Metadata!$A$2:$A1000,Metadata!$B$2:$B1000))),W$1,"""")"),"")</f>
        <v/>
      </c>
      <c r="X546" s="33" t="str">
        <f>IFERROR(__xludf.DUMMYFUNCTION("IF(IF(X$1="""","""",REGEXMATCH(LOWER($E546),XLOOKUP(X$1,Metadata!$A$2:$A1000,Metadata!$B$2:$B1000))),X$1,"""")"),"")</f>
        <v/>
      </c>
      <c r="Y546" s="33" t="str">
        <f>IFERROR(__xludf.DUMMYFUNCTION("IF(IF(Y$1="""","""",REGEXMATCH(LOWER($E546),XLOOKUP(Y$1,Metadata!$A$2:$A1000,Metadata!$B$2:$B1000))),Y$1,"""")"),"")</f>
        <v/>
      </c>
      <c r="Z546" s="33" t="str">
        <f>IFERROR(__xludf.DUMMYFUNCTION("IF(IF(Z$1="""","""",REGEXMATCH(LOWER($E546),XLOOKUP(Z$1,Metadata!$A$2:$A1000,Metadata!$B$2:$B1000))),Z$1,"""")"),"")</f>
        <v/>
      </c>
    </row>
    <row r="547">
      <c r="A547" s="33"/>
      <c r="B547" s="33"/>
      <c r="C547" s="33"/>
      <c r="D547" s="33"/>
      <c r="E547" s="33"/>
      <c r="F547" s="33"/>
      <c r="G547" s="33"/>
      <c r="H547" s="33"/>
      <c r="I547" s="33"/>
      <c r="J547" s="33"/>
      <c r="K547" s="33"/>
      <c r="L547" s="33" t="str">
        <f>IFERROR(__xludf.DUMMYFUNCTION("IF(IF(L$1="""","""",REGEXMATCH(LOWER($E547),XLOOKUP(L$1,Metadata!$A$2:$A1000,Metadata!$B$2:$B1000))),L$1,"""")"),"")</f>
        <v/>
      </c>
      <c r="M547" s="33" t="str">
        <f>IFERROR(__xludf.DUMMYFUNCTION("IF(IF(M$1="""","""",REGEXMATCH(LOWER($E547),XLOOKUP(M$1,Metadata!$A$2:$A1000,Metadata!$B$2:$B1000))),M$1,"""")"),"")</f>
        <v/>
      </c>
      <c r="N547" s="33" t="str">
        <f>IFERROR(__xludf.DUMMYFUNCTION("IF(IF(N$1="""","""",REGEXMATCH(LOWER($E547),XLOOKUP(N$1,Metadata!$A$2:$A1000,Metadata!$B$2:$B1000))),N$1,"""")"),"")</f>
        <v/>
      </c>
      <c r="O547" s="33" t="str">
        <f>IFERROR(__xludf.DUMMYFUNCTION("IF(IF(O$1="""","""",REGEXMATCH(LOWER($E547),XLOOKUP(O$1,Metadata!$A$2:$A1000,Metadata!$B$2:$B1000))),O$1,"""")"),"")</f>
        <v/>
      </c>
      <c r="P547" s="33" t="str">
        <f>IFERROR(__xludf.DUMMYFUNCTION("IF(IF(P$1="""","""",REGEXMATCH(LOWER($E547),XLOOKUP(P$1,Metadata!$A$2:$A1000,Metadata!$B$2:$B1000))),P$1,"""")"),"")</f>
        <v/>
      </c>
      <c r="Q547" s="33" t="str">
        <f>IFERROR(__xludf.DUMMYFUNCTION("IF(IF(Q$1="""","""",REGEXMATCH(LOWER($E547),XLOOKUP(Q$1,Metadata!$A$2:$A1000,Metadata!$B$2:$B1000))),Q$1,"""")"),"")</f>
        <v/>
      </c>
      <c r="R547" s="33" t="str">
        <f>IFERROR(__xludf.DUMMYFUNCTION("IF(IF(R$1="""","""",REGEXMATCH(LOWER($E547),XLOOKUP(R$1,Metadata!$A$2:$A1000,Metadata!$B$2:$B1000))),R$1,"""")"),"")</f>
        <v/>
      </c>
      <c r="S547" s="33" t="str">
        <f>IFERROR(__xludf.DUMMYFUNCTION("IF(IF(S$1="""","""",REGEXMATCH(LOWER($E547),XLOOKUP(S$1,Metadata!$A$2:$A1000,Metadata!$B$2:$B1000))),S$1,"""")"),"")</f>
        <v/>
      </c>
      <c r="T547" s="33" t="str">
        <f>IFERROR(__xludf.DUMMYFUNCTION("IF(IF(T$1="""","""",REGEXMATCH(LOWER($E547),XLOOKUP(T$1,Metadata!$A$2:$A1000,Metadata!$B$2:$B1000))),T$1,"""")"),"")</f>
        <v/>
      </c>
      <c r="U547" s="33" t="str">
        <f>IFERROR(__xludf.DUMMYFUNCTION("IF(IF(U$1="""","""",REGEXMATCH(LOWER($E547),XLOOKUP(U$1,Metadata!$A$2:$A1000,Metadata!$B$2:$B1000))),U$1,"""")"),"")</f>
        <v/>
      </c>
      <c r="V547" s="33" t="str">
        <f>IFERROR(__xludf.DUMMYFUNCTION("IF(IF(V$1="""","""",REGEXMATCH(LOWER($E547),XLOOKUP(V$1,Metadata!$A$2:$A1000,Metadata!$B$2:$B1000))),V$1,"""")"),"")</f>
        <v/>
      </c>
      <c r="W547" s="33" t="str">
        <f>IFERROR(__xludf.DUMMYFUNCTION("IF(IF(W$1="""","""",REGEXMATCH(LOWER($E547),XLOOKUP(W$1,Metadata!$A$2:$A1000,Metadata!$B$2:$B1000))),W$1,"""")"),"")</f>
        <v/>
      </c>
      <c r="X547" s="33" t="str">
        <f>IFERROR(__xludf.DUMMYFUNCTION("IF(IF(X$1="""","""",REGEXMATCH(LOWER($E547),XLOOKUP(X$1,Metadata!$A$2:$A1000,Metadata!$B$2:$B1000))),X$1,"""")"),"")</f>
        <v/>
      </c>
      <c r="Y547" s="33" t="str">
        <f>IFERROR(__xludf.DUMMYFUNCTION("IF(IF(Y$1="""","""",REGEXMATCH(LOWER($E547),XLOOKUP(Y$1,Metadata!$A$2:$A1000,Metadata!$B$2:$B1000))),Y$1,"""")"),"")</f>
        <v/>
      </c>
      <c r="Z547" s="33" t="str">
        <f>IFERROR(__xludf.DUMMYFUNCTION("IF(IF(Z$1="""","""",REGEXMATCH(LOWER($E547),XLOOKUP(Z$1,Metadata!$A$2:$A1000,Metadata!$B$2:$B1000))),Z$1,"""")"),"")</f>
        <v/>
      </c>
    </row>
    <row r="548">
      <c r="A548" s="33"/>
      <c r="B548" s="33"/>
      <c r="C548" s="33"/>
      <c r="D548" s="33"/>
      <c r="E548" s="33"/>
      <c r="F548" s="33"/>
      <c r="G548" s="33"/>
      <c r="H548" s="33"/>
      <c r="I548" s="33"/>
      <c r="J548" s="33"/>
      <c r="K548" s="33"/>
      <c r="L548" s="33" t="str">
        <f>IFERROR(__xludf.DUMMYFUNCTION("IF(IF(L$1="""","""",REGEXMATCH(LOWER($E548),XLOOKUP(L$1,Metadata!$A$2:$A1000,Metadata!$B$2:$B1000))),L$1,"""")"),"")</f>
        <v/>
      </c>
      <c r="M548" s="33" t="str">
        <f>IFERROR(__xludf.DUMMYFUNCTION("IF(IF(M$1="""","""",REGEXMATCH(LOWER($E548),XLOOKUP(M$1,Metadata!$A$2:$A1000,Metadata!$B$2:$B1000))),M$1,"""")"),"")</f>
        <v/>
      </c>
      <c r="N548" s="33" t="str">
        <f>IFERROR(__xludf.DUMMYFUNCTION("IF(IF(N$1="""","""",REGEXMATCH(LOWER($E548),XLOOKUP(N$1,Metadata!$A$2:$A1000,Metadata!$B$2:$B1000))),N$1,"""")"),"")</f>
        <v/>
      </c>
      <c r="O548" s="33" t="str">
        <f>IFERROR(__xludf.DUMMYFUNCTION("IF(IF(O$1="""","""",REGEXMATCH(LOWER($E548),XLOOKUP(O$1,Metadata!$A$2:$A1000,Metadata!$B$2:$B1000))),O$1,"""")"),"")</f>
        <v/>
      </c>
      <c r="P548" s="33" t="str">
        <f>IFERROR(__xludf.DUMMYFUNCTION("IF(IF(P$1="""","""",REGEXMATCH(LOWER($E548),XLOOKUP(P$1,Metadata!$A$2:$A1000,Metadata!$B$2:$B1000))),P$1,"""")"),"")</f>
        <v/>
      </c>
      <c r="Q548" s="33" t="str">
        <f>IFERROR(__xludf.DUMMYFUNCTION("IF(IF(Q$1="""","""",REGEXMATCH(LOWER($E548),XLOOKUP(Q$1,Metadata!$A$2:$A1000,Metadata!$B$2:$B1000))),Q$1,"""")"),"")</f>
        <v/>
      </c>
      <c r="R548" s="33" t="str">
        <f>IFERROR(__xludf.DUMMYFUNCTION("IF(IF(R$1="""","""",REGEXMATCH(LOWER($E548),XLOOKUP(R$1,Metadata!$A$2:$A1000,Metadata!$B$2:$B1000))),R$1,"""")"),"")</f>
        <v/>
      </c>
      <c r="S548" s="33" t="str">
        <f>IFERROR(__xludf.DUMMYFUNCTION("IF(IF(S$1="""","""",REGEXMATCH(LOWER($E548),XLOOKUP(S$1,Metadata!$A$2:$A1000,Metadata!$B$2:$B1000))),S$1,"""")"),"")</f>
        <v/>
      </c>
      <c r="T548" s="33" t="str">
        <f>IFERROR(__xludf.DUMMYFUNCTION("IF(IF(T$1="""","""",REGEXMATCH(LOWER($E548),XLOOKUP(T$1,Metadata!$A$2:$A1000,Metadata!$B$2:$B1000))),T$1,"""")"),"")</f>
        <v/>
      </c>
      <c r="U548" s="33" t="str">
        <f>IFERROR(__xludf.DUMMYFUNCTION("IF(IF(U$1="""","""",REGEXMATCH(LOWER($E548),XLOOKUP(U$1,Metadata!$A$2:$A1000,Metadata!$B$2:$B1000))),U$1,"""")"),"")</f>
        <v/>
      </c>
      <c r="V548" s="33" t="str">
        <f>IFERROR(__xludf.DUMMYFUNCTION("IF(IF(V$1="""","""",REGEXMATCH(LOWER($E548),XLOOKUP(V$1,Metadata!$A$2:$A1000,Metadata!$B$2:$B1000))),V$1,"""")"),"")</f>
        <v/>
      </c>
      <c r="W548" s="33" t="str">
        <f>IFERROR(__xludf.DUMMYFUNCTION("IF(IF(W$1="""","""",REGEXMATCH(LOWER($E548),XLOOKUP(W$1,Metadata!$A$2:$A1000,Metadata!$B$2:$B1000))),W$1,"""")"),"")</f>
        <v/>
      </c>
      <c r="X548" s="33" t="str">
        <f>IFERROR(__xludf.DUMMYFUNCTION("IF(IF(X$1="""","""",REGEXMATCH(LOWER($E548),XLOOKUP(X$1,Metadata!$A$2:$A1000,Metadata!$B$2:$B1000))),X$1,"""")"),"")</f>
        <v/>
      </c>
      <c r="Y548" s="33" t="str">
        <f>IFERROR(__xludf.DUMMYFUNCTION("IF(IF(Y$1="""","""",REGEXMATCH(LOWER($E548),XLOOKUP(Y$1,Metadata!$A$2:$A1000,Metadata!$B$2:$B1000))),Y$1,"""")"),"")</f>
        <v/>
      </c>
      <c r="Z548" s="33" t="str">
        <f>IFERROR(__xludf.DUMMYFUNCTION("IF(IF(Z$1="""","""",REGEXMATCH(LOWER($E548),XLOOKUP(Z$1,Metadata!$A$2:$A1000,Metadata!$B$2:$B1000))),Z$1,"""")"),"")</f>
        <v/>
      </c>
    </row>
    <row r="549">
      <c r="A549" s="33"/>
      <c r="B549" s="33"/>
      <c r="C549" s="33"/>
      <c r="D549" s="33"/>
      <c r="E549" s="33"/>
      <c r="F549" s="33"/>
      <c r="G549" s="33"/>
      <c r="H549" s="33"/>
      <c r="I549" s="33"/>
      <c r="J549" s="33"/>
      <c r="K549" s="33"/>
      <c r="L549" s="33" t="str">
        <f>IFERROR(__xludf.DUMMYFUNCTION("IF(IF(L$1="""","""",REGEXMATCH(LOWER($E549),XLOOKUP(L$1,Metadata!$A$2:$A1000,Metadata!$B$2:$B1000))),L$1,"""")"),"")</f>
        <v/>
      </c>
      <c r="M549" s="33" t="str">
        <f>IFERROR(__xludf.DUMMYFUNCTION("IF(IF(M$1="""","""",REGEXMATCH(LOWER($E549),XLOOKUP(M$1,Metadata!$A$2:$A1000,Metadata!$B$2:$B1000))),M$1,"""")"),"")</f>
        <v/>
      </c>
      <c r="N549" s="33" t="str">
        <f>IFERROR(__xludf.DUMMYFUNCTION("IF(IF(N$1="""","""",REGEXMATCH(LOWER($E549),XLOOKUP(N$1,Metadata!$A$2:$A1000,Metadata!$B$2:$B1000))),N$1,"""")"),"")</f>
        <v/>
      </c>
      <c r="O549" s="33" t="str">
        <f>IFERROR(__xludf.DUMMYFUNCTION("IF(IF(O$1="""","""",REGEXMATCH(LOWER($E549),XLOOKUP(O$1,Metadata!$A$2:$A1000,Metadata!$B$2:$B1000))),O$1,"""")"),"")</f>
        <v/>
      </c>
      <c r="P549" s="33" t="str">
        <f>IFERROR(__xludf.DUMMYFUNCTION("IF(IF(P$1="""","""",REGEXMATCH(LOWER($E549),XLOOKUP(P$1,Metadata!$A$2:$A1000,Metadata!$B$2:$B1000))),P$1,"""")"),"")</f>
        <v/>
      </c>
      <c r="Q549" s="33" t="str">
        <f>IFERROR(__xludf.DUMMYFUNCTION("IF(IF(Q$1="""","""",REGEXMATCH(LOWER($E549),XLOOKUP(Q$1,Metadata!$A$2:$A1000,Metadata!$B$2:$B1000))),Q$1,"""")"),"")</f>
        <v/>
      </c>
      <c r="R549" s="33" t="str">
        <f>IFERROR(__xludf.DUMMYFUNCTION("IF(IF(R$1="""","""",REGEXMATCH(LOWER($E549),XLOOKUP(R$1,Metadata!$A$2:$A1000,Metadata!$B$2:$B1000))),R$1,"""")"),"")</f>
        <v/>
      </c>
      <c r="S549" s="33" t="str">
        <f>IFERROR(__xludf.DUMMYFUNCTION("IF(IF(S$1="""","""",REGEXMATCH(LOWER($E549),XLOOKUP(S$1,Metadata!$A$2:$A1000,Metadata!$B$2:$B1000))),S$1,"""")"),"")</f>
        <v/>
      </c>
      <c r="T549" s="33" t="str">
        <f>IFERROR(__xludf.DUMMYFUNCTION("IF(IF(T$1="""","""",REGEXMATCH(LOWER($E549),XLOOKUP(T$1,Metadata!$A$2:$A1000,Metadata!$B$2:$B1000))),T$1,"""")"),"")</f>
        <v/>
      </c>
      <c r="U549" s="33" t="str">
        <f>IFERROR(__xludf.DUMMYFUNCTION("IF(IF(U$1="""","""",REGEXMATCH(LOWER($E549),XLOOKUP(U$1,Metadata!$A$2:$A1000,Metadata!$B$2:$B1000))),U$1,"""")"),"")</f>
        <v/>
      </c>
      <c r="V549" s="33" t="str">
        <f>IFERROR(__xludf.DUMMYFUNCTION("IF(IF(V$1="""","""",REGEXMATCH(LOWER($E549),XLOOKUP(V$1,Metadata!$A$2:$A1000,Metadata!$B$2:$B1000))),V$1,"""")"),"")</f>
        <v/>
      </c>
      <c r="W549" s="33" t="str">
        <f>IFERROR(__xludf.DUMMYFUNCTION("IF(IF(W$1="""","""",REGEXMATCH(LOWER($E549),XLOOKUP(W$1,Metadata!$A$2:$A1000,Metadata!$B$2:$B1000))),W$1,"""")"),"")</f>
        <v/>
      </c>
      <c r="X549" s="33" t="str">
        <f>IFERROR(__xludf.DUMMYFUNCTION("IF(IF(X$1="""","""",REGEXMATCH(LOWER($E549),XLOOKUP(X$1,Metadata!$A$2:$A1000,Metadata!$B$2:$B1000))),X$1,"""")"),"")</f>
        <v/>
      </c>
      <c r="Y549" s="33" t="str">
        <f>IFERROR(__xludf.DUMMYFUNCTION("IF(IF(Y$1="""","""",REGEXMATCH(LOWER($E549),XLOOKUP(Y$1,Metadata!$A$2:$A1000,Metadata!$B$2:$B1000))),Y$1,"""")"),"")</f>
        <v/>
      </c>
      <c r="Z549" s="33" t="str">
        <f>IFERROR(__xludf.DUMMYFUNCTION("IF(IF(Z$1="""","""",REGEXMATCH(LOWER($E549),XLOOKUP(Z$1,Metadata!$A$2:$A1000,Metadata!$B$2:$B1000))),Z$1,"""")"),"")</f>
        <v/>
      </c>
    </row>
    <row r="550">
      <c r="A550" s="33"/>
      <c r="B550" s="33"/>
      <c r="C550" s="33"/>
      <c r="D550" s="33"/>
      <c r="E550" s="33"/>
      <c r="F550" s="33"/>
      <c r="G550" s="33"/>
      <c r="H550" s="33"/>
      <c r="I550" s="33"/>
      <c r="J550" s="33"/>
      <c r="K550" s="33"/>
      <c r="L550" s="33" t="str">
        <f>IFERROR(__xludf.DUMMYFUNCTION("IF(IF(L$1="""","""",REGEXMATCH(LOWER($E550),XLOOKUP(L$1,Metadata!$A$2:$A1000,Metadata!$B$2:$B1000))),L$1,"""")"),"")</f>
        <v/>
      </c>
      <c r="M550" s="33" t="str">
        <f>IFERROR(__xludf.DUMMYFUNCTION("IF(IF(M$1="""","""",REGEXMATCH(LOWER($E550),XLOOKUP(M$1,Metadata!$A$2:$A1000,Metadata!$B$2:$B1000))),M$1,"""")"),"")</f>
        <v/>
      </c>
      <c r="N550" s="33" t="str">
        <f>IFERROR(__xludf.DUMMYFUNCTION("IF(IF(N$1="""","""",REGEXMATCH(LOWER($E550),XLOOKUP(N$1,Metadata!$A$2:$A1000,Metadata!$B$2:$B1000))),N$1,"""")"),"")</f>
        <v/>
      </c>
      <c r="O550" s="33" t="str">
        <f>IFERROR(__xludf.DUMMYFUNCTION("IF(IF(O$1="""","""",REGEXMATCH(LOWER($E550),XLOOKUP(O$1,Metadata!$A$2:$A1000,Metadata!$B$2:$B1000))),O$1,"""")"),"")</f>
        <v/>
      </c>
      <c r="P550" s="33" t="str">
        <f>IFERROR(__xludf.DUMMYFUNCTION("IF(IF(P$1="""","""",REGEXMATCH(LOWER($E550),XLOOKUP(P$1,Metadata!$A$2:$A1000,Metadata!$B$2:$B1000))),P$1,"""")"),"")</f>
        <v/>
      </c>
      <c r="Q550" s="33" t="str">
        <f>IFERROR(__xludf.DUMMYFUNCTION("IF(IF(Q$1="""","""",REGEXMATCH(LOWER($E550),XLOOKUP(Q$1,Metadata!$A$2:$A1000,Metadata!$B$2:$B1000))),Q$1,"""")"),"")</f>
        <v/>
      </c>
      <c r="R550" s="33" t="str">
        <f>IFERROR(__xludf.DUMMYFUNCTION("IF(IF(R$1="""","""",REGEXMATCH(LOWER($E550),XLOOKUP(R$1,Metadata!$A$2:$A1000,Metadata!$B$2:$B1000))),R$1,"""")"),"")</f>
        <v/>
      </c>
      <c r="S550" s="33" t="str">
        <f>IFERROR(__xludf.DUMMYFUNCTION("IF(IF(S$1="""","""",REGEXMATCH(LOWER($E550),XLOOKUP(S$1,Metadata!$A$2:$A1000,Metadata!$B$2:$B1000))),S$1,"""")"),"")</f>
        <v/>
      </c>
      <c r="T550" s="33" t="str">
        <f>IFERROR(__xludf.DUMMYFUNCTION("IF(IF(T$1="""","""",REGEXMATCH(LOWER($E550),XLOOKUP(T$1,Metadata!$A$2:$A1000,Metadata!$B$2:$B1000))),T$1,"""")"),"")</f>
        <v/>
      </c>
      <c r="U550" s="33" t="str">
        <f>IFERROR(__xludf.DUMMYFUNCTION("IF(IF(U$1="""","""",REGEXMATCH(LOWER($E550),XLOOKUP(U$1,Metadata!$A$2:$A1000,Metadata!$B$2:$B1000))),U$1,"""")"),"")</f>
        <v/>
      </c>
      <c r="V550" s="33" t="str">
        <f>IFERROR(__xludf.DUMMYFUNCTION("IF(IF(V$1="""","""",REGEXMATCH(LOWER($E550),XLOOKUP(V$1,Metadata!$A$2:$A1000,Metadata!$B$2:$B1000))),V$1,"""")"),"")</f>
        <v/>
      </c>
      <c r="W550" s="33" t="str">
        <f>IFERROR(__xludf.DUMMYFUNCTION("IF(IF(W$1="""","""",REGEXMATCH(LOWER($E550),XLOOKUP(W$1,Metadata!$A$2:$A1000,Metadata!$B$2:$B1000))),W$1,"""")"),"")</f>
        <v/>
      </c>
      <c r="X550" s="33" t="str">
        <f>IFERROR(__xludf.DUMMYFUNCTION("IF(IF(X$1="""","""",REGEXMATCH(LOWER($E550),XLOOKUP(X$1,Metadata!$A$2:$A1000,Metadata!$B$2:$B1000))),X$1,"""")"),"")</f>
        <v/>
      </c>
      <c r="Y550" s="33" t="str">
        <f>IFERROR(__xludf.DUMMYFUNCTION("IF(IF(Y$1="""","""",REGEXMATCH(LOWER($E550),XLOOKUP(Y$1,Metadata!$A$2:$A1000,Metadata!$B$2:$B1000))),Y$1,"""")"),"")</f>
        <v/>
      </c>
      <c r="Z550" s="33" t="str">
        <f>IFERROR(__xludf.DUMMYFUNCTION("IF(IF(Z$1="""","""",REGEXMATCH(LOWER($E550),XLOOKUP(Z$1,Metadata!$A$2:$A1000,Metadata!$B$2:$B1000))),Z$1,"""")"),"")</f>
        <v/>
      </c>
    </row>
    <row r="551">
      <c r="A551" s="33"/>
      <c r="B551" s="33"/>
      <c r="C551" s="33"/>
      <c r="D551" s="33"/>
      <c r="E551" s="33"/>
      <c r="F551" s="33"/>
      <c r="G551" s="33"/>
      <c r="H551" s="33"/>
      <c r="I551" s="33"/>
      <c r="J551" s="33"/>
      <c r="K551" s="33"/>
      <c r="L551" s="33" t="str">
        <f>IFERROR(__xludf.DUMMYFUNCTION("IF(IF(L$1="""","""",REGEXMATCH(LOWER($E551),XLOOKUP(L$1,Metadata!$A$2:$A1000,Metadata!$B$2:$B1000))),L$1,"""")"),"")</f>
        <v/>
      </c>
      <c r="M551" s="33" t="str">
        <f>IFERROR(__xludf.DUMMYFUNCTION("IF(IF(M$1="""","""",REGEXMATCH(LOWER($E551),XLOOKUP(M$1,Metadata!$A$2:$A1000,Metadata!$B$2:$B1000))),M$1,"""")"),"")</f>
        <v/>
      </c>
      <c r="N551" s="33" t="str">
        <f>IFERROR(__xludf.DUMMYFUNCTION("IF(IF(N$1="""","""",REGEXMATCH(LOWER($E551),XLOOKUP(N$1,Metadata!$A$2:$A1000,Metadata!$B$2:$B1000))),N$1,"""")"),"")</f>
        <v/>
      </c>
      <c r="O551" s="33" t="str">
        <f>IFERROR(__xludf.DUMMYFUNCTION("IF(IF(O$1="""","""",REGEXMATCH(LOWER($E551),XLOOKUP(O$1,Metadata!$A$2:$A1000,Metadata!$B$2:$B1000))),O$1,"""")"),"")</f>
        <v/>
      </c>
      <c r="P551" s="33" t="str">
        <f>IFERROR(__xludf.DUMMYFUNCTION("IF(IF(P$1="""","""",REGEXMATCH(LOWER($E551),XLOOKUP(P$1,Metadata!$A$2:$A1000,Metadata!$B$2:$B1000))),P$1,"""")"),"")</f>
        <v/>
      </c>
      <c r="Q551" s="33" t="str">
        <f>IFERROR(__xludf.DUMMYFUNCTION("IF(IF(Q$1="""","""",REGEXMATCH(LOWER($E551),XLOOKUP(Q$1,Metadata!$A$2:$A1000,Metadata!$B$2:$B1000))),Q$1,"""")"),"")</f>
        <v/>
      </c>
      <c r="R551" s="33" t="str">
        <f>IFERROR(__xludf.DUMMYFUNCTION("IF(IF(R$1="""","""",REGEXMATCH(LOWER($E551),XLOOKUP(R$1,Metadata!$A$2:$A1000,Metadata!$B$2:$B1000))),R$1,"""")"),"")</f>
        <v/>
      </c>
      <c r="S551" s="33" t="str">
        <f>IFERROR(__xludf.DUMMYFUNCTION("IF(IF(S$1="""","""",REGEXMATCH(LOWER($E551),XLOOKUP(S$1,Metadata!$A$2:$A1000,Metadata!$B$2:$B1000))),S$1,"""")"),"")</f>
        <v/>
      </c>
      <c r="T551" s="33" t="str">
        <f>IFERROR(__xludf.DUMMYFUNCTION("IF(IF(T$1="""","""",REGEXMATCH(LOWER($E551),XLOOKUP(T$1,Metadata!$A$2:$A1000,Metadata!$B$2:$B1000))),T$1,"""")"),"")</f>
        <v/>
      </c>
      <c r="U551" s="33" t="str">
        <f>IFERROR(__xludf.DUMMYFUNCTION("IF(IF(U$1="""","""",REGEXMATCH(LOWER($E551),XLOOKUP(U$1,Metadata!$A$2:$A1000,Metadata!$B$2:$B1000))),U$1,"""")"),"")</f>
        <v/>
      </c>
      <c r="V551" s="33" t="str">
        <f>IFERROR(__xludf.DUMMYFUNCTION("IF(IF(V$1="""","""",REGEXMATCH(LOWER($E551),XLOOKUP(V$1,Metadata!$A$2:$A1000,Metadata!$B$2:$B1000))),V$1,"""")"),"")</f>
        <v/>
      </c>
      <c r="W551" s="33" t="str">
        <f>IFERROR(__xludf.DUMMYFUNCTION("IF(IF(W$1="""","""",REGEXMATCH(LOWER($E551),XLOOKUP(W$1,Metadata!$A$2:$A1000,Metadata!$B$2:$B1000))),W$1,"""")"),"")</f>
        <v/>
      </c>
      <c r="X551" s="33" t="str">
        <f>IFERROR(__xludf.DUMMYFUNCTION("IF(IF(X$1="""","""",REGEXMATCH(LOWER($E551),XLOOKUP(X$1,Metadata!$A$2:$A1000,Metadata!$B$2:$B1000))),X$1,"""")"),"")</f>
        <v/>
      </c>
      <c r="Y551" s="33" t="str">
        <f>IFERROR(__xludf.DUMMYFUNCTION("IF(IF(Y$1="""","""",REGEXMATCH(LOWER($E551),XLOOKUP(Y$1,Metadata!$A$2:$A1000,Metadata!$B$2:$B1000))),Y$1,"""")"),"")</f>
        <v/>
      </c>
      <c r="Z551" s="33" t="str">
        <f>IFERROR(__xludf.DUMMYFUNCTION("IF(IF(Z$1="""","""",REGEXMATCH(LOWER($E551),XLOOKUP(Z$1,Metadata!$A$2:$A1000,Metadata!$B$2:$B1000))),Z$1,"""")"),"")</f>
        <v/>
      </c>
    </row>
    <row r="552">
      <c r="A552" s="33"/>
      <c r="B552" s="33"/>
      <c r="C552" s="33"/>
      <c r="D552" s="33"/>
      <c r="E552" s="33"/>
      <c r="F552" s="33"/>
      <c r="G552" s="33"/>
      <c r="H552" s="33"/>
      <c r="I552" s="33"/>
      <c r="J552" s="33"/>
      <c r="K552" s="33"/>
      <c r="L552" s="33" t="str">
        <f>IFERROR(__xludf.DUMMYFUNCTION("IF(IF(L$1="""","""",REGEXMATCH(LOWER($E552),XLOOKUP(L$1,Metadata!$A$2:$A1000,Metadata!$B$2:$B1000))),L$1,"""")"),"")</f>
        <v/>
      </c>
      <c r="M552" s="33" t="str">
        <f>IFERROR(__xludf.DUMMYFUNCTION("IF(IF(M$1="""","""",REGEXMATCH(LOWER($E552),XLOOKUP(M$1,Metadata!$A$2:$A1000,Metadata!$B$2:$B1000))),M$1,"""")"),"")</f>
        <v/>
      </c>
      <c r="N552" s="33" t="str">
        <f>IFERROR(__xludf.DUMMYFUNCTION("IF(IF(N$1="""","""",REGEXMATCH(LOWER($E552),XLOOKUP(N$1,Metadata!$A$2:$A1000,Metadata!$B$2:$B1000))),N$1,"""")"),"")</f>
        <v/>
      </c>
      <c r="O552" s="33" t="str">
        <f>IFERROR(__xludf.DUMMYFUNCTION("IF(IF(O$1="""","""",REGEXMATCH(LOWER($E552),XLOOKUP(O$1,Metadata!$A$2:$A1000,Metadata!$B$2:$B1000))),O$1,"""")"),"")</f>
        <v/>
      </c>
      <c r="P552" s="33" t="str">
        <f>IFERROR(__xludf.DUMMYFUNCTION("IF(IF(P$1="""","""",REGEXMATCH(LOWER($E552),XLOOKUP(P$1,Metadata!$A$2:$A1000,Metadata!$B$2:$B1000))),P$1,"""")"),"")</f>
        <v/>
      </c>
      <c r="Q552" s="33" t="str">
        <f>IFERROR(__xludf.DUMMYFUNCTION("IF(IF(Q$1="""","""",REGEXMATCH(LOWER($E552),XLOOKUP(Q$1,Metadata!$A$2:$A1000,Metadata!$B$2:$B1000))),Q$1,"""")"),"")</f>
        <v/>
      </c>
      <c r="R552" s="33" t="str">
        <f>IFERROR(__xludf.DUMMYFUNCTION("IF(IF(R$1="""","""",REGEXMATCH(LOWER($E552),XLOOKUP(R$1,Metadata!$A$2:$A1000,Metadata!$B$2:$B1000))),R$1,"""")"),"")</f>
        <v/>
      </c>
      <c r="S552" s="33" t="str">
        <f>IFERROR(__xludf.DUMMYFUNCTION("IF(IF(S$1="""","""",REGEXMATCH(LOWER($E552),XLOOKUP(S$1,Metadata!$A$2:$A1000,Metadata!$B$2:$B1000))),S$1,"""")"),"")</f>
        <v/>
      </c>
      <c r="T552" s="33" t="str">
        <f>IFERROR(__xludf.DUMMYFUNCTION("IF(IF(T$1="""","""",REGEXMATCH(LOWER($E552),XLOOKUP(T$1,Metadata!$A$2:$A1000,Metadata!$B$2:$B1000))),T$1,"""")"),"")</f>
        <v/>
      </c>
      <c r="U552" s="33" t="str">
        <f>IFERROR(__xludf.DUMMYFUNCTION("IF(IF(U$1="""","""",REGEXMATCH(LOWER($E552),XLOOKUP(U$1,Metadata!$A$2:$A1000,Metadata!$B$2:$B1000))),U$1,"""")"),"")</f>
        <v/>
      </c>
      <c r="V552" s="33" t="str">
        <f>IFERROR(__xludf.DUMMYFUNCTION("IF(IF(V$1="""","""",REGEXMATCH(LOWER($E552),XLOOKUP(V$1,Metadata!$A$2:$A1000,Metadata!$B$2:$B1000))),V$1,"""")"),"")</f>
        <v/>
      </c>
      <c r="W552" s="33" t="str">
        <f>IFERROR(__xludf.DUMMYFUNCTION("IF(IF(W$1="""","""",REGEXMATCH(LOWER($E552),XLOOKUP(W$1,Metadata!$A$2:$A1000,Metadata!$B$2:$B1000))),W$1,"""")"),"")</f>
        <v/>
      </c>
      <c r="X552" s="33" t="str">
        <f>IFERROR(__xludf.DUMMYFUNCTION("IF(IF(X$1="""","""",REGEXMATCH(LOWER($E552),XLOOKUP(X$1,Metadata!$A$2:$A1000,Metadata!$B$2:$B1000))),X$1,"""")"),"")</f>
        <v/>
      </c>
      <c r="Y552" s="33" t="str">
        <f>IFERROR(__xludf.DUMMYFUNCTION("IF(IF(Y$1="""","""",REGEXMATCH(LOWER($E552),XLOOKUP(Y$1,Metadata!$A$2:$A1000,Metadata!$B$2:$B1000))),Y$1,"""")"),"")</f>
        <v/>
      </c>
      <c r="Z552" s="33" t="str">
        <f>IFERROR(__xludf.DUMMYFUNCTION("IF(IF(Z$1="""","""",REGEXMATCH(LOWER($E552),XLOOKUP(Z$1,Metadata!$A$2:$A1000,Metadata!$B$2:$B1000))),Z$1,"""")"),"")</f>
        <v/>
      </c>
    </row>
    <row r="553">
      <c r="A553" s="33"/>
      <c r="B553" s="33"/>
      <c r="C553" s="33"/>
      <c r="D553" s="33"/>
      <c r="E553" s="33"/>
      <c r="F553" s="33"/>
      <c r="G553" s="33"/>
      <c r="H553" s="33"/>
      <c r="I553" s="33"/>
      <c r="J553" s="33"/>
      <c r="K553" s="33"/>
      <c r="L553" s="33" t="str">
        <f>IFERROR(__xludf.DUMMYFUNCTION("IF(IF(L$1="""","""",REGEXMATCH(LOWER($E553),XLOOKUP(L$1,Metadata!$A$2:$A1000,Metadata!$B$2:$B1000))),L$1,"""")"),"")</f>
        <v/>
      </c>
      <c r="M553" s="33" t="str">
        <f>IFERROR(__xludf.DUMMYFUNCTION("IF(IF(M$1="""","""",REGEXMATCH(LOWER($E553),XLOOKUP(M$1,Metadata!$A$2:$A1000,Metadata!$B$2:$B1000))),M$1,"""")"),"")</f>
        <v/>
      </c>
      <c r="N553" s="33" t="str">
        <f>IFERROR(__xludf.DUMMYFUNCTION("IF(IF(N$1="""","""",REGEXMATCH(LOWER($E553),XLOOKUP(N$1,Metadata!$A$2:$A1000,Metadata!$B$2:$B1000))),N$1,"""")"),"")</f>
        <v/>
      </c>
      <c r="O553" s="33" t="str">
        <f>IFERROR(__xludf.DUMMYFUNCTION("IF(IF(O$1="""","""",REGEXMATCH(LOWER($E553),XLOOKUP(O$1,Metadata!$A$2:$A1000,Metadata!$B$2:$B1000))),O$1,"""")"),"")</f>
        <v/>
      </c>
      <c r="P553" s="33" t="str">
        <f>IFERROR(__xludf.DUMMYFUNCTION("IF(IF(P$1="""","""",REGEXMATCH(LOWER($E553),XLOOKUP(P$1,Metadata!$A$2:$A1000,Metadata!$B$2:$B1000))),P$1,"""")"),"")</f>
        <v/>
      </c>
      <c r="Q553" s="33" t="str">
        <f>IFERROR(__xludf.DUMMYFUNCTION("IF(IF(Q$1="""","""",REGEXMATCH(LOWER($E553),XLOOKUP(Q$1,Metadata!$A$2:$A1000,Metadata!$B$2:$B1000))),Q$1,"""")"),"")</f>
        <v/>
      </c>
      <c r="R553" s="33" t="str">
        <f>IFERROR(__xludf.DUMMYFUNCTION("IF(IF(R$1="""","""",REGEXMATCH(LOWER($E553),XLOOKUP(R$1,Metadata!$A$2:$A1000,Metadata!$B$2:$B1000))),R$1,"""")"),"")</f>
        <v/>
      </c>
      <c r="S553" s="33" t="str">
        <f>IFERROR(__xludf.DUMMYFUNCTION("IF(IF(S$1="""","""",REGEXMATCH(LOWER($E553),XLOOKUP(S$1,Metadata!$A$2:$A1000,Metadata!$B$2:$B1000))),S$1,"""")"),"")</f>
        <v/>
      </c>
      <c r="T553" s="33" t="str">
        <f>IFERROR(__xludf.DUMMYFUNCTION("IF(IF(T$1="""","""",REGEXMATCH(LOWER($E553),XLOOKUP(T$1,Metadata!$A$2:$A1000,Metadata!$B$2:$B1000))),T$1,"""")"),"")</f>
        <v/>
      </c>
      <c r="U553" s="33" t="str">
        <f>IFERROR(__xludf.DUMMYFUNCTION("IF(IF(U$1="""","""",REGEXMATCH(LOWER($E553),XLOOKUP(U$1,Metadata!$A$2:$A1000,Metadata!$B$2:$B1000))),U$1,"""")"),"")</f>
        <v/>
      </c>
      <c r="V553" s="33" t="str">
        <f>IFERROR(__xludf.DUMMYFUNCTION("IF(IF(V$1="""","""",REGEXMATCH(LOWER($E553),XLOOKUP(V$1,Metadata!$A$2:$A1000,Metadata!$B$2:$B1000))),V$1,"""")"),"")</f>
        <v/>
      </c>
      <c r="W553" s="33" t="str">
        <f>IFERROR(__xludf.DUMMYFUNCTION("IF(IF(W$1="""","""",REGEXMATCH(LOWER($E553),XLOOKUP(W$1,Metadata!$A$2:$A1000,Metadata!$B$2:$B1000))),W$1,"""")"),"")</f>
        <v/>
      </c>
      <c r="X553" s="33" t="str">
        <f>IFERROR(__xludf.DUMMYFUNCTION("IF(IF(X$1="""","""",REGEXMATCH(LOWER($E553),XLOOKUP(X$1,Metadata!$A$2:$A1000,Metadata!$B$2:$B1000))),X$1,"""")"),"")</f>
        <v/>
      </c>
      <c r="Y553" s="33" t="str">
        <f>IFERROR(__xludf.DUMMYFUNCTION("IF(IF(Y$1="""","""",REGEXMATCH(LOWER($E553),XLOOKUP(Y$1,Metadata!$A$2:$A1000,Metadata!$B$2:$B1000))),Y$1,"""")"),"")</f>
        <v/>
      </c>
      <c r="Z553" s="33" t="str">
        <f>IFERROR(__xludf.DUMMYFUNCTION("IF(IF(Z$1="""","""",REGEXMATCH(LOWER($E553),XLOOKUP(Z$1,Metadata!$A$2:$A1000,Metadata!$B$2:$B1000))),Z$1,"""")"),"")</f>
        <v/>
      </c>
    </row>
    <row r="554">
      <c r="A554" s="33"/>
      <c r="B554" s="33"/>
      <c r="C554" s="33"/>
      <c r="D554" s="33"/>
      <c r="E554" s="33"/>
      <c r="F554" s="33"/>
      <c r="G554" s="33"/>
      <c r="H554" s="33"/>
      <c r="I554" s="33"/>
      <c r="J554" s="33"/>
      <c r="K554" s="33"/>
      <c r="L554" s="33" t="str">
        <f>IFERROR(__xludf.DUMMYFUNCTION("IF(IF(L$1="""","""",REGEXMATCH(LOWER($E554),XLOOKUP(L$1,Metadata!$A$2:$A1000,Metadata!$B$2:$B1000))),L$1,"""")"),"")</f>
        <v/>
      </c>
      <c r="M554" s="33" t="str">
        <f>IFERROR(__xludf.DUMMYFUNCTION("IF(IF(M$1="""","""",REGEXMATCH(LOWER($E554),XLOOKUP(M$1,Metadata!$A$2:$A1000,Metadata!$B$2:$B1000))),M$1,"""")"),"")</f>
        <v/>
      </c>
      <c r="N554" s="33" t="str">
        <f>IFERROR(__xludf.DUMMYFUNCTION("IF(IF(N$1="""","""",REGEXMATCH(LOWER($E554),XLOOKUP(N$1,Metadata!$A$2:$A1000,Metadata!$B$2:$B1000))),N$1,"""")"),"")</f>
        <v/>
      </c>
      <c r="O554" s="33" t="str">
        <f>IFERROR(__xludf.DUMMYFUNCTION("IF(IF(O$1="""","""",REGEXMATCH(LOWER($E554),XLOOKUP(O$1,Metadata!$A$2:$A1000,Metadata!$B$2:$B1000))),O$1,"""")"),"")</f>
        <v/>
      </c>
      <c r="P554" s="33" t="str">
        <f>IFERROR(__xludf.DUMMYFUNCTION("IF(IF(P$1="""","""",REGEXMATCH(LOWER($E554),XLOOKUP(P$1,Metadata!$A$2:$A1000,Metadata!$B$2:$B1000))),P$1,"""")"),"")</f>
        <v/>
      </c>
      <c r="Q554" s="33" t="str">
        <f>IFERROR(__xludf.DUMMYFUNCTION("IF(IF(Q$1="""","""",REGEXMATCH(LOWER($E554),XLOOKUP(Q$1,Metadata!$A$2:$A1000,Metadata!$B$2:$B1000))),Q$1,"""")"),"")</f>
        <v/>
      </c>
      <c r="R554" s="33" t="str">
        <f>IFERROR(__xludf.DUMMYFUNCTION("IF(IF(R$1="""","""",REGEXMATCH(LOWER($E554),XLOOKUP(R$1,Metadata!$A$2:$A1000,Metadata!$B$2:$B1000))),R$1,"""")"),"")</f>
        <v/>
      </c>
      <c r="S554" s="33" t="str">
        <f>IFERROR(__xludf.DUMMYFUNCTION("IF(IF(S$1="""","""",REGEXMATCH(LOWER($E554),XLOOKUP(S$1,Metadata!$A$2:$A1000,Metadata!$B$2:$B1000))),S$1,"""")"),"")</f>
        <v/>
      </c>
      <c r="T554" s="33" t="str">
        <f>IFERROR(__xludf.DUMMYFUNCTION("IF(IF(T$1="""","""",REGEXMATCH(LOWER($E554),XLOOKUP(T$1,Metadata!$A$2:$A1000,Metadata!$B$2:$B1000))),T$1,"""")"),"")</f>
        <v/>
      </c>
      <c r="U554" s="33" t="str">
        <f>IFERROR(__xludf.DUMMYFUNCTION("IF(IF(U$1="""","""",REGEXMATCH(LOWER($E554),XLOOKUP(U$1,Metadata!$A$2:$A1000,Metadata!$B$2:$B1000))),U$1,"""")"),"")</f>
        <v/>
      </c>
      <c r="V554" s="33" t="str">
        <f>IFERROR(__xludf.DUMMYFUNCTION("IF(IF(V$1="""","""",REGEXMATCH(LOWER($E554),XLOOKUP(V$1,Metadata!$A$2:$A1000,Metadata!$B$2:$B1000))),V$1,"""")"),"")</f>
        <v/>
      </c>
      <c r="W554" s="33" t="str">
        <f>IFERROR(__xludf.DUMMYFUNCTION("IF(IF(W$1="""","""",REGEXMATCH(LOWER($E554),XLOOKUP(W$1,Metadata!$A$2:$A1000,Metadata!$B$2:$B1000))),W$1,"""")"),"")</f>
        <v/>
      </c>
      <c r="X554" s="33" t="str">
        <f>IFERROR(__xludf.DUMMYFUNCTION("IF(IF(X$1="""","""",REGEXMATCH(LOWER($E554),XLOOKUP(X$1,Metadata!$A$2:$A1000,Metadata!$B$2:$B1000))),X$1,"""")"),"")</f>
        <v/>
      </c>
      <c r="Y554" s="33" t="str">
        <f>IFERROR(__xludf.DUMMYFUNCTION("IF(IF(Y$1="""","""",REGEXMATCH(LOWER($E554),XLOOKUP(Y$1,Metadata!$A$2:$A1000,Metadata!$B$2:$B1000))),Y$1,"""")"),"")</f>
        <v/>
      </c>
      <c r="Z554" s="33" t="str">
        <f>IFERROR(__xludf.DUMMYFUNCTION("IF(IF(Z$1="""","""",REGEXMATCH(LOWER($E554),XLOOKUP(Z$1,Metadata!$A$2:$A1000,Metadata!$B$2:$B1000))),Z$1,"""")"),"")</f>
        <v/>
      </c>
    </row>
    <row r="555">
      <c r="A555" s="33"/>
      <c r="B555" s="33"/>
      <c r="C555" s="33"/>
      <c r="D555" s="33"/>
      <c r="E555" s="33"/>
      <c r="F555" s="33"/>
      <c r="G555" s="33"/>
      <c r="H555" s="33"/>
      <c r="I555" s="33"/>
      <c r="J555" s="33"/>
      <c r="K555" s="33"/>
      <c r="L555" s="33" t="str">
        <f>IFERROR(__xludf.DUMMYFUNCTION("IF(IF(L$1="""","""",REGEXMATCH(LOWER($E555),XLOOKUP(L$1,Metadata!$A$2:$A1000,Metadata!$B$2:$B1000))),L$1,"""")"),"")</f>
        <v/>
      </c>
      <c r="M555" s="33" t="str">
        <f>IFERROR(__xludf.DUMMYFUNCTION("IF(IF(M$1="""","""",REGEXMATCH(LOWER($E555),XLOOKUP(M$1,Metadata!$A$2:$A1000,Metadata!$B$2:$B1000))),M$1,"""")"),"")</f>
        <v/>
      </c>
      <c r="N555" s="33" t="str">
        <f>IFERROR(__xludf.DUMMYFUNCTION("IF(IF(N$1="""","""",REGEXMATCH(LOWER($E555),XLOOKUP(N$1,Metadata!$A$2:$A1000,Metadata!$B$2:$B1000))),N$1,"""")"),"")</f>
        <v/>
      </c>
      <c r="O555" s="33" t="str">
        <f>IFERROR(__xludf.DUMMYFUNCTION("IF(IF(O$1="""","""",REGEXMATCH(LOWER($E555),XLOOKUP(O$1,Metadata!$A$2:$A1000,Metadata!$B$2:$B1000))),O$1,"""")"),"")</f>
        <v/>
      </c>
      <c r="P555" s="33" t="str">
        <f>IFERROR(__xludf.DUMMYFUNCTION("IF(IF(P$1="""","""",REGEXMATCH(LOWER($E555),XLOOKUP(P$1,Metadata!$A$2:$A1000,Metadata!$B$2:$B1000))),P$1,"""")"),"")</f>
        <v/>
      </c>
      <c r="Q555" s="33" t="str">
        <f>IFERROR(__xludf.DUMMYFUNCTION("IF(IF(Q$1="""","""",REGEXMATCH(LOWER($E555),XLOOKUP(Q$1,Metadata!$A$2:$A1000,Metadata!$B$2:$B1000))),Q$1,"""")"),"")</f>
        <v/>
      </c>
      <c r="R555" s="33" t="str">
        <f>IFERROR(__xludf.DUMMYFUNCTION("IF(IF(R$1="""","""",REGEXMATCH(LOWER($E555),XLOOKUP(R$1,Metadata!$A$2:$A1000,Metadata!$B$2:$B1000))),R$1,"""")"),"")</f>
        <v/>
      </c>
      <c r="S555" s="33" t="str">
        <f>IFERROR(__xludf.DUMMYFUNCTION("IF(IF(S$1="""","""",REGEXMATCH(LOWER($E555),XLOOKUP(S$1,Metadata!$A$2:$A1000,Metadata!$B$2:$B1000))),S$1,"""")"),"")</f>
        <v/>
      </c>
      <c r="T555" s="33" t="str">
        <f>IFERROR(__xludf.DUMMYFUNCTION("IF(IF(T$1="""","""",REGEXMATCH(LOWER($E555),XLOOKUP(T$1,Metadata!$A$2:$A1000,Metadata!$B$2:$B1000))),T$1,"""")"),"")</f>
        <v/>
      </c>
      <c r="U555" s="33" t="str">
        <f>IFERROR(__xludf.DUMMYFUNCTION("IF(IF(U$1="""","""",REGEXMATCH(LOWER($E555),XLOOKUP(U$1,Metadata!$A$2:$A1000,Metadata!$B$2:$B1000))),U$1,"""")"),"")</f>
        <v/>
      </c>
      <c r="V555" s="33" t="str">
        <f>IFERROR(__xludf.DUMMYFUNCTION("IF(IF(V$1="""","""",REGEXMATCH(LOWER($E555),XLOOKUP(V$1,Metadata!$A$2:$A1000,Metadata!$B$2:$B1000))),V$1,"""")"),"")</f>
        <v/>
      </c>
      <c r="W555" s="33" t="str">
        <f>IFERROR(__xludf.DUMMYFUNCTION("IF(IF(W$1="""","""",REGEXMATCH(LOWER($E555),XLOOKUP(W$1,Metadata!$A$2:$A1000,Metadata!$B$2:$B1000))),W$1,"""")"),"")</f>
        <v/>
      </c>
      <c r="X555" s="33" t="str">
        <f>IFERROR(__xludf.DUMMYFUNCTION("IF(IF(X$1="""","""",REGEXMATCH(LOWER($E555),XLOOKUP(X$1,Metadata!$A$2:$A1000,Metadata!$B$2:$B1000))),X$1,"""")"),"")</f>
        <v/>
      </c>
      <c r="Y555" s="33" t="str">
        <f>IFERROR(__xludf.DUMMYFUNCTION("IF(IF(Y$1="""","""",REGEXMATCH(LOWER($E555),XLOOKUP(Y$1,Metadata!$A$2:$A1000,Metadata!$B$2:$B1000))),Y$1,"""")"),"")</f>
        <v/>
      </c>
      <c r="Z555" s="33" t="str">
        <f>IFERROR(__xludf.DUMMYFUNCTION("IF(IF(Z$1="""","""",REGEXMATCH(LOWER($E555),XLOOKUP(Z$1,Metadata!$A$2:$A1000,Metadata!$B$2:$B1000))),Z$1,"""")"),"")</f>
        <v/>
      </c>
    </row>
    <row r="556">
      <c r="A556" s="33"/>
      <c r="B556" s="33"/>
      <c r="C556" s="33"/>
      <c r="D556" s="33"/>
      <c r="E556" s="33"/>
      <c r="F556" s="33"/>
      <c r="G556" s="33"/>
      <c r="H556" s="33"/>
      <c r="I556" s="33"/>
      <c r="J556" s="33"/>
      <c r="K556" s="33"/>
      <c r="L556" s="33" t="str">
        <f>IFERROR(__xludf.DUMMYFUNCTION("IF(IF(L$1="""","""",REGEXMATCH(LOWER($E556),XLOOKUP(L$1,Metadata!$A$2:$A1000,Metadata!$B$2:$B1000))),L$1,"""")"),"")</f>
        <v/>
      </c>
      <c r="M556" s="33" t="str">
        <f>IFERROR(__xludf.DUMMYFUNCTION("IF(IF(M$1="""","""",REGEXMATCH(LOWER($E556),XLOOKUP(M$1,Metadata!$A$2:$A1000,Metadata!$B$2:$B1000))),M$1,"""")"),"")</f>
        <v/>
      </c>
      <c r="N556" s="33" t="str">
        <f>IFERROR(__xludf.DUMMYFUNCTION("IF(IF(N$1="""","""",REGEXMATCH(LOWER($E556),XLOOKUP(N$1,Metadata!$A$2:$A1000,Metadata!$B$2:$B1000))),N$1,"""")"),"")</f>
        <v/>
      </c>
      <c r="O556" s="33" t="str">
        <f>IFERROR(__xludf.DUMMYFUNCTION("IF(IF(O$1="""","""",REGEXMATCH(LOWER($E556),XLOOKUP(O$1,Metadata!$A$2:$A1000,Metadata!$B$2:$B1000))),O$1,"""")"),"")</f>
        <v/>
      </c>
      <c r="P556" s="33" t="str">
        <f>IFERROR(__xludf.DUMMYFUNCTION("IF(IF(P$1="""","""",REGEXMATCH(LOWER($E556),XLOOKUP(P$1,Metadata!$A$2:$A1000,Metadata!$B$2:$B1000))),P$1,"""")"),"")</f>
        <v/>
      </c>
      <c r="Q556" s="33" t="str">
        <f>IFERROR(__xludf.DUMMYFUNCTION("IF(IF(Q$1="""","""",REGEXMATCH(LOWER($E556),XLOOKUP(Q$1,Metadata!$A$2:$A1000,Metadata!$B$2:$B1000))),Q$1,"""")"),"")</f>
        <v/>
      </c>
      <c r="R556" s="33" t="str">
        <f>IFERROR(__xludf.DUMMYFUNCTION("IF(IF(R$1="""","""",REGEXMATCH(LOWER($E556),XLOOKUP(R$1,Metadata!$A$2:$A1000,Metadata!$B$2:$B1000))),R$1,"""")"),"")</f>
        <v/>
      </c>
      <c r="S556" s="33" t="str">
        <f>IFERROR(__xludf.DUMMYFUNCTION("IF(IF(S$1="""","""",REGEXMATCH(LOWER($E556),XLOOKUP(S$1,Metadata!$A$2:$A1000,Metadata!$B$2:$B1000))),S$1,"""")"),"")</f>
        <v/>
      </c>
      <c r="T556" s="33" t="str">
        <f>IFERROR(__xludf.DUMMYFUNCTION("IF(IF(T$1="""","""",REGEXMATCH(LOWER($E556),XLOOKUP(T$1,Metadata!$A$2:$A1000,Metadata!$B$2:$B1000))),T$1,"""")"),"")</f>
        <v/>
      </c>
      <c r="U556" s="33" t="str">
        <f>IFERROR(__xludf.DUMMYFUNCTION("IF(IF(U$1="""","""",REGEXMATCH(LOWER($E556),XLOOKUP(U$1,Metadata!$A$2:$A1000,Metadata!$B$2:$B1000))),U$1,"""")"),"")</f>
        <v/>
      </c>
      <c r="V556" s="33" t="str">
        <f>IFERROR(__xludf.DUMMYFUNCTION("IF(IF(V$1="""","""",REGEXMATCH(LOWER($E556),XLOOKUP(V$1,Metadata!$A$2:$A1000,Metadata!$B$2:$B1000))),V$1,"""")"),"")</f>
        <v/>
      </c>
      <c r="W556" s="33" t="str">
        <f>IFERROR(__xludf.DUMMYFUNCTION("IF(IF(W$1="""","""",REGEXMATCH(LOWER($E556),XLOOKUP(W$1,Metadata!$A$2:$A1000,Metadata!$B$2:$B1000))),W$1,"""")"),"")</f>
        <v/>
      </c>
      <c r="X556" s="33" t="str">
        <f>IFERROR(__xludf.DUMMYFUNCTION("IF(IF(X$1="""","""",REGEXMATCH(LOWER($E556),XLOOKUP(X$1,Metadata!$A$2:$A1000,Metadata!$B$2:$B1000))),X$1,"""")"),"")</f>
        <v/>
      </c>
      <c r="Y556" s="33" t="str">
        <f>IFERROR(__xludf.DUMMYFUNCTION("IF(IF(Y$1="""","""",REGEXMATCH(LOWER($E556),XLOOKUP(Y$1,Metadata!$A$2:$A1000,Metadata!$B$2:$B1000))),Y$1,"""")"),"")</f>
        <v/>
      </c>
      <c r="Z556" s="33" t="str">
        <f>IFERROR(__xludf.DUMMYFUNCTION("IF(IF(Z$1="""","""",REGEXMATCH(LOWER($E556),XLOOKUP(Z$1,Metadata!$A$2:$A1000,Metadata!$B$2:$B1000))),Z$1,"""")"),"")</f>
        <v/>
      </c>
    </row>
    <row r="557">
      <c r="A557" s="33"/>
      <c r="B557" s="33"/>
      <c r="C557" s="33"/>
      <c r="D557" s="33"/>
      <c r="E557" s="33"/>
      <c r="F557" s="33"/>
      <c r="G557" s="33"/>
      <c r="H557" s="33"/>
      <c r="I557" s="33"/>
      <c r="J557" s="33"/>
      <c r="K557" s="33"/>
      <c r="L557" s="33" t="str">
        <f>IFERROR(__xludf.DUMMYFUNCTION("IF(IF(L$1="""","""",REGEXMATCH(LOWER($E557),XLOOKUP(L$1,Metadata!$A$2:$A1000,Metadata!$B$2:$B1000))),L$1,"""")"),"")</f>
        <v/>
      </c>
      <c r="M557" s="33" t="str">
        <f>IFERROR(__xludf.DUMMYFUNCTION("IF(IF(M$1="""","""",REGEXMATCH(LOWER($E557),XLOOKUP(M$1,Metadata!$A$2:$A1000,Metadata!$B$2:$B1000))),M$1,"""")"),"")</f>
        <v/>
      </c>
      <c r="N557" s="33" t="str">
        <f>IFERROR(__xludf.DUMMYFUNCTION("IF(IF(N$1="""","""",REGEXMATCH(LOWER($E557),XLOOKUP(N$1,Metadata!$A$2:$A1000,Metadata!$B$2:$B1000))),N$1,"""")"),"")</f>
        <v/>
      </c>
      <c r="O557" s="33" t="str">
        <f>IFERROR(__xludf.DUMMYFUNCTION("IF(IF(O$1="""","""",REGEXMATCH(LOWER($E557),XLOOKUP(O$1,Metadata!$A$2:$A1000,Metadata!$B$2:$B1000))),O$1,"""")"),"")</f>
        <v/>
      </c>
      <c r="P557" s="33" t="str">
        <f>IFERROR(__xludf.DUMMYFUNCTION("IF(IF(P$1="""","""",REGEXMATCH(LOWER($E557),XLOOKUP(P$1,Metadata!$A$2:$A1000,Metadata!$B$2:$B1000))),P$1,"""")"),"")</f>
        <v/>
      </c>
      <c r="Q557" s="33" t="str">
        <f>IFERROR(__xludf.DUMMYFUNCTION("IF(IF(Q$1="""","""",REGEXMATCH(LOWER($E557),XLOOKUP(Q$1,Metadata!$A$2:$A1000,Metadata!$B$2:$B1000))),Q$1,"""")"),"")</f>
        <v/>
      </c>
      <c r="R557" s="33" t="str">
        <f>IFERROR(__xludf.DUMMYFUNCTION("IF(IF(R$1="""","""",REGEXMATCH(LOWER($E557),XLOOKUP(R$1,Metadata!$A$2:$A1000,Metadata!$B$2:$B1000))),R$1,"""")"),"")</f>
        <v/>
      </c>
      <c r="S557" s="33" t="str">
        <f>IFERROR(__xludf.DUMMYFUNCTION("IF(IF(S$1="""","""",REGEXMATCH(LOWER($E557),XLOOKUP(S$1,Metadata!$A$2:$A1000,Metadata!$B$2:$B1000))),S$1,"""")"),"")</f>
        <v/>
      </c>
      <c r="T557" s="33" t="str">
        <f>IFERROR(__xludf.DUMMYFUNCTION("IF(IF(T$1="""","""",REGEXMATCH(LOWER($E557),XLOOKUP(T$1,Metadata!$A$2:$A1000,Metadata!$B$2:$B1000))),T$1,"""")"),"")</f>
        <v/>
      </c>
      <c r="U557" s="33" t="str">
        <f>IFERROR(__xludf.DUMMYFUNCTION("IF(IF(U$1="""","""",REGEXMATCH(LOWER($E557),XLOOKUP(U$1,Metadata!$A$2:$A1000,Metadata!$B$2:$B1000))),U$1,"""")"),"")</f>
        <v/>
      </c>
      <c r="V557" s="33" t="str">
        <f>IFERROR(__xludf.DUMMYFUNCTION("IF(IF(V$1="""","""",REGEXMATCH(LOWER($E557),XLOOKUP(V$1,Metadata!$A$2:$A1000,Metadata!$B$2:$B1000))),V$1,"""")"),"")</f>
        <v/>
      </c>
      <c r="W557" s="33" t="str">
        <f>IFERROR(__xludf.DUMMYFUNCTION("IF(IF(W$1="""","""",REGEXMATCH(LOWER($E557),XLOOKUP(W$1,Metadata!$A$2:$A1000,Metadata!$B$2:$B1000))),W$1,"""")"),"")</f>
        <v/>
      </c>
      <c r="X557" s="33" t="str">
        <f>IFERROR(__xludf.DUMMYFUNCTION("IF(IF(X$1="""","""",REGEXMATCH(LOWER($E557),XLOOKUP(X$1,Metadata!$A$2:$A1000,Metadata!$B$2:$B1000))),X$1,"""")"),"")</f>
        <v/>
      </c>
      <c r="Y557" s="33" t="str">
        <f>IFERROR(__xludf.DUMMYFUNCTION("IF(IF(Y$1="""","""",REGEXMATCH(LOWER($E557),XLOOKUP(Y$1,Metadata!$A$2:$A1000,Metadata!$B$2:$B1000))),Y$1,"""")"),"")</f>
        <v/>
      </c>
      <c r="Z557" s="33" t="str">
        <f>IFERROR(__xludf.DUMMYFUNCTION("IF(IF(Z$1="""","""",REGEXMATCH(LOWER($E557),XLOOKUP(Z$1,Metadata!$A$2:$A1000,Metadata!$B$2:$B1000))),Z$1,"""")"),"")</f>
        <v/>
      </c>
    </row>
    <row r="558">
      <c r="A558" s="33"/>
      <c r="B558" s="33"/>
      <c r="C558" s="33"/>
      <c r="D558" s="33"/>
      <c r="E558" s="33"/>
      <c r="F558" s="33"/>
      <c r="G558" s="33"/>
      <c r="H558" s="33"/>
      <c r="I558" s="33"/>
      <c r="J558" s="33"/>
      <c r="K558" s="33"/>
      <c r="L558" s="33" t="str">
        <f>IFERROR(__xludf.DUMMYFUNCTION("IF(IF(L$1="""","""",REGEXMATCH(LOWER($E558),XLOOKUP(L$1,Metadata!$A$2:$A1000,Metadata!$B$2:$B1000))),L$1,"""")"),"")</f>
        <v/>
      </c>
      <c r="M558" s="33" t="str">
        <f>IFERROR(__xludf.DUMMYFUNCTION("IF(IF(M$1="""","""",REGEXMATCH(LOWER($E558),XLOOKUP(M$1,Metadata!$A$2:$A1000,Metadata!$B$2:$B1000))),M$1,"""")"),"")</f>
        <v/>
      </c>
      <c r="N558" s="33" t="str">
        <f>IFERROR(__xludf.DUMMYFUNCTION("IF(IF(N$1="""","""",REGEXMATCH(LOWER($E558),XLOOKUP(N$1,Metadata!$A$2:$A1000,Metadata!$B$2:$B1000))),N$1,"""")"),"")</f>
        <v/>
      </c>
      <c r="O558" s="33" t="str">
        <f>IFERROR(__xludf.DUMMYFUNCTION("IF(IF(O$1="""","""",REGEXMATCH(LOWER($E558),XLOOKUP(O$1,Metadata!$A$2:$A1000,Metadata!$B$2:$B1000))),O$1,"""")"),"")</f>
        <v/>
      </c>
      <c r="P558" s="33" t="str">
        <f>IFERROR(__xludf.DUMMYFUNCTION("IF(IF(P$1="""","""",REGEXMATCH(LOWER($E558),XLOOKUP(P$1,Metadata!$A$2:$A1000,Metadata!$B$2:$B1000))),P$1,"""")"),"")</f>
        <v/>
      </c>
      <c r="Q558" s="33" t="str">
        <f>IFERROR(__xludf.DUMMYFUNCTION("IF(IF(Q$1="""","""",REGEXMATCH(LOWER($E558),XLOOKUP(Q$1,Metadata!$A$2:$A1000,Metadata!$B$2:$B1000))),Q$1,"""")"),"")</f>
        <v/>
      </c>
      <c r="R558" s="33" t="str">
        <f>IFERROR(__xludf.DUMMYFUNCTION("IF(IF(R$1="""","""",REGEXMATCH(LOWER($E558),XLOOKUP(R$1,Metadata!$A$2:$A1000,Metadata!$B$2:$B1000))),R$1,"""")"),"")</f>
        <v/>
      </c>
      <c r="S558" s="33" t="str">
        <f>IFERROR(__xludf.DUMMYFUNCTION("IF(IF(S$1="""","""",REGEXMATCH(LOWER($E558),XLOOKUP(S$1,Metadata!$A$2:$A1000,Metadata!$B$2:$B1000))),S$1,"""")"),"")</f>
        <v/>
      </c>
      <c r="T558" s="33" t="str">
        <f>IFERROR(__xludf.DUMMYFUNCTION("IF(IF(T$1="""","""",REGEXMATCH(LOWER($E558),XLOOKUP(T$1,Metadata!$A$2:$A1000,Metadata!$B$2:$B1000))),T$1,"""")"),"")</f>
        <v/>
      </c>
      <c r="U558" s="33" t="str">
        <f>IFERROR(__xludf.DUMMYFUNCTION("IF(IF(U$1="""","""",REGEXMATCH(LOWER($E558),XLOOKUP(U$1,Metadata!$A$2:$A1000,Metadata!$B$2:$B1000))),U$1,"""")"),"")</f>
        <v/>
      </c>
      <c r="V558" s="33" t="str">
        <f>IFERROR(__xludf.DUMMYFUNCTION("IF(IF(V$1="""","""",REGEXMATCH(LOWER($E558),XLOOKUP(V$1,Metadata!$A$2:$A1000,Metadata!$B$2:$B1000))),V$1,"""")"),"")</f>
        <v/>
      </c>
      <c r="W558" s="33" t="str">
        <f>IFERROR(__xludf.DUMMYFUNCTION("IF(IF(W$1="""","""",REGEXMATCH(LOWER($E558),XLOOKUP(W$1,Metadata!$A$2:$A1000,Metadata!$B$2:$B1000))),W$1,"""")"),"")</f>
        <v/>
      </c>
      <c r="X558" s="33" t="str">
        <f>IFERROR(__xludf.DUMMYFUNCTION("IF(IF(X$1="""","""",REGEXMATCH(LOWER($E558),XLOOKUP(X$1,Metadata!$A$2:$A1000,Metadata!$B$2:$B1000))),X$1,"""")"),"")</f>
        <v/>
      </c>
      <c r="Y558" s="33" t="str">
        <f>IFERROR(__xludf.DUMMYFUNCTION("IF(IF(Y$1="""","""",REGEXMATCH(LOWER($E558),XLOOKUP(Y$1,Metadata!$A$2:$A1000,Metadata!$B$2:$B1000))),Y$1,"""")"),"")</f>
        <v/>
      </c>
      <c r="Z558" s="33" t="str">
        <f>IFERROR(__xludf.DUMMYFUNCTION("IF(IF(Z$1="""","""",REGEXMATCH(LOWER($E558),XLOOKUP(Z$1,Metadata!$A$2:$A1000,Metadata!$B$2:$B1000))),Z$1,"""")"),"")</f>
        <v/>
      </c>
    </row>
    <row r="559">
      <c r="A559" s="33"/>
      <c r="B559" s="33"/>
      <c r="C559" s="33"/>
      <c r="D559" s="33"/>
      <c r="E559" s="33"/>
      <c r="F559" s="33"/>
      <c r="G559" s="33"/>
      <c r="H559" s="33"/>
      <c r="I559" s="33"/>
      <c r="J559" s="33"/>
      <c r="K559" s="33"/>
      <c r="L559" s="33" t="str">
        <f>IFERROR(__xludf.DUMMYFUNCTION("IF(IF(L$1="""","""",REGEXMATCH(LOWER($E559),XLOOKUP(L$1,Metadata!$A$2:$A1000,Metadata!$B$2:$B1000))),L$1,"""")"),"")</f>
        <v/>
      </c>
      <c r="M559" s="33" t="str">
        <f>IFERROR(__xludf.DUMMYFUNCTION("IF(IF(M$1="""","""",REGEXMATCH(LOWER($E559),XLOOKUP(M$1,Metadata!$A$2:$A1000,Metadata!$B$2:$B1000))),M$1,"""")"),"")</f>
        <v/>
      </c>
      <c r="N559" s="33" t="str">
        <f>IFERROR(__xludf.DUMMYFUNCTION("IF(IF(N$1="""","""",REGEXMATCH(LOWER($E559),XLOOKUP(N$1,Metadata!$A$2:$A1000,Metadata!$B$2:$B1000))),N$1,"""")"),"")</f>
        <v/>
      </c>
      <c r="O559" s="33" t="str">
        <f>IFERROR(__xludf.DUMMYFUNCTION("IF(IF(O$1="""","""",REGEXMATCH(LOWER($E559),XLOOKUP(O$1,Metadata!$A$2:$A1000,Metadata!$B$2:$B1000))),O$1,"""")"),"")</f>
        <v/>
      </c>
      <c r="P559" s="33" t="str">
        <f>IFERROR(__xludf.DUMMYFUNCTION("IF(IF(P$1="""","""",REGEXMATCH(LOWER($E559),XLOOKUP(P$1,Metadata!$A$2:$A1000,Metadata!$B$2:$B1000))),P$1,"""")"),"")</f>
        <v/>
      </c>
      <c r="Q559" s="33" t="str">
        <f>IFERROR(__xludf.DUMMYFUNCTION("IF(IF(Q$1="""","""",REGEXMATCH(LOWER($E559),XLOOKUP(Q$1,Metadata!$A$2:$A1000,Metadata!$B$2:$B1000))),Q$1,"""")"),"")</f>
        <v/>
      </c>
      <c r="R559" s="33" t="str">
        <f>IFERROR(__xludf.DUMMYFUNCTION("IF(IF(R$1="""","""",REGEXMATCH(LOWER($E559),XLOOKUP(R$1,Metadata!$A$2:$A1000,Metadata!$B$2:$B1000))),R$1,"""")"),"")</f>
        <v/>
      </c>
      <c r="S559" s="33" t="str">
        <f>IFERROR(__xludf.DUMMYFUNCTION("IF(IF(S$1="""","""",REGEXMATCH(LOWER($E559),XLOOKUP(S$1,Metadata!$A$2:$A1000,Metadata!$B$2:$B1000))),S$1,"""")"),"")</f>
        <v/>
      </c>
      <c r="T559" s="33" t="str">
        <f>IFERROR(__xludf.DUMMYFUNCTION("IF(IF(T$1="""","""",REGEXMATCH(LOWER($E559),XLOOKUP(T$1,Metadata!$A$2:$A1000,Metadata!$B$2:$B1000))),T$1,"""")"),"")</f>
        <v/>
      </c>
      <c r="U559" s="33" t="str">
        <f>IFERROR(__xludf.DUMMYFUNCTION("IF(IF(U$1="""","""",REGEXMATCH(LOWER($E559),XLOOKUP(U$1,Metadata!$A$2:$A1000,Metadata!$B$2:$B1000))),U$1,"""")"),"")</f>
        <v/>
      </c>
      <c r="V559" s="33" t="str">
        <f>IFERROR(__xludf.DUMMYFUNCTION("IF(IF(V$1="""","""",REGEXMATCH(LOWER($E559),XLOOKUP(V$1,Metadata!$A$2:$A1000,Metadata!$B$2:$B1000))),V$1,"""")"),"")</f>
        <v/>
      </c>
      <c r="W559" s="33" t="str">
        <f>IFERROR(__xludf.DUMMYFUNCTION("IF(IF(W$1="""","""",REGEXMATCH(LOWER($E559),XLOOKUP(W$1,Metadata!$A$2:$A1000,Metadata!$B$2:$B1000))),W$1,"""")"),"")</f>
        <v/>
      </c>
      <c r="X559" s="33" t="str">
        <f>IFERROR(__xludf.DUMMYFUNCTION("IF(IF(X$1="""","""",REGEXMATCH(LOWER($E559),XLOOKUP(X$1,Metadata!$A$2:$A1000,Metadata!$B$2:$B1000))),X$1,"""")"),"")</f>
        <v/>
      </c>
      <c r="Y559" s="33" t="str">
        <f>IFERROR(__xludf.DUMMYFUNCTION("IF(IF(Y$1="""","""",REGEXMATCH(LOWER($E559),XLOOKUP(Y$1,Metadata!$A$2:$A1000,Metadata!$B$2:$B1000))),Y$1,"""")"),"")</f>
        <v/>
      </c>
      <c r="Z559" s="33" t="str">
        <f>IFERROR(__xludf.DUMMYFUNCTION("IF(IF(Z$1="""","""",REGEXMATCH(LOWER($E559),XLOOKUP(Z$1,Metadata!$A$2:$A1000,Metadata!$B$2:$B1000))),Z$1,"""")"),"")</f>
        <v/>
      </c>
    </row>
    <row r="560">
      <c r="A560" s="33"/>
      <c r="B560" s="33"/>
      <c r="C560" s="33"/>
      <c r="D560" s="33"/>
      <c r="E560" s="33"/>
      <c r="F560" s="33"/>
      <c r="G560" s="33"/>
      <c r="H560" s="33"/>
      <c r="I560" s="33"/>
      <c r="J560" s="33"/>
      <c r="K560" s="33"/>
      <c r="L560" s="33" t="str">
        <f>IFERROR(__xludf.DUMMYFUNCTION("IF(IF(L$1="""","""",REGEXMATCH(LOWER($E560),XLOOKUP(L$1,Metadata!$A$2:$A1000,Metadata!$B$2:$B1000))),L$1,"""")"),"")</f>
        <v/>
      </c>
      <c r="M560" s="33" t="str">
        <f>IFERROR(__xludf.DUMMYFUNCTION("IF(IF(M$1="""","""",REGEXMATCH(LOWER($E560),XLOOKUP(M$1,Metadata!$A$2:$A1000,Metadata!$B$2:$B1000))),M$1,"""")"),"")</f>
        <v/>
      </c>
      <c r="N560" s="33" t="str">
        <f>IFERROR(__xludf.DUMMYFUNCTION("IF(IF(N$1="""","""",REGEXMATCH(LOWER($E560),XLOOKUP(N$1,Metadata!$A$2:$A1000,Metadata!$B$2:$B1000))),N$1,"""")"),"")</f>
        <v/>
      </c>
      <c r="O560" s="33" t="str">
        <f>IFERROR(__xludf.DUMMYFUNCTION("IF(IF(O$1="""","""",REGEXMATCH(LOWER($E560),XLOOKUP(O$1,Metadata!$A$2:$A1000,Metadata!$B$2:$B1000))),O$1,"""")"),"")</f>
        <v/>
      </c>
      <c r="P560" s="33" t="str">
        <f>IFERROR(__xludf.DUMMYFUNCTION("IF(IF(P$1="""","""",REGEXMATCH(LOWER($E560),XLOOKUP(P$1,Metadata!$A$2:$A1000,Metadata!$B$2:$B1000))),P$1,"""")"),"")</f>
        <v/>
      </c>
      <c r="Q560" s="33" t="str">
        <f>IFERROR(__xludf.DUMMYFUNCTION("IF(IF(Q$1="""","""",REGEXMATCH(LOWER($E560),XLOOKUP(Q$1,Metadata!$A$2:$A1000,Metadata!$B$2:$B1000))),Q$1,"""")"),"")</f>
        <v/>
      </c>
      <c r="R560" s="33" t="str">
        <f>IFERROR(__xludf.DUMMYFUNCTION("IF(IF(R$1="""","""",REGEXMATCH(LOWER($E560),XLOOKUP(R$1,Metadata!$A$2:$A1000,Metadata!$B$2:$B1000))),R$1,"""")"),"")</f>
        <v/>
      </c>
      <c r="S560" s="33" t="str">
        <f>IFERROR(__xludf.DUMMYFUNCTION("IF(IF(S$1="""","""",REGEXMATCH(LOWER($E560),XLOOKUP(S$1,Metadata!$A$2:$A1000,Metadata!$B$2:$B1000))),S$1,"""")"),"")</f>
        <v/>
      </c>
      <c r="T560" s="33" t="str">
        <f>IFERROR(__xludf.DUMMYFUNCTION("IF(IF(T$1="""","""",REGEXMATCH(LOWER($E560),XLOOKUP(T$1,Metadata!$A$2:$A1000,Metadata!$B$2:$B1000))),T$1,"""")"),"")</f>
        <v/>
      </c>
      <c r="U560" s="33" t="str">
        <f>IFERROR(__xludf.DUMMYFUNCTION("IF(IF(U$1="""","""",REGEXMATCH(LOWER($E560),XLOOKUP(U$1,Metadata!$A$2:$A1000,Metadata!$B$2:$B1000))),U$1,"""")"),"")</f>
        <v/>
      </c>
      <c r="V560" s="33" t="str">
        <f>IFERROR(__xludf.DUMMYFUNCTION("IF(IF(V$1="""","""",REGEXMATCH(LOWER($E560),XLOOKUP(V$1,Metadata!$A$2:$A1000,Metadata!$B$2:$B1000))),V$1,"""")"),"")</f>
        <v/>
      </c>
      <c r="W560" s="33" t="str">
        <f>IFERROR(__xludf.DUMMYFUNCTION("IF(IF(W$1="""","""",REGEXMATCH(LOWER($E560),XLOOKUP(W$1,Metadata!$A$2:$A1000,Metadata!$B$2:$B1000))),W$1,"""")"),"")</f>
        <v/>
      </c>
      <c r="X560" s="33" t="str">
        <f>IFERROR(__xludf.DUMMYFUNCTION("IF(IF(X$1="""","""",REGEXMATCH(LOWER($E560),XLOOKUP(X$1,Metadata!$A$2:$A1000,Metadata!$B$2:$B1000))),X$1,"""")"),"")</f>
        <v/>
      </c>
      <c r="Y560" s="33" t="str">
        <f>IFERROR(__xludf.DUMMYFUNCTION("IF(IF(Y$1="""","""",REGEXMATCH(LOWER($E560),XLOOKUP(Y$1,Metadata!$A$2:$A1000,Metadata!$B$2:$B1000))),Y$1,"""")"),"")</f>
        <v/>
      </c>
      <c r="Z560" s="33" t="str">
        <f>IFERROR(__xludf.DUMMYFUNCTION("IF(IF(Z$1="""","""",REGEXMATCH(LOWER($E560),XLOOKUP(Z$1,Metadata!$A$2:$A1000,Metadata!$B$2:$B1000))),Z$1,"""")"),"")</f>
        <v/>
      </c>
    </row>
    <row r="561">
      <c r="A561" s="33"/>
      <c r="B561" s="33"/>
      <c r="C561" s="33"/>
      <c r="D561" s="33"/>
      <c r="E561" s="33"/>
      <c r="F561" s="33"/>
      <c r="G561" s="33"/>
      <c r="H561" s="33"/>
      <c r="I561" s="33"/>
      <c r="J561" s="33"/>
      <c r="K561" s="33"/>
      <c r="L561" s="33" t="str">
        <f>IFERROR(__xludf.DUMMYFUNCTION("IF(IF(L$1="""","""",REGEXMATCH(LOWER($E561),XLOOKUP(L$1,Metadata!$A$2:$A1000,Metadata!$B$2:$B1000))),L$1,"""")"),"")</f>
        <v/>
      </c>
      <c r="M561" s="33" t="str">
        <f>IFERROR(__xludf.DUMMYFUNCTION("IF(IF(M$1="""","""",REGEXMATCH(LOWER($E561),XLOOKUP(M$1,Metadata!$A$2:$A1000,Metadata!$B$2:$B1000))),M$1,"""")"),"")</f>
        <v/>
      </c>
      <c r="N561" s="33" t="str">
        <f>IFERROR(__xludf.DUMMYFUNCTION("IF(IF(N$1="""","""",REGEXMATCH(LOWER($E561),XLOOKUP(N$1,Metadata!$A$2:$A1000,Metadata!$B$2:$B1000))),N$1,"""")"),"")</f>
        <v/>
      </c>
      <c r="O561" s="33" t="str">
        <f>IFERROR(__xludf.DUMMYFUNCTION("IF(IF(O$1="""","""",REGEXMATCH(LOWER($E561),XLOOKUP(O$1,Metadata!$A$2:$A1000,Metadata!$B$2:$B1000))),O$1,"""")"),"")</f>
        <v/>
      </c>
      <c r="P561" s="33" t="str">
        <f>IFERROR(__xludf.DUMMYFUNCTION("IF(IF(P$1="""","""",REGEXMATCH(LOWER($E561),XLOOKUP(P$1,Metadata!$A$2:$A1000,Metadata!$B$2:$B1000))),P$1,"""")"),"")</f>
        <v/>
      </c>
      <c r="Q561" s="33" t="str">
        <f>IFERROR(__xludf.DUMMYFUNCTION("IF(IF(Q$1="""","""",REGEXMATCH(LOWER($E561),XLOOKUP(Q$1,Metadata!$A$2:$A1000,Metadata!$B$2:$B1000))),Q$1,"""")"),"")</f>
        <v/>
      </c>
      <c r="R561" s="33" t="str">
        <f>IFERROR(__xludf.DUMMYFUNCTION("IF(IF(R$1="""","""",REGEXMATCH(LOWER($E561),XLOOKUP(R$1,Metadata!$A$2:$A1000,Metadata!$B$2:$B1000))),R$1,"""")"),"")</f>
        <v/>
      </c>
      <c r="S561" s="33" t="str">
        <f>IFERROR(__xludf.DUMMYFUNCTION("IF(IF(S$1="""","""",REGEXMATCH(LOWER($E561),XLOOKUP(S$1,Metadata!$A$2:$A1000,Metadata!$B$2:$B1000))),S$1,"""")"),"")</f>
        <v/>
      </c>
      <c r="T561" s="33" t="str">
        <f>IFERROR(__xludf.DUMMYFUNCTION("IF(IF(T$1="""","""",REGEXMATCH(LOWER($E561),XLOOKUP(T$1,Metadata!$A$2:$A1000,Metadata!$B$2:$B1000))),T$1,"""")"),"")</f>
        <v/>
      </c>
      <c r="U561" s="33" t="str">
        <f>IFERROR(__xludf.DUMMYFUNCTION("IF(IF(U$1="""","""",REGEXMATCH(LOWER($E561),XLOOKUP(U$1,Metadata!$A$2:$A1000,Metadata!$B$2:$B1000))),U$1,"""")"),"")</f>
        <v/>
      </c>
      <c r="V561" s="33" t="str">
        <f>IFERROR(__xludf.DUMMYFUNCTION("IF(IF(V$1="""","""",REGEXMATCH(LOWER($E561),XLOOKUP(V$1,Metadata!$A$2:$A1000,Metadata!$B$2:$B1000))),V$1,"""")"),"")</f>
        <v/>
      </c>
      <c r="W561" s="33" t="str">
        <f>IFERROR(__xludf.DUMMYFUNCTION("IF(IF(W$1="""","""",REGEXMATCH(LOWER($E561),XLOOKUP(W$1,Metadata!$A$2:$A1000,Metadata!$B$2:$B1000))),W$1,"""")"),"")</f>
        <v/>
      </c>
      <c r="X561" s="33" t="str">
        <f>IFERROR(__xludf.DUMMYFUNCTION("IF(IF(X$1="""","""",REGEXMATCH(LOWER($E561),XLOOKUP(X$1,Metadata!$A$2:$A1000,Metadata!$B$2:$B1000))),X$1,"""")"),"")</f>
        <v/>
      </c>
      <c r="Y561" s="33" t="str">
        <f>IFERROR(__xludf.DUMMYFUNCTION("IF(IF(Y$1="""","""",REGEXMATCH(LOWER($E561),XLOOKUP(Y$1,Metadata!$A$2:$A1000,Metadata!$B$2:$B1000))),Y$1,"""")"),"")</f>
        <v/>
      </c>
      <c r="Z561" s="33" t="str">
        <f>IFERROR(__xludf.DUMMYFUNCTION("IF(IF(Z$1="""","""",REGEXMATCH(LOWER($E561),XLOOKUP(Z$1,Metadata!$A$2:$A1000,Metadata!$B$2:$B1000))),Z$1,"""")"),"")</f>
        <v/>
      </c>
    </row>
    <row r="562">
      <c r="A562" s="33"/>
      <c r="B562" s="33"/>
      <c r="C562" s="33"/>
      <c r="D562" s="33"/>
      <c r="E562" s="33"/>
      <c r="F562" s="33"/>
      <c r="G562" s="33"/>
      <c r="H562" s="33"/>
      <c r="I562" s="33"/>
      <c r="J562" s="33"/>
      <c r="K562" s="33"/>
      <c r="L562" s="33" t="str">
        <f>IFERROR(__xludf.DUMMYFUNCTION("IF(IF(L$1="""","""",REGEXMATCH(LOWER($E562),XLOOKUP(L$1,Metadata!$A$2:$A1000,Metadata!$B$2:$B1000))),L$1,"""")"),"")</f>
        <v/>
      </c>
      <c r="M562" s="33" t="str">
        <f>IFERROR(__xludf.DUMMYFUNCTION("IF(IF(M$1="""","""",REGEXMATCH(LOWER($E562),XLOOKUP(M$1,Metadata!$A$2:$A1000,Metadata!$B$2:$B1000))),M$1,"""")"),"")</f>
        <v/>
      </c>
      <c r="N562" s="33" t="str">
        <f>IFERROR(__xludf.DUMMYFUNCTION("IF(IF(N$1="""","""",REGEXMATCH(LOWER($E562),XLOOKUP(N$1,Metadata!$A$2:$A1000,Metadata!$B$2:$B1000))),N$1,"""")"),"")</f>
        <v/>
      </c>
      <c r="O562" s="33" t="str">
        <f>IFERROR(__xludf.DUMMYFUNCTION("IF(IF(O$1="""","""",REGEXMATCH(LOWER($E562),XLOOKUP(O$1,Metadata!$A$2:$A1000,Metadata!$B$2:$B1000))),O$1,"""")"),"")</f>
        <v/>
      </c>
      <c r="P562" s="33" t="str">
        <f>IFERROR(__xludf.DUMMYFUNCTION("IF(IF(P$1="""","""",REGEXMATCH(LOWER($E562),XLOOKUP(P$1,Metadata!$A$2:$A1000,Metadata!$B$2:$B1000))),P$1,"""")"),"")</f>
        <v/>
      </c>
      <c r="Q562" s="33" t="str">
        <f>IFERROR(__xludf.DUMMYFUNCTION("IF(IF(Q$1="""","""",REGEXMATCH(LOWER($E562),XLOOKUP(Q$1,Metadata!$A$2:$A1000,Metadata!$B$2:$B1000))),Q$1,"""")"),"")</f>
        <v/>
      </c>
      <c r="R562" s="33" t="str">
        <f>IFERROR(__xludf.DUMMYFUNCTION("IF(IF(R$1="""","""",REGEXMATCH(LOWER($E562),XLOOKUP(R$1,Metadata!$A$2:$A1000,Metadata!$B$2:$B1000))),R$1,"""")"),"")</f>
        <v/>
      </c>
      <c r="S562" s="33" t="str">
        <f>IFERROR(__xludf.DUMMYFUNCTION("IF(IF(S$1="""","""",REGEXMATCH(LOWER($E562),XLOOKUP(S$1,Metadata!$A$2:$A1000,Metadata!$B$2:$B1000))),S$1,"""")"),"")</f>
        <v/>
      </c>
      <c r="T562" s="33" t="str">
        <f>IFERROR(__xludf.DUMMYFUNCTION("IF(IF(T$1="""","""",REGEXMATCH(LOWER($E562),XLOOKUP(T$1,Metadata!$A$2:$A1000,Metadata!$B$2:$B1000))),T$1,"""")"),"")</f>
        <v/>
      </c>
      <c r="U562" s="33" t="str">
        <f>IFERROR(__xludf.DUMMYFUNCTION("IF(IF(U$1="""","""",REGEXMATCH(LOWER($E562),XLOOKUP(U$1,Metadata!$A$2:$A1000,Metadata!$B$2:$B1000))),U$1,"""")"),"")</f>
        <v/>
      </c>
      <c r="V562" s="33" t="str">
        <f>IFERROR(__xludf.DUMMYFUNCTION("IF(IF(V$1="""","""",REGEXMATCH(LOWER($E562),XLOOKUP(V$1,Metadata!$A$2:$A1000,Metadata!$B$2:$B1000))),V$1,"""")"),"")</f>
        <v/>
      </c>
      <c r="W562" s="33" t="str">
        <f>IFERROR(__xludf.DUMMYFUNCTION("IF(IF(W$1="""","""",REGEXMATCH(LOWER($E562),XLOOKUP(W$1,Metadata!$A$2:$A1000,Metadata!$B$2:$B1000))),W$1,"""")"),"")</f>
        <v/>
      </c>
      <c r="X562" s="33" t="str">
        <f>IFERROR(__xludf.DUMMYFUNCTION("IF(IF(X$1="""","""",REGEXMATCH(LOWER($E562),XLOOKUP(X$1,Metadata!$A$2:$A1000,Metadata!$B$2:$B1000))),X$1,"""")"),"")</f>
        <v/>
      </c>
      <c r="Y562" s="33" t="str">
        <f>IFERROR(__xludf.DUMMYFUNCTION("IF(IF(Y$1="""","""",REGEXMATCH(LOWER($E562),XLOOKUP(Y$1,Metadata!$A$2:$A1000,Metadata!$B$2:$B1000))),Y$1,"""")"),"")</f>
        <v/>
      </c>
      <c r="Z562" s="33" t="str">
        <f>IFERROR(__xludf.DUMMYFUNCTION("IF(IF(Z$1="""","""",REGEXMATCH(LOWER($E562),XLOOKUP(Z$1,Metadata!$A$2:$A1000,Metadata!$B$2:$B1000))),Z$1,"""")"),"")</f>
        <v/>
      </c>
    </row>
    <row r="563">
      <c r="A563" s="33"/>
      <c r="B563" s="33"/>
      <c r="C563" s="33"/>
      <c r="D563" s="33"/>
      <c r="E563" s="33"/>
      <c r="F563" s="33"/>
      <c r="G563" s="33"/>
      <c r="H563" s="33"/>
      <c r="I563" s="33"/>
      <c r="J563" s="33"/>
      <c r="K563" s="33"/>
      <c r="L563" s="33" t="str">
        <f>IFERROR(__xludf.DUMMYFUNCTION("IF(IF(L$1="""","""",REGEXMATCH(LOWER($E563),XLOOKUP(L$1,Metadata!$A$2:$A1000,Metadata!$B$2:$B1000))),L$1,"""")"),"")</f>
        <v/>
      </c>
      <c r="M563" s="33" t="str">
        <f>IFERROR(__xludf.DUMMYFUNCTION("IF(IF(M$1="""","""",REGEXMATCH(LOWER($E563),XLOOKUP(M$1,Metadata!$A$2:$A1000,Metadata!$B$2:$B1000))),M$1,"""")"),"")</f>
        <v/>
      </c>
      <c r="N563" s="33" t="str">
        <f>IFERROR(__xludf.DUMMYFUNCTION("IF(IF(N$1="""","""",REGEXMATCH(LOWER($E563),XLOOKUP(N$1,Metadata!$A$2:$A1000,Metadata!$B$2:$B1000))),N$1,"""")"),"")</f>
        <v/>
      </c>
      <c r="O563" s="33" t="str">
        <f>IFERROR(__xludf.DUMMYFUNCTION("IF(IF(O$1="""","""",REGEXMATCH(LOWER($E563),XLOOKUP(O$1,Metadata!$A$2:$A1000,Metadata!$B$2:$B1000))),O$1,"""")"),"")</f>
        <v/>
      </c>
      <c r="P563" s="33" t="str">
        <f>IFERROR(__xludf.DUMMYFUNCTION("IF(IF(P$1="""","""",REGEXMATCH(LOWER($E563),XLOOKUP(P$1,Metadata!$A$2:$A1000,Metadata!$B$2:$B1000))),P$1,"""")"),"")</f>
        <v/>
      </c>
      <c r="Q563" s="33" t="str">
        <f>IFERROR(__xludf.DUMMYFUNCTION("IF(IF(Q$1="""","""",REGEXMATCH(LOWER($E563),XLOOKUP(Q$1,Metadata!$A$2:$A1000,Metadata!$B$2:$B1000))),Q$1,"""")"),"")</f>
        <v/>
      </c>
      <c r="R563" s="33" t="str">
        <f>IFERROR(__xludf.DUMMYFUNCTION("IF(IF(R$1="""","""",REGEXMATCH(LOWER($E563),XLOOKUP(R$1,Metadata!$A$2:$A1000,Metadata!$B$2:$B1000))),R$1,"""")"),"")</f>
        <v/>
      </c>
      <c r="S563" s="33" t="str">
        <f>IFERROR(__xludf.DUMMYFUNCTION("IF(IF(S$1="""","""",REGEXMATCH(LOWER($E563),XLOOKUP(S$1,Metadata!$A$2:$A1000,Metadata!$B$2:$B1000))),S$1,"""")"),"")</f>
        <v/>
      </c>
      <c r="T563" s="33" t="str">
        <f>IFERROR(__xludf.DUMMYFUNCTION("IF(IF(T$1="""","""",REGEXMATCH(LOWER($E563),XLOOKUP(T$1,Metadata!$A$2:$A1000,Metadata!$B$2:$B1000))),T$1,"""")"),"")</f>
        <v/>
      </c>
      <c r="U563" s="33" t="str">
        <f>IFERROR(__xludf.DUMMYFUNCTION("IF(IF(U$1="""","""",REGEXMATCH(LOWER($E563),XLOOKUP(U$1,Metadata!$A$2:$A1000,Metadata!$B$2:$B1000))),U$1,"""")"),"")</f>
        <v/>
      </c>
      <c r="V563" s="33" t="str">
        <f>IFERROR(__xludf.DUMMYFUNCTION("IF(IF(V$1="""","""",REGEXMATCH(LOWER($E563),XLOOKUP(V$1,Metadata!$A$2:$A1000,Metadata!$B$2:$B1000))),V$1,"""")"),"")</f>
        <v/>
      </c>
      <c r="W563" s="33" t="str">
        <f>IFERROR(__xludf.DUMMYFUNCTION("IF(IF(W$1="""","""",REGEXMATCH(LOWER($E563),XLOOKUP(W$1,Metadata!$A$2:$A1000,Metadata!$B$2:$B1000))),W$1,"""")"),"")</f>
        <v/>
      </c>
      <c r="X563" s="33" t="str">
        <f>IFERROR(__xludf.DUMMYFUNCTION("IF(IF(X$1="""","""",REGEXMATCH(LOWER($E563),XLOOKUP(X$1,Metadata!$A$2:$A1000,Metadata!$B$2:$B1000))),X$1,"""")"),"")</f>
        <v/>
      </c>
      <c r="Y563" s="33" t="str">
        <f>IFERROR(__xludf.DUMMYFUNCTION("IF(IF(Y$1="""","""",REGEXMATCH(LOWER($E563),XLOOKUP(Y$1,Metadata!$A$2:$A1000,Metadata!$B$2:$B1000))),Y$1,"""")"),"")</f>
        <v/>
      </c>
      <c r="Z563" s="33" t="str">
        <f>IFERROR(__xludf.DUMMYFUNCTION("IF(IF(Z$1="""","""",REGEXMATCH(LOWER($E563),XLOOKUP(Z$1,Metadata!$A$2:$A1000,Metadata!$B$2:$B1000))),Z$1,"""")"),"")</f>
        <v/>
      </c>
    </row>
    <row r="564">
      <c r="A564" s="33"/>
      <c r="B564" s="33"/>
      <c r="C564" s="33"/>
      <c r="D564" s="33"/>
      <c r="E564" s="33"/>
      <c r="F564" s="33"/>
      <c r="G564" s="33"/>
      <c r="H564" s="33"/>
      <c r="I564" s="33"/>
      <c r="J564" s="33"/>
      <c r="K564" s="33"/>
      <c r="L564" s="33" t="str">
        <f>IFERROR(__xludf.DUMMYFUNCTION("IF(IF(L$1="""","""",REGEXMATCH(LOWER($E564),XLOOKUP(L$1,Metadata!$A$2:$A1000,Metadata!$B$2:$B1000))),L$1,"""")"),"")</f>
        <v/>
      </c>
      <c r="M564" s="33" t="str">
        <f>IFERROR(__xludf.DUMMYFUNCTION("IF(IF(M$1="""","""",REGEXMATCH(LOWER($E564),XLOOKUP(M$1,Metadata!$A$2:$A1000,Metadata!$B$2:$B1000))),M$1,"""")"),"")</f>
        <v/>
      </c>
      <c r="N564" s="33" t="str">
        <f>IFERROR(__xludf.DUMMYFUNCTION("IF(IF(N$1="""","""",REGEXMATCH(LOWER($E564),XLOOKUP(N$1,Metadata!$A$2:$A1000,Metadata!$B$2:$B1000))),N$1,"""")"),"")</f>
        <v/>
      </c>
      <c r="O564" s="33" t="str">
        <f>IFERROR(__xludf.DUMMYFUNCTION("IF(IF(O$1="""","""",REGEXMATCH(LOWER($E564),XLOOKUP(O$1,Metadata!$A$2:$A1000,Metadata!$B$2:$B1000))),O$1,"""")"),"")</f>
        <v/>
      </c>
      <c r="P564" s="33" t="str">
        <f>IFERROR(__xludf.DUMMYFUNCTION("IF(IF(P$1="""","""",REGEXMATCH(LOWER($E564),XLOOKUP(P$1,Metadata!$A$2:$A1000,Metadata!$B$2:$B1000))),P$1,"""")"),"")</f>
        <v/>
      </c>
      <c r="Q564" s="33" t="str">
        <f>IFERROR(__xludf.DUMMYFUNCTION("IF(IF(Q$1="""","""",REGEXMATCH(LOWER($E564),XLOOKUP(Q$1,Metadata!$A$2:$A1000,Metadata!$B$2:$B1000))),Q$1,"""")"),"")</f>
        <v/>
      </c>
      <c r="R564" s="33" t="str">
        <f>IFERROR(__xludf.DUMMYFUNCTION("IF(IF(R$1="""","""",REGEXMATCH(LOWER($E564),XLOOKUP(R$1,Metadata!$A$2:$A1000,Metadata!$B$2:$B1000))),R$1,"""")"),"")</f>
        <v/>
      </c>
      <c r="S564" s="33" t="str">
        <f>IFERROR(__xludf.DUMMYFUNCTION("IF(IF(S$1="""","""",REGEXMATCH(LOWER($E564),XLOOKUP(S$1,Metadata!$A$2:$A1000,Metadata!$B$2:$B1000))),S$1,"""")"),"")</f>
        <v/>
      </c>
      <c r="T564" s="33" t="str">
        <f>IFERROR(__xludf.DUMMYFUNCTION("IF(IF(T$1="""","""",REGEXMATCH(LOWER($E564),XLOOKUP(T$1,Metadata!$A$2:$A1000,Metadata!$B$2:$B1000))),T$1,"""")"),"")</f>
        <v/>
      </c>
      <c r="U564" s="33" t="str">
        <f>IFERROR(__xludf.DUMMYFUNCTION("IF(IF(U$1="""","""",REGEXMATCH(LOWER($E564),XLOOKUP(U$1,Metadata!$A$2:$A1000,Metadata!$B$2:$B1000))),U$1,"""")"),"")</f>
        <v/>
      </c>
      <c r="V564" s="33" t="str">
        <f>IFERROR(__xludf.DUMMYFUNCTION("IF(IF(V$1="""","""",REGEXMATCH(LOWER($E564),XLOOKUP(V$1,Metadata!$A$2:$A1000,Metadata!$B$2:$B1000))),V$1,"""")"),"")</f>
        <v/>
      </c>
      <c r="W564" s="33" t="str">
        <f>IFERROR(__xludf.DUMMYFUNCTION("IF(IF(W$1="""","""",REGEXMATCH(LOWER($E564),XLOOKUP(W$1,Metadata!$A$2:$A1000,Metadata!$B$2:$B1000))),W$1,"""")"),"")</f>
        <v/>
      </c>
      <c r="X564" s="33" t="str">
        <f>IFERROR(__xludf.DUMMYFUNCTION("IF(IF(X$1="""","""",REGEXMATCH(LOWER($E564),XLOOKUP(X$1,Metadata!$A$2:$A1000,Metadata!$B$2:$B1000))),X$1,"""")"),"")</f>
        <v/>
      </c>
      <c r="Y564" s="33" t="str">
        <f>IFERROR(__xludf.DUMMYFUNCTION("IF(IF(Y$1="""","""",REGEXMATCH(LOWER($E564),XLOOKUP(Y$1,Metadata!$A$2:$A1000,Metadata!$B$2:$B1000))),Y$1,"""")"),"")</f>
        <v/>
      </c>
      <c r="Z564" s="33" t="str">
        <f>IFERROR(__xludf.DUMMYFUNCTION("IF(IF(Z$1="""","""",REGEXMATCH(LOWER($E564),XLOOKUP(Z$1,Metadata!$A$2:$A1000,Metadata!$B$2:$B1000))),Z$1,"""")"),"")</f>
        <v/>
      </c>
    </row>
    <row r="565">
      <c r="A565" s="33"/>
      <c r="B565" s="33"/>
      <c r="C565" s="33"/>
      <c r="D565" s="33"/>
      <c r="E565" s="33"/>
      <c r="F565" s="33"/>
      <c r="G565" s="33"/>
      <c r="H565" s="33"/>
      <c r="I565" s="33"/>
      <c r="J565" s="33"/>
      <c r="K565" s="33"/>
      <c r="L565" s="33" t="str">
        <f>IFERROR(__xludf.DUMMYFUNCTION("IF(IF(L$1="""","""",REGEXMATCH(LOWER($E565),XLOOKUP(L$1,Metadata!$A$2:$A1000,Metadata!$B$2:$B1000))),L$1,"""")"),"")</f>
        <v/>
      </c>
      <c r="M565" s="33" t="str">
        <f>IFERROR(__xludf.DUMMYFUNCTION("IF(IF(M$1="""","""",REGEXMATCH(LOWER($E565),XLOOKUP(M$1,Metadata!$A$2:$A1000,Metadata!$B$2:$B1000))),M$1,"""")"),"")</f>
        <v/>
      </c>
      <c r="N565" s="33" t="str">
        <f>IFERROR(__xludf.DUMMYFUNCTION("IF(IF(N$1="""","""",REGEXMATCH(LOWER($E565),XLOOKUP(N$1,Metadata!$A$2:$A1000,Metadata!$B$2:$B1000))),N$1,"""")"),"")</f>
        <v/>
      </c>
      <c r="O565" s="33" t="str">
        <f>IFERROR(__xludf.DUMMYFUNCTION("IF(IF(O$1="""","""",REGEXMATCH(LOWER($E565),XLOOKUP(O$1,Metadata!$A$2:$A1000,Metadata!$B$2:$B1000))),O$1,"""")"),"")</f>
        <v/>
      </c>
      <c r="P565" s="33" t="str">
        <f>IFERROR(__xludf.DUMMYFUNCTION("IF(IF(P$1="""","""",REGEXMATCH(LOWER($E565),XLOOKUP(P$1,Metadata!$A$2:$A1000,Metadata!$B$2:$B1000))),P$1,"""")"),"")</f>
        <v/>
      </c>
      <c r="Q565" s="33" t="str">
        <f>IFERROR(__xludf.DUMMYFUNCTION("IF(IF(Q$1="""","""",REGEXMATCH(LOWER($E565),XLOOKUP(Q$1,Metadata!$A$2:$A1000,Metadata!$B$2:$B1000))),Q$1,"""")"),"")</f>
        <v/>
      </c>
      <c r="R565" s="33" t="str">
        <f>IFERROR(__xludf.DUMMYFUNCTION("IF(IF(R$1="""","""",REGEXMATCH(LOWER($E565),XLOOKUP(R$1,Metadata!$A$2:$A1000,Metadata!$B$2:$B1000))),R$1,"""")"),"")</f>
        <v/>
      </c>
      <c r="S565" s="33" t="str">
        <f>IFERROR(__xludf.DUMMYFUNCTION("IF(IF(S$1="""","""",REGEXMATCH(LOWER($E565),XLOOKUP(S$1,Metadata!$A$2:$A1000,Metadata!$B$2:$B1000))),S$1,"""")"),"")</f>
        <v/>
      </c>
      <c r="T565" s="33" t="str">
        <f>IFERROR(__xludf.DUMMYFUNCTION("IF(IF(T$1="""","""",REGEXMATCH(LOWER($E565),XLOOKUP(T$1,Metadata!$A$2:$A1000,Metadata!$B$2:$B1000))),T$1,"""")"),"")</f>
        <v/>
      </c>
      <c r="U565" s="33" t="str">
        <f>IFERROR(__xludf.DUMMYFUNCTION("IF(IF(U$1="""","""",REGEXMATCH(LOWER($E565),XLOOKUP(U$1,Metadata!$A$2:$A1000,Metadata!$B$2:$B1000))),U$1,"""")"),"")</f>
        <v/>
      </c>
      <c r="V565" s="33" t="str">
        <f>IFERROR(__xludf.DUMMYFUNCTION("IF(IF(V$1="""","""",REGEXMATCH(LOWER($E565),XLOOKUP(V$1,Metadata!$A$2:$A1000,Metadata!$B$2:$B1000))),V$1,"""")"),"")</f>
        <v/>
      </c>
      <c r="W565" s="33" t="str">
        <f>IFERROR(__xludf.DUMMYFUNCTION("IF(IF(W$1="""","""",REGEXMATCH(LOWER($E565),XLOOKUP(W$1,Metadata!$A$2:$A1000,Metadata!$B$2:$B1000))),W$1,"""")"),"")</f>
        <v/>
      </c>
      <c r="X565" s="33" t="str">
        <f>IFERROR(__xludf.DUMMYFUNCTION("IF(IF(X$1="""","""",REGEXMATCH(LOWER($E565),XLOOKUP(X$1,Metadata!$A$2:$A1000,Metadata!$B$2:$B1000))),X$1,"""")"),"")</f>
        <v/>
      </c>
      <c r="Y565" s="33" t="str">
        <f>IFERROR(__xludf.DUMMYFUNCTION("IF(IF(Y$1="""","""",REGEXMATCH(LOWER($E565),XLOOKUP(Y$1,Metadata!$A$2:$A1000,Metadata!$B$2:$B1000))),Y$1,"""")"),"")</f>
        <v/>
      </c>
      <c r="Z565" s="33" t="str">
        <f>IFERROR(__xludf.DUMMYFUNCTION("IF(IF(Z$1="""","""",REGEXMATCH(LOWER($E565),XLOOKUP(Z$1,Metadata!$A$2:$A1000,Metadata!$B$2:$B1000))),Z$1,"""")"),"")</f>
        <v/>
      </c>
    </row>
    <row r="566">
      <c r="A566" s="33"/>
      <c r="B566" s="33"/>
      <c r="C566" s="33"/>
      <c r="D566" s="33"/>
      <c r="E566" s="33"/>
      <c r="F566" s="33"/>
      <c r="G566" s="33"/>
      <c r="H566" s="33"/>
      <c r="I566" s="33"/>
      <c r="J566" s="33"/>
      <c r="K566" s="33"/>
      <c r="L566" s="33" t="str">
        <f>IFERROR(__xludf.DUMMYFUNCTION("IF(IF(L$1="""","""",REGEXMATCH(LOWER($E566),XLOOKUP(L$1,Metadata!$A$2:$A1000,Metadata!$B$2:$B1000))),L$1,"""")"),"")</f>
        <v/>
      </c>
      <c r="M566" s="33" t="str">
        <f>IFERROR(__xludf.DUMMYFUNCTION("IF(IF(M$1="""","""",REGEXMATCH(LOWER($E566),XLOOKUP(M$1,Metadata!$A$2:$A1000,Metadata!$B$2:$B1000))),M$1,"""")"),"")</f>
        <v/>
      </c>
      <c r="N566" s="33" t="str">
        <f>IFERROR(__xludf.DUMMYFUNCTION("IF(IF(N$1="""","""",REGEXMATCH(LOWER($E566),XLOOKUP(N$1,Metadata!$A$2:$A1000,Metadata!$B$2:$B1000))),N$1,"""")"),"")</f>
        <v/>
      </c>
      <c r="O566" s="33" t="str">
        <f>IFERROR(__xludf.DUMMYFUNCTION("IF(IF(O$1="""","""",REGEXMATCH(LOWER($E566),XLOOKUP(O$1,Metadata!$A$2:$A1000,Metadata!$B$2:$B1000))),O$1,"""")"),"")</f>
        <v/>
      </c>
      <c r="P566" s="33" t="str">
        <f>IFERROR(__xludf.DUMMYFUNCTION("IF(IF(P$1="""","""",REGEXMATCH(LOWER($E566),XLOOKUP(P$1,Metadata!$A$2:$A1000,Metadata!$B$2:$B1000))),P$1,"""")"),"")</f>
        <v/>
      </c>
      <c r="Q566" s="33" t="str">
        <f>IFERROR(__xludf.DUMMYFUNCTION("IF(IF(Q$1="""","""",REGEXMATCH(LOWER($E566),XLOOKUP(Q$1,Metadata!$A$2:$A1000,Metadata!$B$2:$B1000))),Q$1,"""")"),"")</f>
        <v/>
      </c>
      <c r="R566" s="33" t="str">
        <f>IFERROR(__xludf.DUMMYFUNCTION("IF(IF(R$1="""","""",REGEXMATCH(LOWER($E566),XLOOKUP(R$1,Metadata!$A$2:$A1000,Metadata!$B$2:$B1000))),R$1,"""")"),"")</f>
        <v/>
      </c>
      <c r="S566" s="33" t="str">
        <f>IFERROR(__xludf.DUMMYFUNCTION("IF(IF(S$1="""","""",REGEXMATCH(LOWER($E566),XLOOKUP(S$1,Metadata!$A$2:$A1000,Metadata!$B$2:$B1000))),S$1,"""")"),"")</f>
        <v/>
      </c>
      <c r="T566" s="33" t="str">
        <f>IFERROR(__xludf.DUMMYFUNCTION("IF(IF(T$1="""","""",REGEXMATCH(LOWER($E566),XLOOKUP(T$1,Metadata!$A$2:$A1000,Metadata!$B$2:$B1000))),T$1,"""")"),"")</f>
        <v/>
      </c>
      <c r="U566" s="33" t="str">
        <f>IFERROR(__xludf.DUMMYFUNCTION("IF(IF(U$1="""","""",REGEXMATCH(LOWER($E566),XLOOKUP(U$1,Metadata!$A$2:$A1000,Metadata!$B$2:$B1000))),U$1,"""")"),"")</f>
        <v/>
      </c>
      <c r="V566" s="33" t="str">
        <f>IFERROR(__xludf.DUMMYFUNCTION("IF(IF(V$1="""","""",REGEXMATCH(LOWER($E566),XLOOKUP(V$1,Metadata!$A$2:$A1000,Metadata!$B$2:$B1000))),V$1,"""")"),"")</f>
        <v/>
      </c>
      <c r="W566" s="33" t="str">
        <f>IFERROR(__xludf.DUMMYFUNCTION("IF(IF(W$1="""","""",REGEXMATCH(LOWER($E566),XLOOKUP(W$1,Metadata!$A$2:$A1000,Metadata!$B$2:$B1000))),W$1,"""")"),"")</f>
        <v/>
      </c>
      <c r="X566" s="33" t="str">
        <f>IFERROR(__xludf.DUMMYFUNCTION("IF(IF(X$1="""","""",REGEXMATCH(LOWER($E566),XLOOKUP(X$1,Metadata!$A$2:$A1000,Metadata!$B$2:$B1000))),X$1,"""")"),"")</f>
        <v/>
      </c>
      <c r="Y566" s="33" t="str">
        <f>IFERROR(__xludf.DUMMYFUNCTION("IF(IF(Y$1="""","""",REGEXMATCH(LOWER($E566),XLOOKUP(Y$1,Metadata!$A$2:$A1000,Metadata!$B$2:$B1000))),Y$1,"""")"),"")</f>
        <v/>
      </c>
      <c r="Z566" s="33" t="str">
        <f>IFERROR(__xludf.DUMMYFUNCTION("IF(IF(Z$1="""","""",REGEXMATCH(LOWER($E566),XLOOKUP(Z$1,Metadata!$A$2:$A1000,Metadata!$B$2:$B1000))),Z$1,"""")"),"")</f>
        <v/>
      </c>
    </row>
    <row r="567">
      <c r="A567" s="33"/>
      <c r="B567" s="33"/>
      <c r="C567" s="33"/>
      <c r="D567" s="33"/>
      <c r="E567" s="33"/>
      <c r="F567" s="33"/>
      <c r="G567" s="33"/>
      <c r="H567" s="33"/>
      <c r="I567" s="33"/>
      <c r="J567" s="33"/>
      <c r="K567" s="33"/>
      <c r="L567" s="33" t="str">
        <f>IFERROR(__xludf.DUMMYFUNCTION("IF(IF(L$1="""","""",REGEXMATCH(LOWER($E567),XLOOKUP(L$1,Metadata!$A$2:$A1000,Metadata!$B$2:$B1000))),L$1,"""")"),"")</f>
        <v/>
      </c>
      <c r="M567" s="33" t="str">
        <f>IFERROR(__xludf.DUMMYFUNCTION("IF(IF(M$1="""","""",REGEXMATCH(LOWER($E567),XLOOKUP(M$1,Metadata!$A$2:$A1000,Metadata!$B$2:$B1000))),M$1,"""")"),"")</f>
        <v/>
      </c>
      <c r="N567" s="33" t="str">
        <f>IFERROR(__xludf.DUMMYFUNCTION("IF(IF(N$1="""","""",REGEXMATCH(LOWER($E567),XLOOKUP(N$1,Metadata!$A$2:$A1000,Metadata!$B$2:$B1000))),N$1,"""")"),"")</f>
        <v/>
      </c>
      <c r="O567" s="33" t="str">
        <f>IFERROR(__xludf.DUMMYFUNCTION("IF(IF(O$1="""","""",REGEXMATCH(LOWER($E567),XLOOKUP(O$1,Metadata!$A$2:$A1000,Metadata!$B$2:$B1000))),O$1,"""")"),"")</f>
        <v/>
      </c>
      <c r="P567" s="33" t="str">
        <f>IFERROR(__xludf.DUMMYFUNCTION("IF(IF(P$1="""","""",REGEXMATCH(LOWER($E567),XLOOKUP(P$1,Metadata!$A$2:$A1000,Metadata!$B$2:$B1000))),P$1,"""")"),"")</f>
        <v/>
      </c>
      <c r="Q567" s="33" t="str">
        <f>IFERROR(__xludf.DUMMYFUNCTION("IF(IF(Q$1="""","""",REGEXMATCH(LOWER($E567),XLOOKUP(Q$1,Metadata!$A$2:$A1000,Metadata!$B$2:$B1000))),Q$1,"""")"),"")</f>
        <v/>
      </c>
      <c r="R567" s="33" t="str">
        <f>IFERROR(__xludf.DUMMYFUNCTION("IF(IF(R$1="""","""",REGEXMATCH(LOWER($E567),XLOOKUP(R$1,Metadata!$A$2:$A1000,Metadata!$B$2:$B1000))),R$1,"""")"),"")</f>
        <v/>
      </c>
      <c r="S567" s="33" t="str">
        <f>IFERROR(__xludf.DUMMYFUNCTION("IF(IF(S$1="""","""",REGEXMATCH(LOWER($E567),XLOOKUP(S$1,Metadata!$A$2:$A1000,Metadata!$B$2:$B1000))),S$1,"""")"),"")</f>
        <v/>
      </c>
      <c r="T567" s="33" t="str">
        <f>IFERROR(__xludf.DUMMYFUNCTION("IF(IF(T$1="""","""",REGEXMATCH(LOWER($E567),XLOOKUP(T$1,Metadata!$A$2:$A1000,Metadata!$B$2:$B1000))),T$1,"""")"),"")</f>
        <v/>
      </c>
      <c r="U567" s="33" t="str">
        <f>IFERROR(__xludf.DUMMYFUNCTION("IF(IF(U$1="""","""",REGEXMATCH(LOWER($E567),XLOOKUP(U$1,Metadata!$A$2:$A1000,Metadata!$B$2:$B1000))),U$1,"""")"),"")</f>
        <v/>
      </c>
      <c r="V567" s="33" t="str">
        <f>IFERROR(__xludf.DUMMYFUNCTION("IF(IF(V$1="""","""",REGEXMATCH(LOWER($E567),XLOOKUP(V$1,Metadata!$A$2:$A1000,Metadata!$B$2:$B1000))),V$1,"""")"),"")</f>
        <v/>
      </c>
      <c r="W567" s="33" t="str">
        <f>IFERROR(__xludf.DUMMYFUNCTION("IF(IF(W$1="""","""",REGEXMATCH(LOWER($E567),XLOOKUP(W$1,Metadata!$A$2:$A1000,Metadata!$B$2:$B1000))),W$1,"""")"),"")</f>
        <v/>
      </c>
      <c r="X567" s="33" t="str">
        <f>IFERROR(__xludf.DUMMYFUNCTION("IF(IF(X$1="""","""",REGEXMATCH(LOWER($E567),XLOOKUP(X$1,Metadata!$A$2:$A1000,Metadata!$B$2:$B1000))),X$1,"""")"),"")</f>
        <v/>
      </c>
      <c r="Y567" s="33" t="str">
        <f>IFERROR(__xludf.DUMMYFUNCTION("IF(IF(Y$1="""","""",REGEXMATCH(LOWER($E567),XLOOKUP(Y$1,Metadata!$A$2:$A1000,Metadata!$B$2:$B1000))),Y$1,"""")"),"")</f>
        <v/>
      </c>
      <c r="Z567" s="33" t="str">
        <f>IFERROR(__xludf.DUMMYFUNCTION("IF(IF(Z$1="""","""",REGEXMATCH(LOWER($E567),XLOOKUP(Z$1,Metadata!$A$2:$A1000,Metadata!$B$2:$B1000))),Z$1,"""")"),"")</f>
        <v/>
      </c>
    </row>
    <row r="568">
      <c r="A568" s="33"/>
      <c r="B568" s="33"/>
      <c r="C568" s="33"/>
      <c r="D568" s="33"/>
      <c r="E568" s="33"/>
      <c r="F568" s="33"/>
      <c r="G568" s="33"/>
      <c r="H568" s="33"/>
      <c r="I568" s="33"/>
      <c r="J568" s="33"/>
      <c r="K568" s="33"/>
      <c r="L568" s="33" t="str">
        <f>IFERROR(__xludf.DUMMYFUNCTION("IF(IF(L$1="""","""",REGEXMATCH(LOWER($E568),XLOOKUP(L$1,Metadata!$A$2:$A1000,Metadata!$B$2:$B1000))),L$1,"""")"),"")</f>
        <v/>
      </c>
      <c r="M568" s="33" t="str">
        <f>IFERROR(__xludf.DUMMYFUNCTION("IF(IF(M$1="""","""",REGEXMATCH(LOWER($E568),XLOOKUP(M$1,Metadata!$A$2:$A1000,Metadata!$B$2:$B1000))),M$1,"""")"),"")</f>
        <v/>
      </c>
      <c r="N568" s="33" t="str">
        <f>IFERROR(__xludf.DUMMYFUNCTION("IF(IF(N$1="""","""",REGEXMATCH(LOWER($E568),XLOOKUP(N$1,Metadata!$A$2:$A1000,Metadata!$B$2:$B1000))),N$1,"""")"),"")</f>
        <v/>
      </c>
      <c r="O568" s="33" t="str">
        <f>IFERROR(__xludf.DUMMYFUNCTION("IF(IF(O$1="""","""",REGEXMATCH(LOWER($E568),XLOOKUP(O$1,Metadata!$A$2:$A1000,Metadata!$B$2:$B1000))),O$1,"""")"),"")</f>
        <v/>
      </c>
      <c r="P568" s="33" t="str">
        <f>IFERROR(__xludf.DUMMYFUNCTION("IF(IF(P$1="""","""",REGEXMATCH(LOWER($E568),XLOOKUP(P$1,Metadata!$A$2:$A1000,Metadata!$B$2:$B1000))),P$1,"""")"),"")</f>
        <v/>
      </c>
      <c r="Q568" s="33" t="str">
        <f>IFERROR(__xludf.DUMMYFUNCTION("IF(IF(Q$1="""","""",REGEXMATCH(LOWER($E568),XLOOKUP(Q$1,Metadata!$A$2:$A1000,Metadata!$B$2:$B1000))),Q$1,"""")"),"")</f>
        <v/>
      </c>
      <c r="R568" s="33" t="str">
        <f>IFERROR(__xludf.DUMMYFUNCTION("IF(IF(R$1="""","""",REGEXMATCH(LOWER($E568),XLOOKUP(R$1,Metadata!$A$2:$A1000,Metadata!$B$2:$B1000))),R$1,"""")"),"")</f>
        <v/>
      </c>
      <c r="S568" s="33" t="str">
        <f>IFERROR(__xludf.DUMMYFUNCTION("IF(IF(S$1="""","""",REGEXMATCH(LOWER($E568),XLOOKUP(S$1,Metadata!$A$2:$A1000,Metadata!$B$2:$B1000))),S$1,"""")"),"")</f>
        <v/>
      </c>
      <c r="T568" s="33" t="str">
        <f>IFERROR(__xludf.DUMMYFUNCTION("IF(IF(T$1="""","""",REGEXMATCH(LOWER($E568),XLOOKUP(T$1,Metadata!$A$2:$A1000,Metadata!$B$2:$B1000))),T$1,"""")"),"")</f>
        <v/>
      </c>
      <c r="U568" s="33" t="str">
        <f>IFERROR(__xludf.DUMMYFUNCTION("IF(IF(U$1="""","""",REGEXMATCH(LOWER($E568),XLOOKUP(U$1,Metadata!$A$2:$A1000,Metadata!$B$2:$B1000))),U$1,"""")"),"")</f>
        <v/>
      </c>
      <c r="V568" s="33" t="str">
        <f>IFERROR(__xludf.DUMMYFUNCTION("IF(IF(V$1="""","""",REGEXMATCH(LOWER($E568),XLOOKUP(V$1,Metadata!$A$2:$A1000,Metadata!$B$2:$B1000))),V$1,"""")"),"")</f>
        <v/>
      </c>
      <c r="W568" s="33" t="str">
        <f>IFERROR(__xludf.DUMMYFUNCTION("IF(IF(W$1="""","""",REGEXMATCH(LOWER($E568),XLOOKUP(W$1,Metadata!$A$2:$A1000,Metadata!$B$2:$B1000))),W$1,"""")"),"")</f>
        <v/>
      </c>
      <c r="X568" s="33" t="str">
        <f>IFERROR(__xludf.DUMMYFUNCTION("IF(IF(X$1="""","""",REGEXMATCH(LOWER($E568),XLOOKUP(X$1,Metadata!$A$2:$A1000,Metadata!$B$2:$B1000))),X$1,"""")"),"")</f>
        <v/>
      </c>
      <c r="Y568" s="33" t="str">
        <f>IFERROR(__xludf.DUMMYFUNCTION("IF(IF(Y$1="""","""",REGEXMATCH(LOWER($E568),XLOOKUP(Y$1,Metadata!$A$2:$A1000,Metadata!$B$2:$B1000))),Y$1,"""")"),"")</f>
        <v/>
      </c>
      <c r="Z568" s="33" t="str">
        <f>IFERROR(__xludf.DUMMYFUNCTION("IF(IF(Z$1="""","""",REGEXMATCH(LOWER($E568),XLOOKUP(Z$1,Metadata!$A$2:$A1000,Metadata!$B$2:$B1000))),Z$1,"""")"),"")</f>
        <v/>
      </c>
    </row>
    <row r="569">
      <c r="A569" s="33"/>
      <c r="B569" s="33"/>
      <c r="C569" s="33"/>
      <c r="D569" s="33"/>
      <c r="E569" s="33"/>
      <c r="F569" s="33"/>
      <c r="G569" s="33"/>
      <c r="H569" s="33"/>
      <c r="I569" s="33"/>
      <c r="J569" s="33"/>
      <c r="K569" s="33"/>
      <c r="L569" s="33" t="str">
        <f>IFERROR(__xludf.DUMMYFUNCTION("IF(IF(L$1="""","""",REGEXMATCH(LOWER($E569),XLOOKUP(L$1,Metadata!$A$2:$A1000,Metadata!$B$2:$B1000))),L$1,"""")"),"")</f>
        <v/>
      </c>
      <c r="M569" s="33" t="str">
        <f>IFERROR(__xludf.DUMMYFUNCTION("IF(IF(M$1="""","""",REGEXMATCH(LOWER($E569),XLOOKUP(M$1,Metadata!$A$2:$A1000,Metadata!$B$2:$B1000))),M$1,"""")"),"")</f>
        <v/>
      </c>
      <c r="N569" s="33" t="str">
        <f>IFERROR(__xludf.DUMMYFUNCTION("IF(IF(N$1="""","""",REGEXMATCH(LOWER($E569),XLOOKUP(N$1,Metadata!$A$2:$A1000,Metadata!$B$2:$B1000))),N$1,"""")"),"")</f>
        <v/>
      </c>
      <c r="O569" s="33" t="str">
        <f>IFERROR(__xludf.DUMMYFUNCTION("IF(IF(O$1="""","""",REGEXMATCH(LOWER($E569),XLOOKUP(O$1,Metadata!$A$2:$A1000,Metadata!$B$2:$B1000))),O$1,"""")"),"")</f>
        <v/>
      </c>
      <c r="P569" s="33" t="str">
        <f>IFERROR(__xludf.DUMMYFUNCTION("IF(IF(P$1="""","""",REGEXMATCH(LOWER($E569),XLOOKUP(P$1,Metadata!$A$2:$A1000,Metadata!$B$2:$B1000))),P$1,"""")"),"")</f>
        <v/>
      </c>
      <c r="Q569" s="33" t="str">
        <f>IFERROR(__xludf.DUMMYFUNCTION("IF(IF(Q$1="""","""",REGEXMATCH(LOWER($E569),XLOOKUP(Q$1,Metadata!$A$2:$A1000,Metadata!$B$2:$B1000))),Q$1,"""")"),"")</f>
        <v/>
      </c>
      <c r="R569" s="33" t="str">
        <f>IFERROR(__xludf.DUMMYFUNCTION("IF(IF(R$1="""","""",REGEXMATCH(LOWER($E569),XLOOKUP(R$1,Metadata!$A$2:$A1000,Metadata!$B$2:$B1000))),R$1,"""")"),"")</f>
        <v/>
      </c>
      <c r="S569" s="33" t="str">
        <f>IFERROR(__xludf.DUMMYFUNCTION("IF(IF(S$1="""","""",REGEXMATCH(LOWER($E569),XLOOKUP(S$1,Metadata!$A$2:$A1000,Metadata!$B$2:$B1000))),S$1,"""")"),"")</f>
        <v/>
      </c>
      <c r="T569" s="33" t="str">
        <f>IFERROR(__xludf.DUMMYFUNCTION("IF(IF(T$1="""","""",REGEXMATCH(LOWER($E569),XLOOKUP(T$1,Metadata!$A$2:$A1000,Metadata!$B$2:$B1000))),T$1,"""")"),"")</f>
        <v/>
      </c>
      <c r="U569" s="33" t="str">
        <f>IFERROR(__xludf.DUMMYFUNCTION("IF(IF(U$1="""","""",REGEXMATCH(LOWER($E569),XLOOKUP(U$1,Metadata!$A$2:$A1000,Metadata!$B$2:$B1000))),U$1,"""")"),"")</f>
        <v/>
      </c>
      <c r="V569" s="33" t="str">
        <f>IFERROR(__xludf.DUMMYFUNCTION("IF(IF(V$1="""","""",REGEXMATCH(LOWER($E569),XLOOKUP(V$1,Metadata!$A$2:$A1000,Metadata!$B$2:$B1000))),V$1,"""")"),"")</f>
        <v/>
      </c>
      <c r="W569" s="33" t="str">
        <f>IFERROR(__xludf.DUMMYFUNCTION("IF(IF(W$1="""","""",REGEXMATCH(LOWER($E569),XLOOKUP(W$1,Metadata!$A$2:$A1000,Metadata!$B$2:$B1000))),W$1,"""")"),"")</f>
        <v/>
      </c>
      <c r="X569" s="33" t="str">
        <f>IFERROR(__xludf.DUMMYFUNCTION("IF(IF(X$1="""","""",REGEXMATCH(LOWER($E569),XLOOKUP(X$1,Metadata!$A$2:$A1000,Metadata!$B$2:$B1000))),X$1,"""")"),"")</f>
        <v/>
      </c>
      <c r="Y569" s="33" t="str">
        <f>IFERROR(__xludf.DUMMYFUNCTION("IF(IF(Y$1="""","""",REGEXMATCH(LOWER($E569),XLOOKUP(Y$1,Metadata!$A$2:$A1000,Metadata!$B$2:$B1000))),Y$1,"""")"),"")</f>
        <v/>
      </c>
      <c r="Z569" s="33" t="str">
        <f>IFERROR(__xludf.DUMMYFUNCTION("IF(IF(Z$1="""","""",REGEXMATCH(LOWER($E569),XLOOKUP(Z$1,Metadata!$A$2:$A1000,Metadata!$B$2:$B1000))),Z$1,"""")"),"")</f>
        <v/>
      </c>
    </row>
    <row r="570">
      <c r="A570" s="33"/>
      <c r="B570" s="33"/>
      <c r="C570" s="33"/>
      <c r="D570" s="33"/>
      <c r="E570" s="33"/>
      <c r="F570" s="33"/>
      <c r="G570" s="33"/>
      <c r="H570" s="33"/>
      <c r="I570" s="33"/>
      <c r="J570" s="33"/>
      <c r="K570" s="33"/>
      <c r="L570" s="33" t="str">
        <f>IFERROR(__xludf.DUMMYFUNCTION("IF(IF(L$1="""","""",REGEXMATCH(LOWER($E570),XLOOKUP(L$1,Metadata!$A$2:$A1000,Metadata!$B$2:$B1000))),L$1,"""")"),"")</f>
        <v/>
      </c>
      <c r="M570" s="33" t="str">
        <f>IFERROR(__xludf.DUMMYFUNCTION("IF(IF(M$1="""","""",REGEXMATCH(LOWER($E570),XLOOKUP(M$1,Metadata!$A$2:$A1000,Metadata!$B$2:$B1000))),M$1,"""")"),"")</f>
        <v/>
      </c>
      <c r="N570" s="33" t="str">
        <f>IFERROR(__xludf.DUMMYFUNCTION("IF(IF(N$1="""","""",REGEXMATCH(LOWER($E570),XLOOKUP(N$1,Metadata!$A$2:$A1000,Metadata!$B$2:$B1000))),N$1,"""")"),"")</f>
        <v/>
      </c>
      <c r="O570" s="33" t="str">
        <f>IFERROR(__xludf.DUMMYFUNCTION("IF(IF(O$1="""","""",REGEXMATCH(LOWER($E570),XLOOKUP(O$1,Metadata!$A$2:$A1000,Metadata!$B$2:$B1000))),O$1,"""")"),"")</f>
        <v/>
      </c>
      <c r="P570" s="33" t="str">
        <f>IFERROR(__xludf.DUMMYFUNCTION("IF(IF(P$1="""","""",REGEXMATCH(LOWER($E570),XLOOKUP(P$1,Metadata!$A$2:$A1000,Metadata!$B$2:$B1000))),P$1,"""")"),"")</f>
        <v/>
      </c>
      <c r="Q570" s="33" t="str">
        <f>IFERROR(__xludf.DUMMYFUNCTION("IF(IF(Q$1="""","""",REGEXMATCH(LOWER($E570),XLOOKUP(Q$1,Metadata!$A$2:$A1000,Metadata!$B$2:$B1000))),Q$1,"""")"),"")</f>
        <v/>
      </c>
      <c r="R570" s="33" t="str">
        <f>IFERROR(__xludf.DUMMYFUNCTION("IF(IF(R$1="""","""",REGEXMATCH(LOWER($E570),XLOOKUP(R$1,Metadata!$A$2:$A1000,Metadata!$B$2:$B1000))),R$1,"""")"),"")</f>
        <v/>
      </c>
      <c r="S570" s="33" t="str">
        <f>IFERROR(__xludf.DUMMYFUNCTION("IF(IF(S$1="""","""",REGEXMATCH(LOWER($E570),XLOOKUP(S$1,Metadata!$A$2:$A1000,Metadata!$B$2:$B1000))),S$1,"""")"),"")</f>
        <v/>
      </c>
      <c r="T570" s="33" t="str">
        <f>IFERROR(__xludf.DUMMYFUNCTION("IF(IF(T$1="""","""",REGEXMATCH(LOWER($E570),XLOOKUP(T$1,Metadata!$A$2:$A1000,Metadata!$B$2:$B1000))),T$1,"""")"),"")</f>
        <v/>
      </c>
      <c r="U570" s="33" t="str">
        <f>IFERROR(__xludf.DUMMYFUNCTION("IF(IF(U$1="""","""",REGEXMATCH(LOWER($E570),XLOOKUP(U$1,Metadata!$A$2:$A1000,Metadata!$B$2:$B1000))),U$1,"""")"),"")</f>
        <v/>
      </c>
      <c r="V570" s="33" t="str">
        <f>IFERROR(__xludf.DUMMYFUNCTION("IF(IF(V$1="""","""",REGEXMATCH(LOWER($E570),XLOOKUP(V$1,Metadata!$A$2:$A1000,Metadata!$B$2:$B1000))),V$1,"""")"),"")</f>
        <v/>
      </c>
      <c r="W570" s="33" t="str">
        <f>IFERROR(__xludf.DUMMYFUNCTION("IF(IF(W$1="""","""",REGEXMATCH(LOWER($E570),XLOOKUP(W$1,Metadata!$A$2:$A1000,Metadata!$B$2:$B1000))),W$1,"""")"),"")</f>
        <v/>
      </c>
      <c r="X570" s="33" t="str">
        <f>IFERROR(__xludf.DUMMYFUNCTION("IF(IF(X$1="""","""",REGEXMATCH(LOWER($E570),XLOOKUP(X$1,Metadata!$A$2:$A1000,Metadata!$B$2:$B1000))),X$1,"""")"),"")</f>
        <v/>
      </c>
      <c r="Y570" s="33" t="str">
        <f>IFERROR(__xludf.DUMMYFUNCTION("IF(IF(Y$1="""","""",REGEXMATCH(LOWER($E570),XLOOKUP(Y$1,Metadata!$A$2:$A1000,Metadata!$B$2:$B1000))),Y$1,"""")"),"")</f>
        <v/>
      </c>
      <c r="Z570" s="33" t="str">
        <f>IFERROR(__xludf.DUMMYFUNCTION("IF(IF(Z$1="""","""",REGEXMATCH(LOWER($E570),XLOOKUP(Z$1,Metadata!$A$2:$A1000,Metadata!$B$2:$B1000))),Z$1,"""")"),"")</f>
        <v/>
      </c>
    </row>
    <row r="571">
      <c r="A571" s="33"/>
      <c r="B571" s="33"/>
      <c r="C571" s="33"/>
      <c r="D571" s="33"/>
      <c r="E571" s="33"/>
      <c r="F571" s="33"/>
      <c r="G571" s="33"/>
      <c r="H571" s="33"/>
      <c r="I571" s="33"/>
      <c r="J571" s="33"/>
      <c r="K571" s="33"/>
      <c r="L571" s="33" t="str">
        <f>IFERROR(__xludf.DUMMYFUNCTION("IF(IF(L$1="""","""",REGEXMATCH(LOWER($E571),XLOOKUP(L$1,Metadata!$A$2:$A1000,Metadata!$B$2:$B1000))),L$1,"""")"),"")</f>
        <v/>
      </c>
      <c r="M571" s="33" t="str">
        <f>IFERROR(__xludf.DUMMYFUNCTION("IF(IF(M$1="""","""",REGEXMATCH(LOWER($E571),XLOOKUP(M$1,Metadata!$A$2:$A1000,Metadata!$B$2:$B1000))),M$1,"""")"),"")</f>
        <v/>
      </c>
      <c r="N571" s="33" t="str">
        <f>IFERROR(__xludf.DUMMYFUNCTION("IF(IF(N$1="""","""",REGEXMATCH(LOWER($E571),XLOOKUP(N$1,Metadata!$A$2:$A1000,Metadata!$B$2:$B1000))),N$1,"""")"),"")</f>
        <v/>
      </c>
      <c r="O571" s="33" t="str">
        <f>IFERROR(__xludf.DUMMYFUNCTION("IF(IF(O$1="""","""",REGEXMATCH(LOWER($E571),XLOOKUP(O$1,Metadata!$A$2:$A1000,Metadata!$B$2:$B1000))),O$1,"""")"),"")</f>
        <v/>
      </c>
      <c r="P571" s="33" t="str">
        <f>IFERROR(__xludf.DUMMYFUNCTION("IF(IF(P$1="""","""",REGEXMATCH(LOWER($E571),XLOOKUP(P$1,Metadata!$A$2:$A1000,Metadata!$B$2:$B1000))),P$1,"""")"),"")</f>
        <v/>
      </c>
      <c r="Q571" s="33" t="str">
        <f>IFERROR(__xludf.DUMMYFUNCTION("IF(IF(Q$1="""","""",REGEXMATCH(LOWER($E571),XLOOKUP(Q$1,Metadata!$A$2:$A1000,Metadata!$B$2:$B1000))),Q$1,"""")"),"")</f>
        <v/>
      </c>
      <c r="R571" s="33" t="str">
        <f>IFERROR(__xludf.DUMMYFUNCTION("IF(IF(R$1="""","""",REGEXMATCH(LOWER($E571),XLOOKUP(R$1,Metadata!$A$2:$A1000,Metadata!$B$2:$B1000))),R$1,"""")"),"")</f>
        <v/>
      </c>
      <c r="S571" s="33" t="str">
        <f>IFERROR(__xludf.DUMMYFUNCTION("IF(IF(S$1="""","""",REGEXMATCH(LOWER($E571),XLOOKUP(S$1,Metadata!$A$2:$A1000,Metadata!$B$2:$B1000))),S$1,"""")"),"")</f>
        <v/>
      </c>
      <c r="T571" s="33" t="str">
        <f>IFERROR(__xludf.DUMMYFUNCTION("IF(IF(T$1="""","""",REGEXMATCH(LOWER($E571),XLOOKUP(T$1,Metadata!$A$2:$A1000,Metadata!$B$2:$B1000))),T$1,"""")"),"")</f>
        <v/>
      </c>
      <c r="U571" s="33" t="str">
        <f>IFERROR(__xludf.DUMMYFUNCTION("IF(IF(U$1="""","""",REGEXMATCH(LOWER($E571),XLOOKUP(U$1,Metadata!$A$2:$A1000,Metadata!$B$2:$B1000))),U$1,"""")"),"")</f>
        <v/>
      </c>
      <c r="V571" s="33" t="str">
        <f>IFERROR(__xludf.DUMMYFUNCTION("IF(IF(V$1="""","""",REGEXMATCH(LOWER($E571),XLOOKUP(V$1,Metadata!$A$2:$A1000,Metadata!$B$2:$B1000))),V$1,"""")"),"")</f>
        <v/>
      </c>
      <c r="W571" s="33" t="str">
        <f>IFERROR(__xludf.DUMMYFUNCTION("IF(IF(W$1="""","""",REGEXMATCH(LOWER($E571),XLOOKUP(W$1,Metadata!$A$2:$A1000,Metadata!$B$2:$B1000))),W$1,"""")"),"")</f>
        <v/>
      </c>
      <c r="X571" s="33" t="str">
        <f>IFERROR(__xludf.DUMMYFUNCTION("IF(IF(X$1="""","""",REGEXMATCH(LOWER($E571),XLOOKUP(X$1,Metadata!$A$2:$A1000,Metadata!$B$2:$B1000))),X$1,"""")"),"")</f>
        <v/>
      </c>
      <c r="Y571" s="33" t="str">
        <f>IFERROR(__xludf.DUMMYFUNCTION("IF(IF(Y$1="""","""",REGEXMATCH(LOWER($E571),XLOOKUP(Y$1,Metadata!$A$2:$A1000,Metadata!$B$2:$B1000))),Y$1,"""")"),"")</f>
        <v/>
      </c>
      <c r="Z571" s="33" t="str">
        <f>IFERROR(__xludf.DUMMYFUNCTION("IF(IF(Z$1="""","""",REGEXMATCH(LOWER($E571),XLOOKUP(Z$1,Metadata!$A$2:$A1000,Metadata!$B$2:$B1000))),Z$1,"""")"),"")</f>
        <v/>
      </c>
    </row>
    <row r="572">
      <c r="A572" s="33"/>
      <c r="B572" s="33"/>
      <c r="C572" s="33"/>
      <c r="D572" s="33"/>
      <c r="E572" s="33"/>
      <c r="F572" s="33"/>
      <c r="G572" s="33"/>
      <c r="H572" s="33"/>
      <c r="I572" s="33"/>
      <c r="J572" s="33"/>
      <c r="K572" s="33"/>
      <c r="L572" s="33" t="str">
        <f>IFERROR(__xludf.DUMMYFUNCTION("IF(IF(L$1="""","""",REGEXMATCH(LOWER($E572),XLOOKUP(L$1,Metadata!$A$2:$A1000,Metadata!$B$2:$B1000))),L$1,"""")"),"")</f>
        <v/>
      </c>
      <c r="M572" s="33" t="str">
        <f>IFERROR(__xludf.DUMMYFUNCTION("IF(IF(M$1="""","""",REGEXMATCH(LOWER($E572),XLOOKUP(M$1,Metadata!$A$2:$A1000,Metadata!$B$2:$B1000))),M$1,"""")"),"")</f>
        <v/>
      </c>
      <c r="N572" s="33" t="str">
        <f>IFERROR(__xludf.DUMMYFUNCTION("IF(IF(N$1="""","""",REGEXMATCH(LOWER($E572),XLOOKUP(N$1,Metadata!$A$2:$A1000,Metadata!$B$2:$B1000))),N$1,"""")"),"")</f>
        <v/>
      </c>
      <c r="O572" s="33" t="str">
        <f>IFERROR(__xludf.DUMMYFUNCTION("IF(IF(O$1="""","""",REGEXMATCH(LOWER($E572),XLOOKUP(O$1,Metadata!$A$2:$A1000,Metadata!$B$2:$B1000))),O$1,"""")"),"")</f>
        <v/>
      </c>
      <c r="P572" s="33" t="str">
        <f>IFERROR(__xludf.DUMMYFUNCTION("IF(IF(P$1="""","""",REGEXMATCH(LOWER($E572),XLOOKUP(P$1,Metadata!$A$2:$A1000,Metadata!$B$2:$B1000))),P$1,"""")"),"")</f>
        <v/>
      </c>
      <c r="Q572" s="33" t="str">
        <f>IFERROR(__xludf.DUMMYFUNCTION("IF(IF(Q$1="""","""",REGEXMATCH(LOWER($E572),XLOOKUP(Q$1,Metadata!$A$2:$A1000,Metadata!$B$2:$B1000))),Q$1,"""")"),"")</f>
        <v/>
      </c>
      <c r="R572" s="33" t="str">
        <f>IFERROR(__xludf.DUMMYFUNCTION("IF(IF(R$1="""","""",REGEXMATCH(LOWER($E572),XLOOKUP(R$1,Metadata!$A$2:$A1000,Metadata!$B$2:$B1000))),R$1,"""")"),"")</f>
        <v/>
      </c>
      <c r="S572" s="33" t="str">
        <f>IFERROR(__xludf.DUMMYFUNCTION("IF(IF(S$1="""","""",REGEXMATCH(LOWER($E572),XLOOKUP(S$1,Metadata!$A$2:$A1000,Metadata!$B$2:$B1000))),S$1,"""")"),"")</f>
        <v/>
      </c>
      <c r="T572" s="33" t="str">
        <f>IFERROR(__xludf.DUMMYFUNCTION("IF(IF(T$1="""","""",REGEXMATCH(LOWER($E572),XLOOKUP(T$1,Metadata!$A$2:$A1000,Metadata!$B$2:$B1000))),T$1,"""")"),"")</f>
        <v/>
      </c>
      <c r="U572" s="33" t="str">
        <f>IFERROR(__xludf.DUMMYFUNCTION("IF(IF(U$1="""","""",REGEXMATCH(LOWER($E572),XLOOKUP(U$1,Metadata!$A$2:$A1000,Metadata!$B$2:$B1000))),U$1,"""")"),"")</f>
        <v/>
      </c>
      <c r="V572" s="33" t="str">
        <f>IFERROR(__xludf.DUMMYFUNCTION("IF(IF(V$1="""","""",REGEXMATCH(LOWER($E572),XLOOKUP(V$1,Metadata!$A$2:$A1000,Metadata!$B$2:$B1000))),V$1,"""")"),"")</f>
        <v/>
      </c>
      <c r="W572" s="33" t="str">
        <f>IFERROR(__xludf.DUMMYFUNCTION("IF(IF(W$1="""","""",REGEXMATCH(LOWER($E572),XLOOKUP(W$1,Metadata!$A$2:$A1000,Metadata!$B$2:$B1000))),W$1,"""")"),"")</f>
        <v/>
      </c>
      <c r="X572" s="33" t="str">
        <f>IFERROR(__xludf.DUMMYFUNCTION("IF(IF(X$1="""","""",REGEXMATCH(LOWER($E572),XLOOKUP(X$1,Metadata!$A$2:$A1000,Metadata!$B$2:$B1000))),X$1,"""")"),"")</f>
        <v/>
      </c>
      <c r="Y572" s="33" t="str">
        <f>IFERROR(__xludf.DUMMYFUNCTION("IF(IF(Y$1="""","""",REGEXMATCH(LOWER($E572),XLOOKUP(Y$1,Metadata!$A$2:$A1000,Metadata!$B$2:$B1000))),Y$1,"""")"),"")</f>
        <v/>
      </c>
      <c r="Z572" s="33" t="str">
        <f>IFERROR(__xludf.DUMMYFUNCTION("IF(IF(Z$1="""","""",REGEXMATCH(LOWER($E572),XLOOKUP(Z$1,Metadata!$A$2:$A1000,Metadata!$B$2:$B1000))),Z$1,"""")"),"")</f>
        <v/>
      </c>
    </row>
    <row r="573">
      <c r="A573" s="33"/>
      <c r="B573" s="33"/>
      <c r="C573" s="33"/>
      <c r="D573" s="33"/>
      <c r="E573" s="33"/>
      <c r="F573" s="33"/>
      <c r="G573" s="33"/>
      <c r="H573" s="33"/>
      <c r="I573" s="33"/>
      <c r="J573" s="33"/>
      <c r="K573" s="33"/>
      <c r="L573" s="33" t="str">
        <f>IFERROR(__xludf.DUMMYFUNCTION("IF(IF(L$1="""","""",REGEXMATCH(LOWER($E573),XLOOKUP(L$1,Metadata!$A$2:$A1000,Metadata!$B$2:$B1000))),L$1,"""")"),"")</f>
        <v/>
      </c>
      <c r="M573" s="33" t="str">
        <f>IFERROR(__xludf.DUMMYFUNCTION("IF(IF(M$1="""","""",REGEXMATCH(LOWER($E573),XLOOKUP(M$1,Metadata!$A$2:$A1000,Metadata!$B$2:$B1000))),M$1,"""")"),"")</f>
        <v/>
      </c>
      <c r="N573" s="33" t="str">
        <f>IFERROR(__xludf.DUMMYFUNCTION("IF(IF(N$1="""","""",REGEXMATCH(LOWER($E573),XLOOKUP(N$1,Metadata!$A$2:$A1000,Metadata!$B$2:$B1000))),N$1,"""")"),"")</f>
        <v/>
      </c>
      <c r="O573" s="33" t="str">
        <f>IFERROR(__xludf.DUMMYFUNCTION("IF(IF(O$1="""","""",REGEXMATCH(LOWER($E573),XLOOKUP(O$1,Metadata!$A$2:$A1000,Metadata!$B$2:$B1000))),O$1,"""")"),"")</f>
        <v/>
      </c>
      <c r="P573" s="33" t="str">
        <f>IFERROR(__xludf.DUMMYFUNCTION("IF(IF(P$1="""","""",REGEXMATCH(LOWER($E573),XLOOKUP(P$1,Metadata!$A$2:$A1000,Metadata!$B$2:$B1000))),P$1,"""")"),"")</f>
        <v/>
      </c>
      <c r="Q573" s="33" t="str">
        <f>IFERROR(__xludf.DUMMYFUNCTION("IF(IF(Q$1="""","""",REGEXMATCH(LOWER($E573),XLOOKUP(Q$1,Metadata!$A$2:$A1000,Metadata!$B$2:$B1000))),Q$1,"""")"),"")</f>
        <v/>
      </c>
      <c r="R573" s="33" t="str">
        <f>IFERROR(__xludf.DUMMYFUNCTION("IF(IF(R$1="""","""",REGEXMATCH(LOWER($E573),XLOOKUP(R$1,Metadata!$A$2:$A1000,Metadata!$B$2:$B1000))),R$1,"""")"),"")</f>
        <v/>
      </c>
      <c r="S573" s="33" t="str">
        <f>IFERROR(__xludf.DUMMYFUNCTION("IF(IF(S$1="""","""",REGEXMATCH(LOWER($E573),XLOOKUP(S$1,Metadata!$A$2:$A1000,Metadata!$B$2:$B1000))),S$1,"""")"),"")</f>
        <v/>
      </c>
      <c r="T573" s="33" t="str">
        <f>IFERROR(__xludf.DUMMYFUNCTION("IF(IF(T$1="""","""",REGEXMATCH(LOWER($E573),XLOOKUP(T$1,Metadata!$A$2:$A1000,Metadata!$B$2:$B1000))),T$1,"""")"),"")</f>
        <v/>
      </c>
      <c r="U573" s="33" t="str">
        <f>IFERROR(__xludf.DUMMYFUNCTION("IF(IF(U$1="""","""",REGEXMATCH(LOWER($E573),XLOOKUP(U$1,Metadata!$A$2:$A1000,Metadata!$B$2:$B1000))),U$1,"""")"),"")</f>
        <v/>
      </c>
      <c r="V573" s="33" t="str">
        <f>IFERROR(__xludf.DUMMYFUNCTION("IF(IF(V$1="""","""",REGEXMATCH(LOWER($E573),XLOOKUP(V$1,Metadata!$A$2:$A1000,Metadata!$B$2:$B1000))),V$1,"""")"),"")</f>
        <v/>
      </c>
      <c r="W573" s="33" t="str">
        <f>IFERROR(__xludf.DUMMYFUNCTION("IF(IF(W$1="""","""",REGEXMATCH(LOWER($E573),XLOOKUP(W$1,Metadata!$A$2:$A1000,Metadata!$B$2:$B1000))),W$1,"""")"),"")</f>
        <v/>
      </c>
      <c r="X573" s="33" t="str">
        <f>IFERROR(__xludf.DUMMYFUNCTION("IF(IF(X$1="""","""",REGEXMATCH(LOWER($E573),XLOOKUP(X$1,Metadata!$A$2:$A1000,Metadata!$B$2:$B1000))),X$1,"""")"),"")</f>
        <v/>
      </c>
      <c r="Y573" s="33" t="str">
        <f>IFERROR(__xludf.DUMMYFUNCTION("IF(IF(Y$1="""","""",REGEXMATCH(LOWER($E573),XLOOKUP(Y$1,Metadata!$A$2:$A1000,Metadata!$B$2:$B1000))),Y$1,"""")"),"")</f>
        <v/>
      </c>
      <c r="Z573" s="33" t="str">
        <f>IFERROR(__xludf.DUMMYFUNCTION("IF(IF(Z$1="""","""",REGEXMATCH(LOWER($E573),XLOOKUP(Z$1,Metadata!$A$2:$A1000,Metadata!$B$2:$B1000))),Z$1,"""")"),"")</f>
        <v/>
      </c>
    </row>
    <row r="574">
      <c r="A574" s="33"/>
      <c r="B574" s="33"/>
      <c r="C574" s="33"/>
      <c r="D574" s="33"/>
      <c r="E574" s="33"/>
      <c r="F574" s="33"/>
      <c r="G574" s="33"/>
      <c r="H574" s="33"/>
      <c r="I574" s="33"/>
      <c r="J574" s="33"/>
      <c r="K574" s="33"/>
      <c r="L574" s="33" t="str">
        <f>IFERROR(__xludf.DUMMYFUNCTION("IF(IF(L$1="""","""",REGEXMATCH(LOWER($E574),XLOOKUP(L$1,Metadata!$A$2:$A1000,Metadata!$B$2:$B1000))),L$1,"""")"),"")</f>
        <v/>
      </c>
      <c r="M574" s="33" t="str">
        <f>IFERROR(__xludf.DUMMYFUNCTION("IF(IF(M$1="""","""",REGEXMATCH(LOWER($E574),XLOOKUP(M$1,Metadata!$A$2:$A1000,Metadata!$B$2:$B1000))),M$1,"""")"),"")</f>
        <v/>
      </c>
      <c r="N574" s="33" t="str">
        <f>IFERROR(__xludf.DUMMYFUNCTION("IF(IF(N$1="""","""",REGEXMATCH(LOWER($E574),XLOOKUP(N$1,Metadata!$A$2:$A1000,Metadata!$B$2:$B1000))),N$1,"""")"),"")</f>
        <v/>
      </c>
      <c r="O574" s="33" t="str">
        <f>IFERROR(__xludf.DUMMYFUNCTION("IF(IF(O$1="""","""",REGEXMATCH(LOWER($E574),XLOOKUP(O$1,Metadata!$A$2:$A1000,Metadata!$B$2:$B1000))),O$1,"""")"),"")</f>
        <v/>
      </c>
      <c r="P574" s="33" t="str">
        <f>IFERROR(__xludf.DUMMYFUNCTION("IF(IF(P$1="""","""",REGEXMATCH(LOWER($E574),XLOOKUP(P$1,Metadata!$A$2:$A1000,Metadata!$B$2:$B1000))),P$1,"""")"),"")</f>
        <v/>
      </c>
      <c r="Q574" s="33" t="str">
        <f>IFERROR(__xludf.DUMMYFUNCTION("IF(IF(Q$1="""","""",REGEXMATCH(LOWER($E574),XLOOKUP(Q$1,Metadata!$A$2:$A1000,Metadata!$B$2:$B1000))),Q$1,"""")"),"")</f>
        <v/>
      </c>
      <c r="R574" s="33" t="str">
        <f>IFERROR(__xludf.DUMMYFUNCTION("IF(IF(R$1="""","""",REGEXMATCH(LOWER($E574),XLOOKUP(R$1,Metadata!$A$2:$A1000,Metadata!$B$2:$B1000))),R$1,"""")"),"")</f>
        <v/>
      </c>
      <c r="S574" s="33" t="str">
        <f>IFERROR(__xludf.DUMMYFUNCTION("IF(IF(S$1="""","""",REGEXMATCH(LOWER($E574),XLOOKUP(S$1,Metadata!$A$2:$A1000,Metadata!$B$2:$B1000))),S$1,"""")"),"")</f>
        <v/>
      </c>
      <c r="T574" s="33" t="str">
        <f>IFERROR(__xludf.DUMMYFUNCTION("IF(IF(T$1="""","""",REGEXMATCH(LOWER($E574),XLOOKUP(T$1,Metadata!$A$2:$A1000,Metadata!$B$2:$B1000))),T$1,"""")"),"")</f>
        <v/>
      </c>
      <c r="U574" s="33" t="str">
        <f>IFERROR(__xludf.DUMMYFUNCTION("IF(IF(U$1="""","""",REGEXMATCH(LOWER($E574),XLOOKUP(U$1,Metadata!$A$2:$A1000,Metadata!$B$2:$B1000))),U$1,"""")"),"")</f>
        <v/>
      </c>
      <c r="V574" s="33" t="str">
        <f>IFERROR(__xludf.DUMMYFUNCTION("IF(IF(V$1="""","""",REGEXMATCH(LOWER($E574),XLOOKUP(V$1,Metadata!$A$2:$A1000,Metadata!$B$2:$B1000))),V$1,"""")"),"")</f>
        <v/>
      </c>
      <c r="W574" s="33" t="str">
        <f>IFERROR(__xludf.DUMMYFUNCTION("IF(IF(W$1="""","""",REGEXMATCH(LOWER($E574),XLOOKUP(W$1,Metadata!$A$2:$A1000,Metadata!$B$2:$B1000))),W$1,"""")"),"")</f>
        <v/>
      </c>
      <c r="X574" s="33" t="str">
        <f>IFERROR(__xludf.DUMMYFUNCTION("IF(IF(X$1="""","""",REGEXMATCH(LOWER($E574),XLOOKUP(X$1,Metadata!$A$2:$A1000,Metadata!$B$2:$B1000))),X$1,"""")"),"")</f>
        <v/>
      </c>
      <c r="Y574" s="33" t="str">
        <f>IFERROR(__xludf.DUMMYFUNCTION("IF(IF(Y$1="""","""",REGEXMATCH(LOWER($E574),XLOOKUP(Y$1,Metadata!$A$2:$A1000,Metadata!$B$2:$B1000))),Y$1,"""")"),"")</f>
        <v/>
      </c>
      <c r="Z574" s="33" t="str">
        <f>IFERROR(__xludf.DUMMYFUNCTION("IF(IF(Z$1="""","""",REGEXMATCH(LOWER($E574),XLOOKUP(Z$1,Metadata!$A$2:$A1000,Metadata!$B$2:$B1000))),Z$1,"""")"),"")</f>
        <v/>
      </c>
    </row>
    <row r="575">
      <c r="A575" s="33"/>
      <c r="B575" s="33"/>
      <c r="C575" s="33"/>
      <c r="D575" s="33"/>
      <c r="E575" s="33"/>
      <c r="F575" s="33"/>
      <c r="G575" s="33"/>
      <c r="H575" s="33"/>
      <c r="I575" s="33"/>
      <c r="J575" s="33"/>
      <c r="K575" s="33"/>
      <c r="L575" s="33" t="str">
        <f>IFERROR(__xludf.DUMMYFUNCTION("IF(IF(L$1="""","""",REGEXMATCH(LOWER($E575),XLOOKUP(L$1,Metadata!$A$2:$A1000,Metadata!$B$2:$B1000))),L$1,"""")"),"")</f>
        <v/>
      </c>
      <c r="M575" s="33" t="str">
        <f>IFERROR(__xludf.DUMMYFUNCTION("IF(IF(M$1="""","""",REGEXMATCH(LOWER($E575),XLOOKUP(M$1,Metadata!$A$2:$A1000,Metadata!$B$2:$B1000))),M$1,"""")"),"")</f>
        <v/>
      </c>
      <c r="N575" s="33" t="str">
        <f>IFERROR(__xludf.DUMMYFUNCTION("IF(IF(N$1="""","""",REGEXMATCH(LOWER($E575),XLOOKUP(N$1,Metadata!$A$2:$A1000,Metadata!$B$2:$B1000))),N$1,"""")"),"")</f>
        <v/>
      </c>
      <c r="O575" s="33" t="str">
        <f>IFERROR(__xludf.DUMMYFUNCTION("IF(IF(O$1="""","""",REGEXMATCH(LOWER($E575),XLOOKUP(O$1,Metadata!$A$2:$A1000,Metadata!$B$2:$B1000))),O$1,"""")"),"")</f>
        <v/>
      </c>
      <c r="P575" s="33" t="str">
        <f>IFERROR(__xludf.DUMMYFUNCTION("IF(IF(P$1="""","""",REGEXMATCH(LOWER($E575),XLOOKUP(P$1,Metadata!$A$2:$A1000,Metadata!$B$2:$B1000))),P$1,"""")"),"")</f>
        <v/>
      </c>
      <c r="Q575" s="33" t="str">
        <f>IFERROR(__xludf.DUMMYFUNCTION("IF(IF(Q$1="""","""",REGEXMATCH(LOWER($E575),XLOOKUP(Q$1,Metadata!$A$2:$A1000,Metadata!$B$2:$B1000))),Q$1,"""")"),"")</f>
        <v/>
      </c>
      <c r="R575" s="33" t="str">
        <f>IFERROR(__xludf.DUMMYFUNCTION("IF(IF(R$1="""","""",REGEXMATCH(LOWER($E575),XLOOKUP(R$1,Metadata!$A$2:$A1000,Metadata!$B$2:$B1000))),R$1,"""")"),"")</f>
        <v/>
      </c>
      <c r="S575" s="33" t="str">
        <f>IFERROR(__xludf.DUMMYFUNCTION("IF(IF(S$1="""","""",REGEXMATCH(LOWER($E575),XLOOKUP(S$1,Metadata!$A$2:$A1000,Metadata!$B$2:$B1000))),S$1,"""")"),"")</f>
        <v/>
      </c>
      <c r="T575" s="33" t="str">
        <f>IFERROR(__xludf.DUMMYFUNCTION("IF(IF(T$1="""","""",REGEXMATCH(LOWER($E575),XLOOKUP(T$1,Metadata!$A$2:$A1000,Metadata!$B$2:$B1000))),T$1,"""")"),"")</f>
        <v/>
      </c>
      <c r="U575" s="33" t="str">
        <f>IFERROR(__xludf.DUMMYFUNCTION("IF(IF(U$1="""","""",REGEXMATCH(LOWER($E575),XLOOKUP(U$1,Metadata!$A$2:$A1000,Metadata!$B$2:$B1000))),U$1,"""")"),"")</f>
        <v/>
      </c>
      <c r="V575" s="33" t="str">
        <f>IFERROR(__xludf.DUMMYFUNCTION("IF(IF(V$1="""","""",REGEXMATCH(LOWER($E575),XLOOKUP(V$1,Metadata!$A$2:$A1000,Metadata!$B$2:$B1000))),V$1,"""")"),"")</f>
        <v/>
      </c>
      <c r="W575" s="33" t="str">
        <f>IFERROR(__xludf.DUMMYFUNCTION("IF(IF(W$1="""","""",REGEXMATCH(LOWER($E575),XLOOKUP(W$1,Metadata!$A$2:$A1000,Metadata!$B$2:$B1000))),W$1,"""")"),"")</f>
        <v/>
      </c>
      <c r="X575" s="33" t="str">
        <f>IFERROR(__xludf.DUMMYFUNCTION("IF(IF(X$1="""","""",REGEXMATCH(LOWER($E575),XLOOKUP(X$1,Metadata!$A$2:$A1000,Metadata!$B$2:$B1000))),X$1,"""")"),"")</f>
        <v/>
      </c>
      <c r="Y575" s="33" t="str">
        <f>IFERROR(__xludf.DUMMYFUNCTION("IF(IF(Y$1="""","""",REGEXMATCH(LOWER($E575),XLOOKUP(Y$1,Metadata!$A$2:$A1000,Metadata!$B$2:$B1000))),Y$1,"""")"),"")</f>
        <v/>
      </c>
      <c r="Z575" s="33" t="str">
        <f>IFERROR(__xludf.DUMMYFUNCTION("IF(IF(Z$1="""","""",REGEXMATCH(LOWER($E575),XLOOKUP(Z$1,Metadata!$A$2:$A1000,Metadata!$B$2:$B1000))),Z$1,"""")"),"")</f>
        <v/>
      </c>
    </row>
    <row r="576">
      <c r="A576" s="33"/>
      <c r="B576" s="33"/>
      <c r="C576" s="33"/>
      <c r="D576" s="33"/>
      <c r="E576" s="33"/>
      <c r="F576" s="33"/>
      <c r="G576" s="33"/>
      <c r="H576" s="33"/>
      <c r="I576" s="33"/>
      <c r="J576" s="33"/>
      <c r="K576" s="33"/>
      <c r="L576" s="33" t="str">
        <f>IFERROR(__xludf.DUMMYFUNCTION("IF(IF(L$1="""","""",REGEXMATCH(LOWER($E576),XLOOKUP(L$1,Metadata!$A$2:$A1000,Metadata!$B$2:$B1000))),L$1,"""")"),"")</f>
        <v/>
      </c>
      <c r="M576" s="33" t="str">
        <f>IFERROR(__xludf.DUMMYFUNCTION("IF(IF(M$1="""","""",REGEXMATCH(LOWER($E576),XLOOKUP(M$1,Metadata!$A$2:$A1000,Metadata!$B$2:$B1000))),M$1,"""")"),"")</f>
        <v/>
      </c>
      <c r="N576" s="33" t="str">
        <f>IFERROR(__xludf.DUMMYFUNCTION("IF(IF(N$1="""","""",REGEXMATCH(LOWER($E576),XLOOKUP(N$1,Metadata!$A$2:$A1000,Metadata!$B$2:$B1000))),N$1,"""")"),"")</f>
        <v/>
      </c>
      <c r="O576" s="33" t="str">
        <f>IFERROR(__xludf.DUMMYFUNCTION("IF(IF(O$1="""","""",REGEXMATCH(LOWER($E576),XLOOKUP(O$1,Metadata!$A$2:$A1000,Metadata!$B$2:$B1000))),O$1,"""")"),"")</f>
        <v/>
      </c>
      <c r="P576" s="33" t="str">
        <f>IFERROR(__xludf.DUMMYFUNCTION("IF(IF(P$1="""","""",REGEXMATCH(LOWER($E576),XLOOKUP(P$1,Metadata!$A$2:$A1000,Metadata!$B$2:$B1000))),P$1,"""")"),"")</f>
        <v/>
      </c>
      <c r="Q576" s="33" t="str">
        <f>IFERROR(__xludf.DUMMYFUNCTION("IF(IF(Q$1="""","""",REGEXMATCH(LOWER($E576),XLOOKUP(Q$1,Metadata!$A$2:$A1000,Metadata!$B$2:$B1000))),Q$1,"""")"),"")</f>
        <v/>
      </c>
      <c r="R576" s="33" t="str">
        <f>IFERROR(__xludf.DUMMYFUNCTION("IF(IF(R$1="""","""",REGEXMATCH(LOWER($E576),XLOOKUP(R$1,Metadata!$A$2:$A1000,Metadata!$B$2:$B1000))),R$1,"""")"),"")</f>
        <v/>
      </c>
      <c r="S576" s="33" t="str">
        <f>IFERROR(__xludf.DUMMYFUNCTION("IF(IF(S$1="""","""",REGEXMATCH(LOWER($E576),XLOOKUP(S$1,Metadata!$A$2:$A1000,Metadata!$B$2:$B1000))),S$1,"""")"),"")</f>
        <v/>
      </c>
      <c r="T576" s="33" t="str">
        <f>IFERROR(__xludf.DUMMYFUNCTION("IF(IF(T$1="""","""",REGEXMATCH(LOWER($E576),XLOOKUP(T$1,Metadata!$A$2:$A1000,Metadata!$B$2:$B1000))),T$1,"""")"),"")</f>
        <v/>
      </c>
      <c r="U576" s="33" t="str">
        <f>IFERROR(__xludf.DUMMYFUNCTION("IF(IF(U$1="""","""",REGEXMATCH(LOWER($E576),XLOOKUP(U$1,Metadata!$A$2:$A1000,Metadata!$B$2:$B1000))),U$1,"""")"),"")</f>
        <v/>
      </c>
      <c r="V576" s="33" t="str">
        <f>IFERROR(__xludf.DUMMYFUNCTION("IF(IF(V$1="""","""",REGEXMATCH(LOWER($E576),XLOOKUP(V$1,Metadata!$A$2:$A1000,Metadata!$B$2:$B1000))),V$1,"""")"),"")</f>
        <v/>
      </c>
      <c r="W576" s="33" t="str">
        <f>IFERROR(__xludf.DUMMYFUNCTION("IF(IF(W$1="""","""",REGEXMATCH(LOWER($E576),XLOOKUP(W$1,Metadata!$A$2:$A1000,Metadata!$B$2:$B1000))),W$1,"""")"),"")</f>
        <v/>
      </c>
      <c r="X576" s="33" t="str">
        <f>IFERROR(__xludf.DUMMYFUNCTION("IF(IF(X$1="""","""",REGEXMATCH(LOWER($E576),XLOOKUP(X$1,Metadata!$A$2:$A1000,Metadata!$B$2:$B1000))),X$1,"""")"),"")</f>
        <v/>
      </c>
      <c r="Y576" s="33" t="str">
        <f>IFERROR(__xludf.DUMMYFUNCTION("IF(IF(Y$1="""","""",REGEXMATCH(LOWER($E576),XLOOKUP(Y$1,Metadata!$A$2:$A1000,Metadata!$B$2:$B1000))),Y$1,"""")"),"")</f>
        <v/>
      </c>
      <c r="Z576" s="33" t="str">
        <f>IFERROR(__xludf.DUMMYFUNCTION("IF(IF(Z$1="""","""",REGEXMATCH(LOWER($E576),XLOOKUP(Z$1,Metadata!$A$2:$A1000,Metadata!$B$2:$B1000))),Z$1,"""")"),"")</f>
        <v/>
      </c>
    </row>
    <row r="577">
      <c r="A577" s="33"/>
      <c r="B577" s="33"/>
      <c r="C577" s="33"/>
      <c r="D577" s="33"/>
      <c r="E577" s="33"/>
      <c r="F577" s="33"/>
      <c r="G577" s="33"/>
      <c r="H577" s="33"/>
      <c r="I577" s="33"/>
      <c r="J577" s="33"/>
      <c r="K577" s="33"/>
      <c r="L577" s="33" t="str">
        <f>IFERROR(__xludf.DUMMYFUNCTION("IF(IF(L$1="""","""",REGEXMATCH(LOWER($E577),XLOOKUP(L$1,Metadata!$A$2:$A1000,Metadata!$B$2:$B1000))),L$1,"""")"),"")</f>
        <v/>
      </c>
      <c r="M577" s="33" t="str">
        <f>IFERROR(__xludf.DUMMYFUNCTION("IF(IF(M$1="""","""",REGEXMATCH(LOWER($E577),XLOOKUP(M$1,Metadata!$A$2:$A1000,Metadata!$B$2:$B1000))),M$1,"""")"),"")</f>
        <v/>
      </c>
      <c r="N577" s="33" t="str">
        <f>IFERROR(__xludf.DUMMYFUNCTION("IF(IF(N$1="""","""",REGEXMATCH(LOWER($E577),XLOOKUP(N$1,Metadata!$A$2:$A1000,Metadata!$B$2:$B1000))),N$1,"""")"),"")</f>
        <v/>
      </c>
      <c r="O577" s="33" t="str">
        <f>IFERROR(__xludf.DUMMYFUNCTION("IF(IF(O$1="""","""",REGEXMATCH(LOWER($E577),XLOOKUP(O$1,Metadata!$A$2:$A1000,Metadata!$B$2:$B1000))),O$1,"""")"),"")</f>
        <v/>
      </c>
      <c r="P577" s="33" t="str">
        <f>IFERROR(__xludf.DUMMYFUNCTION("IF(IF(P$1="""","""",REGEXMATCH(LOWER($E577),XLOOKUP(P$1,Metadata!$A$2:$A1000,Metadata!$B$2:$B1000))),P$1,"""")"),"")</f>
        <v/>
      </c>
      <c r="Q577" s="33" t="str">
        <f>IFERROR(__xludf.DUMMYFUNCTION("IF(IF(Q$1="""","""",REGEXMATCH(LOWER($E577),XLOOKUP(Q$1,Metadata!$A$2:$A1000,Metadata!$B$2:$B1000))),Q$1,"""")"),"")</f>
        <v/>
      </c>
      <c r="R577" s="33" t="str">
        <f>IFERROR(__xludf.DUMMYFUNCTION("IF(IF(R$1="""","""",REGEXMATCH(LOWER($E577),XLOOKUP(R$1,Metadata!$A$2:$A1000,Metadata!$B$2:$B1000))),R$1,"""")"),"")</f>
        <v/>
      </c>
      <c r="S577" s="33" t="str">
        <f>IFERROR(__xludf.DUMMYFUNCTION("IF(IF(S$1="""","""",REGEXMATCH(LOWER($E577),XLOOKUP(S$1,Metadata!$A$2:$A1000,Metadata!$B$2:$B1000))),S$1,"""")"),"")</f>
        <v/>
      </c>
      <c r="T577" s="33" t="str">
        <f>IFERROR(__xludf.DUMMYFUNCTION("IF(IF(T$1="""","""",REGEXMATCH(LOWER($E577),XLOOKUP(T$1,Metadata!$A$2:$A1000,Metadata!$B$2:$B1000))),T$1,"""")"),"")</f>
        <v/>
      </c>
      <c r="U577" s="33" t="str">
        <f>IFERROR(__xludf.DUMMYFUNCTION("IF(IF(U$1="""","""",REGEXMATCH(LOWER($E577),XLOOKUP(U$1,Metadata!$A$2:$A1000,Metadata!$B$2:$B1000))),U$1,"""")"),"")</f>
        <v/>
      </c>
      <c r="V577" s="33" t="str">
        <f>IFERROR(__xludf.DUMMYFUNCTION("IF(IF(V$1="""","""",REGEXMATCH(LOWER($E577),XLOOKUP(V$1,Metadata!$A$2:$A1000,Metadata!$B$2:$B1000))),V$1,"""")"),"")</f>
        <v/>
      </c>
      <c r="W577" s="33" t="str">
        <f>IFERROR(__xludf.DUMMYFUNCTION("IF(IF(W$1="""","""",REGEXMATCH(LOWER($E577),XLOOKUP(W$1,Metadata!$A$2:$A1000,Metadata!$B$2:$B1000))),W$1,"""")"),"")</f>
        <v/>
      </c>
      <c r="X577" s="33" t="str">
        <f>IFERROR(__xludf.DUMMYFUNCTION("IF(IF(X$1="""","""",REGEXMATCH(LOWER($E577),XLOOKUP(X$1,Metadata!$A$2:$A1000,Metadata!$B$2:$B1000))),X$1,"""")"),"")</f>
        <v/>
      </c>
      <c r="Y577" s="33" t="str">
        <f>IFERROR(__xludf.DUMMYFUNCTION("IF(IF(Y$1="""","""",REGEXMATCH(LOWER($E577),XLOOKUP(Y$1,Metadata!$A$2:$A1000,Metadata!$B$2:$B1000))),Y$1,"""")"),"")</f>
        <v/>
      </c>
      <c r="Z577" s="33" t="str">
        <f>IFERROR(__xludf.DUMMYFUNCTION("IF(IF(Z$1="""","""",REGEXMATCH(LOWER($E577),XLOOKUP(Z$1,Metadata!$A$2:$A1000,Metadata!$B$2:$B1000))),Z$1,"""")"),"")</f>
        <v/>
      </c>
    </row>
    <row r="578">
      <c r="A578" s="33"/>
      <c r="B578" s="33"/>
      <c r="C578" s="33"/>
      <c r="D578" s="33"/>
      <c r="E578" s="33"/>
      <c r="F578" s="33"/>
      <c r="G578" s="33"/>
      <c r="H578" s="33"/>
      <c r="I578" s="33"/>
      <c r="J578" s="33"/>
      <c r="K578" s="33"/>
      <c r="L578" s="33" t="str">
        <f>IFERROR(__xludf.DUMMYFUNCTION("IF(IF(L$1="""","""",REGEXMATCH(LOWER($E578),XLOOKUP(L$1,Metadata!$A$2:$A1000,Metadata!$B$2:$B1000))),L$1,"""")"),"")</f>
        <v/>
      </c>
      <c r="M578" s="33" t="str">
        <f>IFERROR(__xludf.DUMMYFUNCTION("IF(IF(M$1="""","""",REGEXMATCH(LOWER($E578),XLOOKUP(M$1,Metadata!$A$2:$A1000,Metadata!$B$2:$B1000))),M$1,"""")"),"")</f>
        <v/>
      </c>
      <c r="N578" s="33" t="str">
        <f>IFERROR(__xludf.DUMMYFUNCTION("IF(IF(N$1="""","""",REGEXMATCH(LOWER($E578),XLOOKUP(N$1,Metadata!$A$2:$A1000,Metadata!$B$2:$B1000))),N$1,"""")"),"")</f>
        <v/>
      </c>
      <c r="O578" s="33" t="str">
        <f>IFERROR(__xludf.DUMMYFUNCTION("IF(IF(O$1="""","""",REGEXMATCH(LOWER($E578),XLOOKUP(O$1,Metadata!$A$2:$A1000,Metadata!$B$2:$B1000))),O$1,"""")"),"")</f>
        <v/>
      </c>
      <c r="P578" s="33" t="str">
        <f>IFERROR(__xludf.DUMMYFUNCTION("IF(IF(P$1="""","""",REGEXMATCH(LOWER($E578),XLOOKUP(P$1,Metadata!$A$2:$A1000,Metadata!$B$2:$B1000))),P$1,"""")"),"")</f>
        <v/>
      </c>
      <c r="Q578" s="33" t="str">
        <f>IFERROR(__xludf.DUMMYFUNCTION("IF(IF(Q$1="""","""",REGEXMATCH(LOWER($E578),XLOOKUP(Q$1,Metadata!$A$2:$A1000,Metadata!$B$2:$B1000))),Q$1,"""")"),"")</f>
        <v/>
      </c>
      <c r="R578" s="33" t="str">
        <f>IFERROR(__xludf.DUMMYFUNCTION("IF(IF(R$1="""","""",REGEXMATCH(LOWER($E578),XLOOKUP(R$1,Metadata!$A$2:$A1000,Metadata!$B$2:$B1000))),R$1,"""")"),"")</f>
        <v/>
      </c>
      <c r="S578" s="33" t="str">
        <f>IFERROR(__xludf.DUMMYFUNCTION("IF(IF(S$1="""","""",REGEXMATCH(LOWER($E578),XLOOKUP(S$1,Metadata!$A$2:$A1000,Metadata!$B$2:$B1000))),S$1,"""")"),"")</f>
        <v/>
      </c>
      <c r="T578" s="33" t="str">
        <f>IFERROR(__xludf.DUMMYFUNCTION("IF(IF(T$1="""","""",REGEXMATCH(LOWER($E578),XLOOKUP(T$1,Metadata!$A$2:$A1000,Metadata!$B$2:$B1000))),T$1,"""")"),"")</f>
        <v/>
      </c>
      <c r="U578" s="33" t="str">
        <f>IFERROR(__xludf.DUMMYFUNCTION("IF(IF(U$1="""","""",REGEXMATCH(LOWER($E578),XLOOKUP(U$1,Metadata!$A$2:$A1000,Metadata!$B$2:$B1000))),U$1,"""")"),"")</f>
        <v/>
      </c>
      <c r="V578" s="33" t="str">
        <f>IFERROR(__xludf.DUMMYFUNCTION("IF(IF(V$1="""","""",REGEXMATCH(LOWER($E578),XLOOKUP(V$1,Metadata!$A$2:$A1000,Metadata!$B$2:$B1000))),V$1,"""")"),"")</f>
        <v/>
      </c>
      <c r="W578" s="33" t="str">
        <f>IFERROR(__xludf.DUMMYFUNCTION("IF(IF(W$1="""","""",REGEXMATCH(LOWER($E578),XLOOKUP(W$1,Metadata!$A$2:$A1000,Metadata!$B$2:$B1000))),W$1,"""")"),"")</f>
        <v/>
      </c>
      <c r="X578" s="33" t="str">
        <f>IFERROR(__xludf.DUMMYFUNCTION("IF(IF(X$1="""","""",REGEXMATCH(LOWER($E578),XLOOKUP(X$1,Metadata!$A$2:$A1000,Metadata!$B$2:$B1000))),X$1,"""")"),"")</f>
        <v/>
      </c>
      <c r="Y578" s="33" t="str">
        <f>IFERROR(__xludf.DUMMYFUNCTION("IF(IF(Y$1="""","""",REGEXMATCH(LOWER($E578),XLOOKUP(Y$1,Metadata!$A$2:$A1000,Metadata!$B$2:$B1000))),Y$1,"""")"),"")</f>
        <v/>
      </c>
      <c r="Z578" s="33" t="str">
        <f>IFERROR(__xludf.DUMMYFUNCTION("IF(IF(Z$1="""","""",REGEXMATCH(LOWER($E578),XLOOKUP(Z$1,Metadata!$A$2:$A1000,Metadata!$B$2:$B1000))),Z$1,"""")"),"")</f>
        <v/>
      </c>
    </row>
    <row r="579">
      <c r="A579" s="33"/>
      <c r="B579" s="33"/>
      <c r="C579" s="33"/>
      <c r="D579" s="33"/>
      <c r="E579" s="33"/>
      <c r="F579" s="33"/>
      <c r="G579" s="33"/>
      <c r="H579" s="33"/>
      <c r="I579" s="33"/>
      <c r="J579" s="33"/>
      <c r="K579" s="33"/>
      <c r="L579" s="33" t="str">
        <f>IFERROR(__xludf.DUMMYFUNCTION("IF(IF(L$1="""","""",REGEXMATCH(LOWER($E579),XLOOKUP(L$1,Metadata!$A$2:$A1000,Metadata!$B$2:$B1000))),L$1,"""")"),"")</f>
        <v/>
      </c>
      <c r="M579" s="33" t="str">
        <f>IFERROR(__xludf.DUMMYFUNCTION("IF(IF(M$1="""","""",REGEXMATCH(LOWER($E579),XLOOKUP(M$1,Metadata!$A$2:$A1000,Metadata!$B$2:$B1000))),M$1,"""")"),"")</f>
        <v/>
      </c>
      <c r="N579" s="33" t="str">
        <f>IFERROR(__xludf.DUMMYFUNCTION("IF(IF(N$1="""","""",REGEXMATCH(LOWER($E579),XLOOKUP(N$1,Metadata!$A$2:$A1000,Metadata!$B$2:$B1000))),N$1,"""")"),"")</f>
        <v/>
      </c>
      <c r="O579" s="33" t="str">
        <f>IFERROR(__xludf.DUMMYFUNCTION("IF(IF(O$1="""","""",REGEXMATCH(LOWER($E579),XLOOKUP(O$1,Metadata!$A$2:$A1000,Metadata!$B$2:$B1000))),O$1,"""")"),"")</f>
        <v/>
      </c>
      <c r="P579" s="33" t="str">
        <f>IFERROR(__xludf.DUMMYFUNCTION("IF(IF(P$1="""","""",REGEXMATCH(LOWER($E579),XLOOKUP(P$1,Metadata!$A$2:$A1000,Metadata!$B$2:$B1000))),P$1,"""")"),"")</f>
        <v/>
      </c>
      <c r="Q579" s="33" t="str">
        <f>IFERROR(__xludf.DUMMYFUNCTION("IF(IF(Q$1="""","""",REGEXMATCH(LOWER($E579),XLOOKUP(Q$1,Metadata!$A$2:$A1000,Metadata!$B$2:$B1000))),Q$1,"""")"),"")</f>
        <v/>
      </c>
      <c r="R579" s="33" t="str">
        <f>IFERROR(__xludf.DUMMYFUNCTION("IF(IF(R$1="""","""",REGEXMATCH(LOWER($E579),XLOOKUP(R$1,Metadata!$A$2:$A1000,Metadata!$B$2:$B1000))),R$1,"""")"),"")</f>
        <v/>
      </c>
      <c r="S579" s="33" t="str">
        <f>IFERROR(__xludf.DUMMYFUNCTION("IF(IF(S$1="""","""",REGEXMATCH(LOWER($E579),XLOOKUP(S$1,Metadata!$A$2:$A1000,Metadata!$B$2:$B1000))),S$1,"""")"),"")</f>
        <v/>
      </c>
      <c r="T579" s="33" t="str">
        <f>IFERROR(__xludf.DUMMYFUNCTION("IF(IF(T$1="""","""",REGEXMATCH(LOWER($E579),XLOOKUP(T$1,Metadata!$A$2:$A1000,Metadata!$B$2:$B1000))),T$1,"""")"),"")</f>
        <v/>
      </c>
      <c r="U579" s="33" t="str">
        <f>IFERROR(__xludf.DUMMYFUNCTION("IF(IF(U$1="""","""",REGEXMATCH(LOWER($E579),XLOOKUP(U$1,Metadata!$A$2:$A1000,Metadata!$B$2:$B1000))),U$1,"""")"),"")</f>
        <v/>
      </c>
      <c r="V579" s="33" t="str">
        <f>IFERROR(__xludf.DUMMYFUNCTION("IF(IF(V$1="""","""",REGEXMATCH(LOWER($E579),XLOOKUP(V$1,Metadata!$A$2:$A1000,Metadata!$B$2:$B1000))),V$1,"""")"),"")</f>
        <v/>
      </c>
      <c r="W579" s="33" t="str">
        <f>IFERROR(__xludf.DUMMYFUNCTION("IF(IF(W$1="""","""",REGEXMATCH(LOWER($E579),XLOOKUP(W$1,Metadata!$A$2:$A1000,Metadata!$B$2:$B1000))),W$1,"""")"),"")</f>
        <v/>
      </c>
      <c r="X579" s="33" t="str">
        <f>IFERROR(__xludf.DUMMYFUNCTION("IF(IF(X$1="""","""",REGEXMATCH(LOWER($E579),XLOOKUP(X$1,Metadata!$A$2:$A1000,Metadata!$B$2:$B1000))),X$1,"""")"),"")</f>
        <v/>
      </c>
      <c r="Y579" s="33" t="str">
        <f>IFERROR(__xludf.DUMMYFUNCTION("IF(IF(Y$1="""","""",REGEXMATCH(LOWER($E579),XLOOKUP(Y$1,Metadata!$A$2:$A1000,Metadata!$B$2:$B1000))),Y$1,"""")"),"")</f>
        <v/>
      </c>
      <c r="Z579" s="33" t="str">
        <f>IFERROR(__xludf.DUMMYFUNCTION("IF(IF(Z$1="""","""",REGEXMATCH(LOWER($E579),XLOOKUP(Z$1,Metadata!$A$2:$A1000,Metadata!$B$2:$B1000))),Z$1,"""")"),"")</f>
        <v/>
      </c>
    </row>
    <row r="580">
      <c r="A580" s="33"/>
      <c r="B580" s="33"/>
      <c r="C580" s="33"/>
      <c r="D580" s="33"/>
      <c r="E580" s="33"/>
      <c r="F580" s="33"/>
      <c r="G580" s="33"/>
      <c r="H580" s="33"/>
      <c r="I580" s="33"/>
      <c r="J580" s="33"/>
      <c r="K580" s="33"/>
      <c r="L580" s="33" t="str">
        <f>IFERROR(__xludf.DUMMYFUNCTION("IF(IF(L$1="""","""",REGEXMATCH(LOWER($E580),XLOOKUP(L$1,Metadata!$A$2:$A1000,Metadata!$B$2:$B1000))),L$1,"""")"),"")</f>
        <v/>
      </c>
      <c r="M580" s="33" t="str">
        <f>IFERROR(__xludf.DUMMYFUNCTION("IF(IF(M$1="""","""",REGEXMATCH(LOWER($E580),XLOOKUP(M$1,Metadata!$A$2:$A1000,Metadata!$B$2:$B1000))),M$1,"""")"),"")</f>
        <v/>
      </c>
      <c r="N580" s="33" t="str">
        <f>IFERROR(__xludf.DUMMYFUNCTION("IF(IF(N$1="""","""",REGEXMATCH(LOWER($E580),XLOOKUP(N$1,Metadata!$A$2:$A1000,Metadata!$B$2:$B1000))),N$1,"""")"),"")</f>
        <v/>
      </c>
      <c r="O580" s="33" t="str">
        <f>IFERROR(__xludf.DUMMYFUNCTION("IF(IF(O$1="""","""",REGEXMATCH(LOWER($E580),XLOOKUP(O$1,Metadata!$A$2:$A1000,Metadata!$B$2:$B1000))),O$1,"""")"),"")</f>
        <v/>
      </c>
      <c r="P580" s="33" t="str">
        <f>IFERROR(__xludf.DUMMYFUNCTION("IF(IF(P$1="""","""",REGEXMATCH(LOWER($E580),XLOOKUP(P$1,Metadata!$A$2:$A1000,Metadata!$B$2:$B1000))),P$1,"""")"),"")</f>
        <v/>
      </c>
      <c r="Q580" s="33" t="str">
        <f>IFERROR(__xludf.DUMMYFUNCTION("IF(IF(Q$1="""","""",REGEXMATCH(LOWER($E580),XLOOKUP(Q$1,Metadata!$A$2:$A1000,Metadata!$B$2:$B1000))),Q$1,"""")"),"")</f>
        <v/>
      </c>
      <c r="R580" s="33" t="str">
        <f>IFERROR(__xludf.DUMMYFUNCTION("IF(IF(R$1="""","""",REGEXMATCH(LOWER($E580),XLOOKUP(R$1,Metadata!$A$2:$A1000,Metadata!$B$2:$B1000))),R$1,"""")"),"")</f>
        <v/>
      </c>
      <c r="S580" s="33" t="str">
        <f>IFERROR(__xludf.DUMMYFUNCTION("IF(IF(S$1="""","""",REGEXMATCH(LOWER($E580),XLOOKUP(S$1,Metadata!$A$2:$A1000,Metadata!$B$2:$B1000))),S$1,"""")"),"")</f>
        <v/>
      </c>
      <c r="T580" s="33" t="str">
        <f>IFERROR(__xludf.DUMMYFUNCTION("IF(IF(T$1="""","""",REGEXMATCH(LOWER($E580),XLOOKUP(T$1,Metadata!$A$2:$A1000,Metadata!$B$2:$B1000))),T$1,"""")"),"")</f>
        <v/>
      </c>
      <c r="U580" s="33" t="str">
        <f>IFERROR(__xludf.DUMMYFUNCTION("IF(IF(U$1="""","""",REGEXMATCH(LOWER($E580),XLOOKUP(U$1,Metadata!$A$2:$A1000,Metadata!$B$2:$B1000))),U$1,"""")"),"")</f>
        <v/>
      </c>
      <c r="V580" s="33" t="str">
        <f>IFERROR(__xludf.DUMMYFUNCTION("IF(IF(V$1="""","""",REGEXMATCH(LOWER($E580),XLOOKUP(V$1,Metadata!$A$2:$A1000,Metadata!$B$2:$B1000))),V$1,"""")"),"")</f>
        <v/>
      </c>
      <c r="W580" s="33" t="str">
        <f>IFERROR(__xludf.DUMMYFUNCTION("IF(IF(W$1="""","""",REGEXMATCH(LOWER($E580),XLOOKUP(W$1,Metadata!$A$2:$A1000,Metadata!$B$2:$B1000))),W$1,"""")"),"")</f>
        <v/>
      </c>
      <c r="X580" s="33" t="str">
        <f>IFERROR(__xludf.DUMMYFUNCTION("IF(IF(X$1="""","""",REGEXMATCH(LOWER($E580),XLOOKUP(X$1,Metadata!$A$2:$A1000,Metadata!$B$2:$B1000))),X$1,"""")"),"")</f>
        <v/>
      </c>
      <c r="Y580" s="33" t="str">
        <f>IFERROR(__xludf.DUMMYFUNCTION("IF(IF(Y$1="""","""",REGEXMATCH(LOWER($E580),XLOOKUP(Y$1,Metadata!$A$2:$A1000,Metadata!$B$2:$B1000))),Y$1,"""")"),"")</f>
        <v/>
      </c>
      <c r="Z580" s="33" t="str">
        <f>IFERROR(__xludf.DUMMYFUNCTION("IF(IF(Z$1="""","""",REGEXMATCH(LOWER($E580),XLOOKUP(Z$1,Metadata!$A$2:$A1000,Metadata!$B$2:$B1000))),Z$1,"""")"),"")</f>
        <v/>
      </c>
    </row>
    <row r="581">
      <c r="A581" s="33"/>
      <c r="B581" s="33"/>
      <c r="C581" s="33"/>
      <c r="D581" s="33"/>
      <c r="E581" s="33"/>
      <c r="F581" s="33"/>
      <c r="G581" s="33"/>
      <c r="H581" s="33"/>
      <c r="I581" s="33"/>
      <c r="J581" s="33"/>
      <c r="K581" s="33"/>
      <c r="L581" s="33" t="str">
        <f>IFERROR(__xludf.DUMMYFUNCTION("IF(IF(L$1="""","""",REGEXMATCH(LOWER($E581),XLOOKUP(L$1,Metadata!$A$2:$A1000,Metadata!$B$2:$B1000))),L$1,"""")"),"")</f>
        <v/>
      </c>
      <c r="M581" s="33" t="str">
        <f>IFERROR(__xludf.DUMMYFUNCTION("IF(IF(M$1="""","""",REGEXMATCH(LOWER($E581),XLOOKUP(M$1,Metadata!$A$2:$A1000,Metadata!$B$2:$B1000))),M$1,"""")"),"")</f>
        <v/>
      </c>
      <c r="N581" s="33" t="str">
        <f>IFERROR(__xludf.DUMMYFUNCTION("IF(IF(N$1="""","""",REGEXMATCH(LOWER($E581),XLOOKUP(N$1,Metadata!$A$2:$A1000,Metadata!$B$2:$B1000))),N$1,"""")"),"")</f>
        <v/>
      </c>
      <c r="O581" s="33" t="str">
        <f>IFERROR(__xludf.DUMMYFUNCTION("IF(IF(O$1="""","""",REGEXMATCH(LOWER($E581),XLOOKUP(O$1,Metadata!$A$2:$A1000,Metadata!$B$2:$B1000))),O$1,"""")"),"")</f>
        <v/>
      </c>
      <c r="P581" s="33" t="str">
        <f>IFERROR(__xludf.DUMMYFUNCTION("IF(IF(P$1="""","""",REGEXMATCH(LOWER($E581),XLOOKUP(P$1,Metadata!$A$2:$A1000,Metadata!$B$2:$B1000))),P$1,"""")"),"")</f>
        <v/>
      </c>
      <c r="Q581" s="33" t="str">
        <f>IFERROR(__xludf.DUMMYFUNCTION("IF(IF(Q$1="""","""",REGEXMATCH(LOWER($E581),XLOOKUP(Q$1,Metadata!$A$2:$A1000,Metadata!$B$2:$B1000))),Q$1,"""")"),"")</f>
        <v/>
      </c>
      <c r="R581" s="33" t="str">
        <f>IFERROR(__xludf.DUMMYFUNCTION("IF(IF(R$1="""","""",REGEXMATCH(LOWER($E581),XLOOKUP(R$1,Metadata!$A$2:$A1000,Metadata!$B$2:$B1000))),R$1,"""")"),"")</f>
        <v/>
      </c>
      <c r="S581" s="33" t="str">
        <f>IFERROR(__xludf.DUMMYFUNCTION("IF(IF(S$1="""","""",REGEXMATCH(LOWER($E581),XLOOKUP(S$1,Metadata!$A$2:$A1000,Metadata!$B$2:$B1000))),S$1,"""")"),"")</f>
        <v/>
      </c>
      <c r="T581" s="33" t="str">
        <f>IFERROR(__xludf.DUMMYFUNCTION("IF(IF(T$1="""","""",REGEXMATCH(LOWER($E581),XLOOKUP(T$1,Metadata!$A$2:$A1000,Metadata!$B$2:$B1000))),T$1,"""")"),"")</f>
        <v/>
      </c>
      <c r="U581" s="33" t="str">
        <f>IFERROR(__xludf.DUMMYFUNCTION("IF(IF(U$1="""","""",REGEXMATCH(LOWER($E581),XLOOKUP(U$1,Metadata!$A$2:$A1000,Metadata!$B$2:$B1000))),U$1,"""")"),"")</f>
        <v/>
      </c>
      <c r="V581" s="33" t="str">
        <f>IFERROR(__xludf.DUMMYFUNCTION("IF(IF(V$1="""","""",REGEXMATCH(LOWER($E581),XLOOKUP(V$1,Metadata!$A$2:$A1000,Metadata!$B$2:$B1000))),V$1,"""")"),"")</f>
        <v/>
      </c>
      <c r="W581" s="33" t="str">
        <f>IFERROR(__xludf.DUMMYFUNCTION("IF(IF(W$1="""","""",REGEXMATCH(LOWER($E581),XLOOKUP(W$1,Metadata!$A$2:$A1000,Metadata!$B$2:$B1000))),W$1,"""")"),"")</f>
        <v/>
      </c>
      <c r="X581" s="33" t="str">
        <f>IFERROR(__xludf.DUMMYFUNCTION("IF(IF(X$1="""","""",REGEXMATCH(LOWER($E581),XLOOKUP(X$1,Metadata!$A$2:$A1000,Metadata!$B$2:$B1000))),X$1,"""")"),"")</f>
        <v/>
      </c>
      <c r="Y581" s="33" t="str">
        <f>IFERROR(__xludf.DUMMYFUNCTION("IF(IF(Y$1="""","""",REGEXMATCH(LOWER($E581),XLOOKUP(Y$1,Metadata!$A$2:$A1000,Metadata!$B$2:$B1000))),Y$1,"""")"),"")</f>
        <v/>
      </c>
      <c r="Z581" s="33" t="str">
        <f>IFERROR(__xludf.DUMMYFUNCTION("IF(IF(Z$1="""","""",REGEXMATCH(LOWER($E581),XLOOKUP(Z$1,Metadata!$A$2:$A1000,Metadata!$B$2:$B1000))),Z$1,"""")"),"")</f>
        <v/>
      </c>
    </row>
    <row r="582">
      <c r="A582" s="33"/>
      <c r="B582" s="33"/>
      <c r="C582" s="33"/>
      <c r="D582" s="33"/>
      <c r="E582" s="33"/>
      <c r="F582" s="33"/>
      <c r="G582" s="33"/>
      <c r="H582" s="33"/>
      <c r="I582" s="33"/>
      <c r="J582" s="33"/>
      <c r="K582" s="33"/>
      <c r="L582" s="33" t="str">
        <f>IFERROR(__xludf.DUMMYFUNCTION("IF(IF(L$1="""","""",REGEXMATCH(LOWER($E582),XLOOKUP(L$1,Metadata!$A$2:$A1000,Metadata!$B$2:$B1000))),L$1,"""")"),"")</f>
        <v/>
      </c>
      <c r="M582" s="33" t="str">
        <f>IFERROR(__xludf.DUMMYFUNCTION("IF(IF(M$1="""","""",REGEXMATCH(LOWER($E582),XLOOKUP(M$1,Metadata!$A$2:$A1000,Metadata!$B$2:$B1000))),M$1,"""")"),"")</f>
        <v/>
      </c>
      <c r="N582" s="33" t="str">
        <f>IFERROR(__xludf.DUMMYFUNCTION("IF(IF(N$1="""","""",REGEXMATCH(LOWER($E582),XLOOKUP(N$1,Metadata!$A$2:$A1000,Metadata!$B$2:$B1000))),N$1,"""")"),"")</f>
        <v/>
      </c>
      <c r="O582" s="33" t="str">
        <f>IFERROR(__xludf.DUMMYFUNCTION("IF(IF(O$1="""","""",REGEXMATCH(LOWER($E582),XLOOKUP(O$1,Metadata!$A$2:$A1000,Metadata!$B$2:$B1000))),O$1,"""")"),"")</f>
        <v/>
      </c>
      <c r="P582" s="33" t="str">
        <f>IFERROR(__xludf.DUMMYFUNCTION("IF(IF(P$1="""","""",REGEXMATCH(LOWER($E582),XLOOKUP(P$1,Metadata!$A$2:$A1000,Metadata!$B$2:$B1000))),P$1,"""")"),"")</f>
        <v/>
      </c>
      <c r="Q582" s="33" t="str">
        <f>IFERROR(__xludf.DUMMYFUNCTION("IF(IF(Q$1="""","""",REGEXMATCH(LOWER($E582),XLOOKUP(Q$1,Metadata!$A$2:$A1000,Metadata!$B$2:$B1000))),Q$1,"""")"),"")</f>
        <v/>
      </c>
      <c r="R582" s="33" t="str">
        <f>IFERROR(__xludf.DUMMYFUNCTION("IF(IF(R$1="""","""",REGEXMATCH(LOWER($E582),XLOOKUP(R$1,Metadata!$A$2:$A1000,Metadata!$B$2:$B1000))),R$1,"""")"),"")</f>
        <v/>
      </c>
      <c r="S582" s="33" t="str">
        <f>IFERROR(__xludf.DUMMYFUNCTION("IF(IF(S$1="""","""",REGEXMATCH(LOWER($E582),XLOOKUP(S$1,Metadata!$A$2:$A1000,Metadata!$B$2:$B1000))),S$1,"""")"),"")</f>
        <v/>
      </c>
      <c r="T582" s="33" t="str">
        <f>IFERROR(__xludf.DUMMYFUNCTION("IF(IF(T$1="""","""",REGEXMATCH(LOWER($E582),XLOOKUP(T$1,Metadata!$A$2:$A1000,Metadata!$B$2:$B1000))),T$1,"""")"),"")</f>
        <v/>
      </c>
      <c r="U582" s="33" t="str">
        <f>IFERROR(__xludf.DUMMYFUNCTION("IF(IF(U$1="""","""",REGEXMATCH(LOWER($E582),XLOOKUP(U$1,Metadata!$A$2:$A1000,Metadata!$B$2:$B1000))),U$1,"""")"),"")</f>
        <v/>
      </c>
      <c r="V582" s="33" t="str">
        <f>IFERROR(__xludf.DUMMYFUNCTION("IF(IF(V$1="""","""",REGEXMATCH(LOWER($E582),XLOOKUP(V$1,Metadata!$A$2:$A1000,Metadata!$B$2:$B1000))),V$1,"""")"),"")</f>
        <v/>
      </c>
      <c r="W582" s="33" t="str">
        <f>IFERROR(__xludf.DUMMYFUNCTION("IF(IF(W$1="""","""",REGEXMATCH(LOWER($E582),XLOOKUP(W$1,Metadata!$A$2:$A1000,Metadata!$B$2:$B1000))),W$1,"""")"),"")</f>
        <v/>
      </c>
      <c r="X582" s="33" t="str">
        <f>IFERROR(__xludf.DUMMYFUNCTION("IF(IF(X$1="""","""",REGEXMATCH(LOWER($E582),XLOOKUP(X$1,Metadata!$A$2:$A1000,Metadata!$B$2:$B1000))),X$1,"""")"),"")</f>
        <v/>
      </c>
      <c r="Y582" s="33" t="str">
        <f>IFERROR(__xludf.DUMMYFUNCTION("IF(IF(Y$1="""","""",REGEXMATCH(LOWER($E582),XLOOKUP(Y$1,Metadata!$A$2:$A1000,Metadata!$B$2:$B1000))),Y$1,"""")"),"")</f>
        <v/>
      </c>
      <c r="Z582" s="33" t="str">
        <f>IFERROR(__xludf.DUMMYFUNCTION("IF(IF(Z$1="""","""",REGEXMATCH(LOWER($E582),XLOOKUP(Z$1,Metadata!$A$2:$A1000,Metadata!$B$2:$B1000))),Z$1,"""")"),"")</f>
        <v/>
      </c>
    </row>
    <row r="583">
      <c r="A583" s="33"/>
      <c r="B583" s="33"/>
      <c r="C583" s="33"/>
      <c r="D583" s="33"/>
      <c r="E583" s="33"/>
      <c r="F583" s="33"/>
      <c r="G583" s="33"/>
      <c r="H583" s="33"/>
      <c r="I583" s="33"/>
      <c r="J583" s="33"/>
      <c r="K583" s="33"/>
      <c r="L583" s="33" t="str">
        <f>IFERROR(__xludf.DUMMYFUNCTION("IF(IF(L$1="""","""",REGEXMATCH(LOWER($E583),XLOOKUP(L$1,Metadata!$A$2:$A1000,Metadata!$B$2:$B1000))),L$1,"""")"),"")</f>
        <v/>
      </c>
      <c r="M583" s="33" t="str">
        <f>IFERROR(__xludf.DUMMYFUNCTION("IF(IF(M$1="""","""",REGEXMATCH(LOWER($E583),XLOOKUP(M$1,Metadata!$A$2:$A1000,Metadata!$B$2:$B1000))),M$1,"""")"),"")</f>
        <v/>
      </c>
      <c r="N583" s="33" t="str">
        <f>IFERROR(__xludf.DUMMYFUNCTION("IF(IF(N$1="""","""",REGEXMATCH(LOWER($E583),XLOOKUP(N$1,Metadata!$A$2:$A1000,Metadata!$B$2:$B1000))),N$1,"""")"),"")</f>
        <v/>
      </c>
      <c r="O583" s="33" t="str">
        <f>IFERROR(__xludf.DUMMYFUNCTION("IF(IF(O$1="""","""",REGEXMATCH(LOWER($E583),XLOOKUP(O$1,Metadata!$A$2:$A1000,Metadata!$B$2:$B1000))),O$1,"""")"),"")</f>
        <v/>
      </c>
      <c r="P583" s="33" t="str">
        <f>IFERROR(__xludf.DUMMYFUNCTION("IF(IF(P$1="""","""",REGEXMATCH(LOWER($E583),XLOOKUP(P$1,Metadata!$A$2:$A1000,Metadata!$B$2:$B1000))),P$1,"""")"),"")</f>
        <v/>
      </c>
      <c r="Q583" s="33" t="str">
        <f>IFERROR(__xludf.DUMMYFUNCTION("IF(IF(Q$1="""","""",REGEXMATCH(LOWER($E583),XLOOKUP(Q$1,Metadata!$A$2:$A1000,Metadata!$B$2:$B1000))),Q$1,"""")"),"")</f>
        <v/>
      </c>
      <c r="R583" s="33" t="str">
        <f>IFERROR(__xludf.DUMMYFUNCTION("IF(IF(R$1="""","""",REGEXMATCH(LOWER($E583),XLOOKUP(R$1,Metadata!$A$2:$A1000,Metadata!$B$2:$B1000))),R$1,"""")"),"")</f>
        <v/>
      </c>
      <c r="S583" s="33" t="str">
        <f>IFERROR(__xludf.DUMMYFUNCTION("IF(IF(S$1="""","""",REGEXMATCH(LOWER($E583),XLOOKUP(S$1,Metadata!$A$2:$A1000,Metadata!$B$2:$B1000))),S$1,"""")"),"")</f>
        <v/>
      </c>
      <c r="T583" s="33" t="str">
        <f>IFERROR(__xludf.DUMMYFUNCTION("IF(IF(T$1="""","""",REGEXMATCH(LOWER($E583),XLOOKUP(T$1,Metadata!$A$2:$A1000,Metadata!$B$2:$B1000))),T$1,"""")"),"")</f>
        <v/>
      </c>
      <c r="U583" s="33" t="str">
        <f>IFERROR(__xludf.DUMMYFUNCTION("IF(IF(U$1="""","""",REGEXMATCH(LOWER($E583),XLOOKUP(U$1,Metadata!$A$2:$A1000,Metadata!$B$2:$B1000))),U$1,"""")"),"")</f>
        <v/>
      </c>
      <c r="V583" s="33" t="str">
        <f>IFERROR(__xludf.DUMMYFUNCTION("IF(IF(V$1="""","""",REGEXMATCH(LOWER($E583),XLOOKUP(V$1,Metadata!$A$2:$A1000,Metadata!$B$2:$B1000))),V$1,"""")"),"")</f>
        <v/>
      </c>
      <c r="W583" s="33" t="str">
        <f>IFERROR(__xludf.DUMMYFUNCTION("IF(IF(W$1="""","""",REGEXMATCH(LOWER($E583),XLOOKUP(W$1,Metadata!$A$2:$A1000,Metadata!$B$2:$B1000))),W$1,"""")"),"")</f>
        <v/>
      </c>
      <c r="X583" s="33" t="str">
        <f>IFERROR(__xludf.DUMMYFUNCTION("IF(IF(X$1="""","""",REGEXMATCH(LOWER($E583),XLOOKUP(X$1,Metadata!$A$2:$A1000,Metadata!$B$2:$B1000))),X$1,"""")"),"")</f>
        <v/>
      </c>
      <c r="Y583" s="33" t="str">
        <f>IFERROR(__xludf.DUMMYFUNCTION("IF(IF(Y$1="""","""",REGEXMATCH(LOWER($E583),XLOOKUP(Y$1,Metadata!$A$2:$A1000,Metadata!$B$2:$B1000))),Y$1,"""")"),"")</f>
        <v/>
      </c>
      <c r="Z583" s="33" t="str">
        <f>IFERROR(__xludf.DUMMYFUNCTION("IF(IF(Z$1="""","""",REGEXMATCH(LOWER($E583),XLOOKUP(Z$1,Metadata!$A$2:$A1000,Metadata!$B$2:$B1000))),Z$1,"""")"),"")</f>
        <v/>
      </c>
    </row>
    <row r="584">
      <c r="A584" s="33"/>
      <c r="B584" s="33"/>
      <c r="C584" s="33"/>
      <c r="D584" s="33"/>
      <c r="E584" s="33"/>
      <c r="F584" s="33"/>
      <c r="G584" s="33"/>
      <c r="H584" s="33"/>
      <c r="I584" s="33"/>
      <c r="J584" s="33"/>
      <c r="K584" s="33"/>
      <c r="L584" s="33" t="str">
        <f>IFERROR(__xludf.DUMMYFUNCTION("IF(IF(L$1="""","""",REGEXMATCH(LOWER($E584),XLOOKUP(L$1,Metadata!$A$2:$A1000,Metadata!$B$2:$B1000))),L$1,"""")"),"")</f>
        <v/>
      </c>
      <c r="M584" s="33" t="str">
        <f>IFERROR(__xludf.DUMMYFUNCTION("IF(IF(M$1="""","""",REGEXMATCH(LOWER($E584),XLOOKUP(M$1,Metadata!$A$2:$A1000,Metadata!$B$2:$B1000))),M$1,"""")"),"")</f>
        <v/>
      </c>
      <c r="N584" s="33" t="str">
        <f>IFERROR(__xludf.DUMMYFUNCTION("IF(IF(N$1="""","""",REGEXMATCH(LOWER($E584),XLOOKUP(N$1,Metadata!$A$2:$A1000,Metadata!$B$2:$B1000))),N$1,"""")"),"")</f>
        <v/>
      </c>
      <c r="O584" s="33" t="str">
        <f>IFERROR(__xludf.DUMMYFUNCTION("IF(IF(O$1="""","""",REGEXMATCH(LOWER($E584),XLOOKUP(O$1,Metadata!$A$2:$A1000,Metadata!$B$2:$B1000))),O$1,"""")"),"")</f>
        <v/>
      </c>
      <c r="P584" s="33" t="str">
        <f>IFERROR(__xludf.DUMMYFUNCTION("IF(IF(P$1="""","""",REGEXMATCH(LOWER($E584),XLOOKUP(P$1,Metadata!$A$2:$A1000,Metadata!$B$2:$B1000))),P$1,"""")"),"")</f>
        <v/>
      </c>
      <c r="Q584" s="33" t="str">
        <f>IFERROR(__xludf.DUMMYFUNCTION("IF(IF(Q$1="""","""",REGEXMATCH(LOWER($E584),XLOOKUP(Q$1,Metadata!$A$2:$A1000,Metadata!$B$2:$B1000))),Q$1,"""")"),"")</f>
        <v/>
      </c>
      <c r="R584" s="33" t="str">
        <f>IFERROR(__xludf.DUMMYFUNCTION("IF(IF(R$1="""","""",REGEXMATCH(LOWER($E584),XLOOKUP(R$1,Metadata!$A$2:$A1000,Metadata!$B$2:$B1000))),R$1,"""")"),"")</f>
        <v/>
      </c>
      <c r="S584" s="33" t="str">
        <f>IFERROR(__xludf.DUMMYFUNCTION("IF(IF(S$1="""","""",REGEXMATCH(LOWER($E584),XLOOKUP(S$1,Metadata!$A$2:$A1000,Metadata!$B$2:$B1000))),S$1,"""")"),"")</f>
        <v/>
      </c>
      <c r="T584" s="33" t="str">
        <f>IFERROR(__xludf.DUMMYFUNCTION("IF(IF(T$1="""","""",REGEXMATCH(LOWER($E584),XLOOKUP(T$1,Metadata!$A$2:$A1000,Metadata!$B$2:$B1000))),T$1,"""")"),"")</f>
        <v/>
      </c>
      <c r="U584" s="33" t="str">
        <f>IFERROR(__xludf.DUMMYFUNCTION("IF(IF(U$1="""","""",REGEXMATCH(LOWER($E584),XLOOKUP(U$1,Metadata!$A$2:$A1000,Metadata!$B$2:$B1000))),U$1,"""")"),"")</f>
        <v/>
      </c>
      <c r="V584" s="33" t="str">
        <f>IFERROR(__xludf.DUMMYFUNCTION("IF(IF(V$1="""","""",REGEXMATCH(LOWER($E584),XLOOKUP(V$1,Metadata!$A$2:$A1000,Metadata!$B$2:$B1000))),V$1,"""")"),"")</f>
        <v/>
      </c>
      <c r="W584" s="33" t="str">
        <f>IFERROR(__xludf.DUMMYFUNCTION("IF(IF(W$1="""","""",REGEXMATCH(LOWER($E584),XLOOKUP(W$1,Metadata!$A$2:$A1000,Metadata!$B$2:$B1000))),W$1,"""")"),"")</f>
        <v/>
      </c>
      <c r="X584" s="33" t="str">
        <f>IFERROR(__xludf.DUMMYFUNCTION("IF(IF(X$1="""","""",REGEXMATCH(LOWER($E584),XLOOKUP(X$1,Metadata!$A$2:$A1000,Metadata!$B$2:$B1000))),X$1,"""")"),"")</f>
        <v/>
      </c>
      <c r="Y584" s="33" t="str">
        <f>IFERROR(__xludf.DUMMYFUNCTION("IF(IF(Y$1="""","""",REGEXMATCH(LOWER($E584),XLOOKUP(Y$1,Metadata!$A$2:$A1000,Metadata!$B$2:$B1000))),Y$1,"""")"),"")</f>
        <v/>
      </c>
      <c r="Z584" s="33" t="str">
        <f>IFERROR(__xludf.DUMMYFUNCTION("IF(IF(Z$1="""","""",REGEXMATCH(LOWER($E584),XLOOKUP(Z$1,Metadata!$A$2:$A1000,Metadata!$B$2:$B1000))),Z$1,"""")"),"")</f>
        <v/>
      </c>
    </row>
    <row r="585">
      <c r="A585" s="33"/>
      <c r="B585" s="33"/>
      <c r="C585" s="33"/>
      <c r="D585" s="33"/>
      <c r="E585" s="33"/>
      <c r="F585" s="33"/>
      <c r="G585" s="33"/>
      <c r="H585" s="33"/>
      <c r="I585" s="33"/>
      <c r="J585" s="33"/>
      <c r="K585" s="33"/>
      <c r="L585" s="33" t="str">
        <f>IFERROR(__xludf.DUMMYFUNCTION("IF(IF(L$1="""","""",REGEXMATCH(LOWER($E585),XLOOKUP(L$1,Metadata!$A$2:$A1000,Metadata!$B$2:$B1000))),L$1,"""")"),"")</f>
        <v/>
      </c>
      <c r="M585" s="33" t="str">
        <f>IFERROR(__xludf.DUMMYFUNCTION("IF(IF(M$1="""","""",REGEXMATCH(LOWER($E585),XLOOKUP(M$1,Metadata!$A$2:$A1000,Metadata!$B$2:$B1000))),M$1,"""")"),"")</f>
        <v/>
      </c>
      <c r="N585" s="33" t="str">
        <f>IFERROR(__xludf.DUMMYFUNCTION("IF(IF(N$1="""","""",REGEXMATCH(LOWER($E585),XLOOKUP(N$1,Metadata!$A$2:$A1000,Metadata!$B$2:$B1000))),N$1,"""")"),"")</f>
        <v/>
      </c>
      <c r="O585" s="33" t="str">
        <f>IFERROR(__xludf.DUMMYFUNCTION("IF(IF(O$1="""","""",REGEXMATCH(LOWER($E585),XLOOKUP(O$1,Metadata!$A$2:$A1000,Metadata!$B$2:$B1000))),O$1,"""")"),"")</f>
        <v/>
      </c>
      <c r="P585" s="33" t="str">
        <f>IFERROR(__xludf.DUMMYFUNCTION("IF(IF(P$1="""","""",REGEXMATCH(LOWER($E585),XLOOKUP(P$1,Metadata!$A$2:$A1000,Metadata!$B$2:$B1000))),P$1,"""")"),"")</f>
        <v/>
      </c>
      <c r="Q585" s="33" t="str">
        <f>IFERROR(__xludf.DUMMYFUNCTION("IF(IF(Q$1="""","""",REGEXMATCH(LOWER($E585),XLOOKUP(Q$1,Metadata!$A$2:$A1000,Metadata!$B$2:$B1000))),Q$1,"""")"),"")</f>
        <v/>
      </c>
      <c r="R585" s="33" t="str">
        <f>IFERROR(__xludf.DUMMYFUNCTION("IF(IF(R$1="""","""",REGEXMATCH(LOWER($E585),XLOOKUP(R$1,Metadata!$A$2:$A1000,Metadata!$B$2:$B1000))),R$1,"""")"),"")</f>
        <v/>
      </c>
      <c r="S585" s="33" t="str">
        <f>IFERROR(__xludf.DUMMYFUNCTION("IF(IF(S$1="""","""",REGEXMATCH(LOWER($E585),XLOOKUP(S$1,Metadata!$A$2:$A1000,Metadata!$B$2:$B1000))),S$1,"""")"),"")</f>
        <v/>
      </c>
      <c r="T585" s="33" t="str">
        <f>IFERROR(__xludf.DUMMYFUNCTION("IF(IF(T$1="""","""",REGEXMATCH(LOWER($E585),XLOOKUP(T$1,Metadata!$A$2:$A1000,Metadata!$B$2:$B1000))),T$1,"""")"),"")</f>
        <v/>
      </c>
      <c r="U585" s="33" t="str">
        <f>IFERROR(__xludf.DUMMYFUNCTION("IF(IF(U$1="""","""",REGEXMATCH(LOWER($E585),XLOOKUP(U$1,Metadata!$A$2:$A1000,Metadata!$B$2:$B1000))),U$1,"""")"),"")</f>
        <v/>
      </c>
      <c r="V585" s="33" t="str">
        <f>IFERROR(__xludf.DUMMYFUNCTION("IF(IF(V$1="""","""",REGEXMATCH(LOWER($E585),XLOOKUP(V$1,Metadata!$A$2:$A1000,Metadata!$B$2:$B1000))),V$1,"""")"),"")</f>
        <v/>
      </c>
      <c r="W585" s="33" t="str">
        <f>IFERROR(__xludf.DUMMYFUNCTION("IF(IF(W$1="""","""",REGEXMATCH(LOWER($E585),XLOOKUP(W$1,Metadata!$A$2:$A1000,Metadata!$B$2:$B1000))),W$1,"""")"),"")</f>
        <v/>
      </c>
      <c r="X585" s="33" t="str">
        <f>IFERROR(__xludf.DUMMYFUNCTION("IF(IF(X$1="""","""",REGEXMATCH(LOWER($E585),XLOOKUP(X$1,Metadata!$A$2:$A1000,Metadata!$B$2:$B1000))),X$1,"""")"),"")</f>
        <v/>
      </c>
      <c r="Y585" s="33" t="str">
        <f>IFERROR(__xludf.DUMMYFUNCTION("IF(IF(Y$1="""","""",REGEXMATCH(LOWER($E585),XLOOKUP(Y$1,Metadata!$A$2:$A1000,Metadata!$B$2:$B1000))),Y$1,"""")"),"")</f>
        <v/>
      </c>
      <c r="Z585" s="33" t="str">
        <f>IFERROR(__xludf.DUMMYFUNCTION("IF(IF(Z$1="""","""",REGEXMATCH(LOWER($E585),XLOOKUP(Z$1,Metadata!$A$2:$A1000,Metadata!$B$2:$B1000))),Z$1,"""")"),"")</f>
        <v/>
      </c>
    </row>
    <row r="586">
      <c r="A586" s="33"/>
      <c r="B586" s="33"/>
      <c r="C586" s="33"/>
      <c r="D586" s="33"/>
      <c r="E586" s="33"/>
      <c r="F586" s="33"/>
      <c r="G586" s="33"/>
      <c r="H586" s="33"/>
      <c r="I586" s="33"/>
      <c r="J586" s="33"/>
      <c r="K586" s="33"/>
      <c r="L586" s="33" t="str">
        <f>IFERROR(__xludf.DUMMYFUNCTION("IF(IF(L$1="""","""",REGEXMATCH(LOWER($E586),XLOOKUP(L$1,Metadata!$A$2:$A1000,Metadata!$B$2:$B1000))),L$1,"""")"),"")</f>
        <v/>
      </c>
      <c r="M586" s="33" t="str">
        <f>IFERROR(__xludf.DUMMYFUNCTION("IF(IF(M$1="""","""",REGEXMATCH(LOWER($E586),XLOOKUP(M$1,Metadata!$A$2:$A1000,Metadata!$B$2:$B1000))),M$1,"""")"),"")</f>
        <v/>
      </c>
      <c r="N586" s="33" t="str">
        <f>IFERROR(__xludf.DUMMYFUNCTION("IF(IF(N$1="""","""",REGEXMATCH(LOWER($E586),XLOOKUP(N$1,Metadata!$A$2:$A1000,Metadata!$B$2:$B1000))),N$1,"""")"),"")</f>
        <v/>
      </c>
      <c r="O586" s="33" t="str">
        <f>IFERROR(__xludf.DUMMYFUNCTION("IF(IF(O$1="""","""",REGEXMATCH(LOWER($E586),XLOOKUP(O$1,Metadata!$A$2:$A1000,Metadata!$B$2:$B1000))),O$1,"""")"),"")</f>
        <v/>
      </c>
      <c r="P586" s="33" t="str">
        <f>IFERROR(__xludf.DUMMYFUNCTION("IF(IF(P$1="""","""",REGEXMATCH(LOWER($E586),XLOOKUP(P$1,Metadata!$A$2:$A1000,Metadata!$B$2:$B1000))),P$1,"""")"),"")</f>
        <v/>
      </c>
      <c r="Q586" s="33" t="str">
        <f>IFERROR(__xludf.DUMMYFUNCTION("IF(IF(Q$1="""","""",REGEXMATCH(LOWER($E586),XLOOKUP(Q$1,Metadata!$A$2:$A1000,Metadata!$B$2:$B1000))),Q$1,"""")"),"")</f>
        <v/>
      </c>
      <c r="R586" s="33" t="str">
        <f>IFERROR(__xludf.DUMMYFUNCTION("IF(IF(R$1="""","""",REGEXMATCH(LOWER($E586),XLOOKUP(R$1,Metadata!$A$2:$A1000,Metadata!$B$2:$B1000))),R$1,"""")"),"")</f>
        <v/>
      </c>
      <c r="S586" s="33" t="str">
        <f>IFERROR(__xludf.DUMMYFUNCTION("IF(IF(S$1="""","""",REGEXMATCH(LOWER($E586),XLOOKUP(S$1,Metadata!$A$2:$A1000,Metadata!$B$2:$B1000))),S$1,"""")"),"")</f>
        <v/>
      </c>
      <c r="T586" s="33" t="str">
        <f>IFERROR(__xludf.DUMMYFUNCTION("IF(IF(T$1="""","""",REGEXMATCH(LOWER($E586),XLOOKUP(T$1,Metadata!$A$2:$A1000,Metadata!$B$2:$B1000))),T$1,"""")"),"")</f>
        <v/>
      </c>
      <c r="U586" s="33" t="str">
        <f>IFERROR(__xludf.DUMMYFUNCTION("IF(IF(U$1="""","""",REGEXMATCH(LOWER($E586),XLOOKUP(U$1,Metadata!$A$2:$A1000,Metadata!$B$2:$B1000))),U$1,"""")"),"")</f>
        <v/>
      </c>
      <c r="V586" s="33" t="str">
        <f>IFERROR(__xludf.DUMMYFUNCTION("IF(IF(V$1="""","""",REGEXMATCH(LOWER($E586),XLOOKUP(V$1,Metadata!$A$2:$A1000,Metadata!$B$2:$B1000))),V$1,"""")"),"")</f>
        <v/>
      </c>
      <c r="W586" s="33" t="str">
        <f>IFERROR(__xludf.DUMMYFUNCTION("IF(IF(W$1="""","""",REGEXMATCH(LOWER($E586),XLOOKUP(W$1,Metadata!$A$2:$A1000,Metadata!$B$2:$B1000))),W$1,"""")"),"")</f>
        <v/>
      </c>
      <c r="X586" s="33" t="str">
        <f>IFERROR(__xludf.DUMMYFUNCTION("IF(IF(X$1="""","""",REGEXMATCH(LOWER($E586),XLOOKUP(X$1,Metadata!$A$2:$A1000,Metadata!$B$2:$B1000))),X$1,"""")"),"")</f>
        <v/>
      </c>
      <c r="Y586" s="33" t="str">
        <f>IFERROR(__xludf.DUMMYFUNCTION("IF(IF(Y$1="""","""",REGEXMATCH(LOWER($E586),XLOOKUP(Y$1,Metadata!$A$2:$A1000,Metadata!$B$2:$B1000))),Y$1,"""")"),"")</f>
        <v/>
      </c>
      <c r="Z586" s="33" t="str">
        <f>IFERROR(__xludf.DUMMYFUNCTION("IF(IF(Z$1="""","""",REGEXMATCH(LOWER($E586),XLOOKUP(Z$1,Metadata!$A$2:$A1000,Metadata!$B$2:$B1000))),Z$1,"""")"),"")</f>
        <v/>
      </c>
    </row>
    <row r="587">
      <c r="A587" s="33"/>
      <c r="B587" s="33"/>
      <c r="C587" s="33"/>
      <c r="D587" s="33"/>
      <c r="E587" s="33"/>
      <c r="F587" s="33"/>
      <c r="G587" s="33"/>
      <c r="H587" s="33"/>
      <c r="I587" s="33"/>
      <c r="J587" s="33"/>
      <c r="K587" s="33"/>
      <c r="L587" s="33" t="str">
        <f>IFERROR(__xludf.DUMMYFUNCTION("IF(IF(L$1="""","""",REGEXMATCH(LOWER($E587),XLOOKUP(L$1,Metadata!$A$2:$A1000,Metadata!$B$2:$B1000))),L$1,"""")"),"")</f>
        <v/>
      </c>
      <c r="M587" s="33" t="str">
        <f>IFERROR(__xludf.DUMMYFUNCTION("IF(IF(M$1="""","""",REGEXMATCH(LOWER($E587),XLOOKUP(M$1,Metadata!$A$2:$A1000,Metadata!$B$2:$B1000))),M$1,"""")"),"")</f>
        <v/>
      </c>
      <c r="N587" s="33" t="str">
        <f>IFERROR(__xludf.DUMMYFUNCTION("IF(IF(N$1="""","""",REGEXMATCH(LOWER($E587),XLOOKUP(N$1,Metadata!$A$2:$A1000,Metadata!$B$2:$B1000))),N$1,"""")"),"")</f>
        <v/>
      </c>
      <c r="O587" s="33" t="str">
        <f>IFERROR(__xludf.DUMMYFUNCTION("IF(IF(O$1="""","""",REGEXMATCH(LOWER($E587),XLOOKUP(O$1,Metadata!$A$2:$A1000,Metadata!$B$2:$B1000))),O$1,"""")"),"")</f>
        <v/>
      </c>
      <c r="P587" s="33" t="str">
        <f>IFERROR(__xludf.DUMMYFUNCTION("IF(IF(P$1="""","""",REGEXMATCH(LOWER($E587),XLOOKUP(P$1,Metadata!$A$2:$A1000,Metadata!$B$2:$B1000))),P$1,"""")"),"")</f>
        <v/>
      </c>
      <c r="Q587" s="33" t="str">
        <f>IFERROR(__xludf.DUMMYFUNCTION("IF(IF(Q$1="""","""",REGEXMATCH(LOWER($E587),XLOOKUP(Q$1,Metadata!$A$2:$A1000,Metadata!$B$2:$B1000))),Q$1,"""")"),"")</f>
        <v/>
      </c>
      <c r="R587" s="33" t="str">
        <f>IFERROR(__xludf.DUMMYFUNCTION("IF(IF(R$1="""","""",REGEXMATCH(LOWER($E587),XLOOKUP(R$1,Metadata!$A$2:$A1000,Metadata!$B$2:$B1000))),R$1,"""")"),"")</f>
        <v/>
      </c>
      <c r="S587" s="33" t="str">
        <f>IFERROR(__xludf.DUMMYFUNCTION("IF(IF(S$1="""","""",REGEXMATCH(LOWER($E587),XLOOKUP(S$1,Metadata!$A$2:$A1000,Metadata!$B$2:$B1000))),S$1,"""")"),"")</f>
        <v/>
      </c>
      <c r="T587" s="33" t="str">
        <f>IFERROR(__xludf.DUMMYFUNCTION("IF(IF(T$1="""","""",REGEXMATCH(LOWER($E587),XLOOKUP(T$1,Metadata!$A$2:$A1000,Metadata!$B$2:$B1000))),T$1,"""")"),"")</f>
        <v/>
      </c>
      <c r="U587" s="33" t="str">
        <f>IFERROR(__xludf.DUMMYFUNCTION("IF(IF(U$1="""","""",REGEXMATCH(LOWER($E587),XLOOKUP(U$1,Metadata!$A$2:$A1000,Metadata!$B$2:$B1000))),U$1,"""")"),"")</f>
        <v/>
      </c>
      <c r="V587" s="33" t="str">
        <f>IFERROR(__xludf.DUMMYFUNCTION("IF(IF(V$1="""","""",REGEXMATCH(LOWER($E587),XLOOKUP(V$1,Metadata!$A$2:$A1000,Metadata!$B$2:$B1000))),V$1,"""")"),"")</f>
        <v/>
      </c>
      <c r="W587" s="33" t="str">
        <f>IFERROR(__xludf.DUMMYFUNCTION("IF(IF(W$1="""","""",REGEXMATCH(LOWER($E587),XLOOKUP(W$1,Metadata!$A$2:$A1000,Metadata!$B$2:$B1000))),W$1,"""")"),"")</f>
        <v/>
      </c>
      <c r="X587" s="33" t="str">
        <f>IFERROR(__xludf.DUMMYFUNCTION("IF(IF(X$1="""","""",REGEXMATCH(LOWER($E587),XLOOKUP(X$1,Metadata!$A$2:$A1000,Metadata!$B$2:$B1000))),X$1,"""")"),"")</f>
        <v/>
      </c>
      <c r="Y587" s="33" t="str">
        <f>IFERROR(__xludf.DUMMYFUNCTION("IF(IF(Y$1="""","""",REGEXMATCH(LOWER($E587),XLOOKUP(Y$1,Metadata!$A$2:$A1000,Metadata!$B$2:$B1000))),Y$1,"""")"),"")</f>
        <v/>
      </c>
      <c r="Z587" s="33" t="str">
        <f>IFERROR(__xludf.DUMMYFUNCTION("IF(IF(Z$1="""","""",REGEXMATCH(LOWER($E587),XLOOKUP(Z$1,Metadata!$A$2:$A1000,Metadata!$B$2:$B1000))),Z$1,"""")"),"")</f>
        <v/>
      </c>
    </row>
    <row r="588">
      <c r="A588" s="33"/>
      <c r="B588" s="33"/>
      <c r="C588" s="33"/>
      <c r="D588" s="33"/>
      <c r="E588" s="33"/>
      <c r="F588" s="33"/>
      <c r="G588" s="33"/>
      <c r="H588" s="33"/>
      <c r="I588" s="33"/>
      <c r="J588" s="33"/>
      <c r="K588" s="33"/>
      <c r="L588" s="33" t="str">
        <f>IFERROR(__xludf.DUMMYFUNCTION("IF(IF(L$1="""","""",REGEXMATCH(LOWER($E588),XLOOKUP(L$1,Metadata!$A$2:$A1000,Metadata!$B$2:$B1000))),L$1,"""")"),"")</f>
        <v/>
      </c>
      <c r="M588" s="33" t="str">
        <f>IFERROR(__xludf.DUMMYFUNCTION("IF(IF(M$1="""","""",REGEXMATCH(LOWER($E588),XLOOKUP(M$1,Metadata!$A$2:$A1000,Metadata!$B$2:$B1000))),M$1,"""")"),"")</f>
        <v/>
      </c>
      <c r="N588" s="33" t="str">
        <f>IFERROR(__xludf.DUMMYFUNCTION("IF(IF(N$1="""","""",REGEXMATCH(LOWER($E588),XLOOKUP(N$1,Metadata!$A$2:$A1000,Metadata!$B$2:$B1000))),N$1,"""")"),"")</f>
        <v/>
      </c>
      <c r="O588" s="33" t="str">
        <f>IFERROR(__xludf.DUMMYFUNCTION("IF(IF(O$1="""","""",REGEXMATCH(LOWER($E588),XLOOKUP(O$1,Metadata!$A$2:$A1000,Metadata!$B$2:$B1000))),O$1,"""")"),"")</f>
        <v/>
      </c>
      <c r="P588" s="33" t="str">
        <f>IFERROR(__xludf.DUMMYFUNCTION("IF(IF(P$1="""","""",REGEXMATCH(LOWER($E588),XLOOKUP(P$1,Metadata!$A$2:$A1000,Metadata!$B$2:$B1000))),P$1,"""")"),"")</f>
        <v/>
      </c>
      <c r="Q588" s="33" t="str">
        <f>IFERROR(__xludf.DUMMYFUNCTION("IF(IF(Q$1="""","""",REGEXMATCH(LOWER($E588),XLOOKUP(Q$1,Metadata!$A$2:$A1000,Metadata!$B$2:$B1000))),Q$1,"""")"),"")</f>
        <v/>
      </c>
      <c r="R588" s="33" t="str">
        <f>IFERROR(__xludf.DUMMYFUNCTION("IF(IF(R$1="""","""",REGEXMATCH(LOWER($E588),XLOOKUP(R$1,Metadata!$A$2:$A1000,Metadata!$B$2:$B1000))),R$1,"""")"),"")</f>
        <v/>
      </c>
      <c r="S588" s="33" t="str">
        <f>IFERROR(__xludf.DUMMYFUNCTION("IF(IF(S$1="""","""",REGEXMATCH(LOWER($E588),XLOOKUP(S$1,Metadata!$A$2:$A1000,Metadata!$B$2:$B1000))),S$1,"""")"),"")</f>
        <v/>
      </c>
      <c r="T588" s="33" t="str">
        <f>IFERROR(__xludf.DUMMYFUNCTION("IF(IF(T$1="""","""",REGEXMATCH(LOWER($E588),XLOOKUP(T$1,Metadata!$A$2:$A1000,Metadata!$B$2:$B1000))),T$1,"""")"),"")</f>
        <v/>
      </c>
      <c r="U588" s="33" t="str">
        <f>IFERROR(__xludf.DUMMYFUNCTION("IF(IF(U$1="""","""",REGEXMATCH(LOWER($E588),XLOOKUP(U$1,Metadata!$A$2:$A1000,Metadata!$B$2:$B1000))),U$1,"""")"),"")</f>
        <v/>
      </c>
      <c r="V588" s="33" t="str">
        <f>IFERROR(__xludf.DUMMYFUNCTION("IF(IF(V$1="""","""",REGEXMATCH(LOWER($E588),XLOOKUP(V$1,Metadata!$A$2:$A1000,Metadata!$B$2:$B1000))),V$1,"""")"),"")</f>
        <v/>
      </c>
      <c r="W588" s="33" t="str">
        <f>IFERROR(__xludf.DUMMYFUNCTION("IF(IF(W$1="""","""",REGEXMATCH(LOWER($E588),XLOOKUP(W$1,Metadata!$A$2:$A1000,Metadata!$B$2:$B1000))),W$1,"""")"),"")</f>
        <v/>
      </c>
      <c r="X588" s="33" t="str">
        <f>IFERROR(__xludf.DUMMYFUNCTION("IF(IF(X$1="""","""",REGEXMATCH(LOWER($E588),XLOOKUP(X$1,Metadata!$A$2:$A1000,Metadata!$B$2:$B1000))),X$1,"""")"),"")</f>
        <v/>
      </c>
      <c r="Y588" s="33" t="str">
        <f>IFERROR(__xludf.DUMMYFUNCTION("IF(IF(Y$1="""","""",REGEXMATCH(LOWER($E588),XLOOKUP(Y$1,Metadata!$A$2:$A1000,Metadata!$B$2:$B1000))),Y$1,"""")"),"")</f>
        <v/>
      </c>
      <c r="Z588" s="33" t="str">
        <f>IFERROR(__xludf.DUMMYFUNCTION("IF(IF(Z$1="""","""",REGEXMATCH(LOWER($E588),XLOOKUP(Z$1,Metadata!$A$2:$A1000,Metadata!$B$2:$B1000))),Z$1,"""")"),"")</f>
        <v/>
      </c>
    </row>
    <row r="589">
      <c r="A589" s="33"/>
      <c r="B589" s="33"/>
      <c r="C589" s="33"/>
      <c r="D589" s="33"/>
      <c r="E589" s="33"/>
      <c r="F589" s="33"/>
      <c r="G589" s="33"/>
      <c r="H589" s="33"/>
      <c r="I589" s="33"/>
      <c r="J589" s="33"/>
      <c r="K589" s="33"/>
      <c r="L589" s="33" t="str">
        <f>IFERROR(__xludf.DUMMYFUNCTION("IF(IF(L$1="""","""",REGEXMATCH(LOWER($E589),XLOOKUP(L$1,Metadata!$A$2:$A1000,Metadata!$B$2:$B1000))),L$1,"""")"),"")</f>
        <v/>
      </c>
      <c r="M589" s="33" t="str">
        <f>IFERROR(__xludf.DUMMYFUNCTION("IF(IF(M$1="""","""",REGEXMATCH(LOWER($E589),XLOOKUP(M$1,Metadata!$A$2:$A1000,Metadata!$B$2:$B1000))),M$1,"""")"),"")</f>
        <v/>
      </c>
      <c r="N589" s="33" t="str">
        <f>IFERROR(__xludf.DUMMYFUNCTION("IF(IF(N$1="""","""",REGEXMATCH(LOWER($E589),XLOOKUP(N$1,Metadata!$A$2:$A1000,Metadata!$B$2:$B1000))),N$1,"""")"),"")</f>
        <v/>
      </c>
      <c r="O589" s="33" t="str">
        <f>IFERROR(__xludf.DUMMYFUNCTION("IF(IF(O$1="""","""",REGEXMATCH(LOWER($E589),XLOOKUP(O$1,Metadata!$A$2:$A1000,Metadata!$B$2:$B1000))),O$1,"""")"),"")</f>
        <v/>
      </c>
      <c r="P589" s="33" t="str">
        <f>IFERROR(__xludf.DUMMYFUNCTION("IF(IF(P$1="""","""",REGEXMATCH(LOWER($E589),XLOOKUP(P$1,Metadata!$A$2:$A1000,Metadata!$B$2:$B1000))),P$1,"""")"),"")</f>
        <v/>
      </c>
      <c r="Q589" s="33" t="str">
        <f>IFERROR(__xludf.DUMMYFUNCTION("IF(IF(Q$1="""","""",REGEXMATCH(LOWER($E589),XLOOKUP(Q$1,Metadata!$A$2:$A1000,Metadata!$B$2:$B1000))),Q$1,"""")"),"")</f>
        <v/>
      </c>
      <c r="R589" s="33" t="str">
        <f>IFERROR(__xludf.DUMMYFUNCTION("IF(IF(R$1="""","""",REGEXMATCH(LOWER($E589),XLOOKUP(R$1,Metadata!$A$2:$A1000,Metadata!$B$2:$B1000))),R$1,"""")"),"")</f>
        <v/>
      </c>
      <c r="S589" s="33" t="str">
        <f>IFERROR(__xludf.DUMMYFUNCTION("IF(IF(S$1="""","""",REGEXMATCH(LOWER($E589),XLOOKUP(S$1,Metadata!$A$2:$A1000,Metadata!$B$2:$B1000))),S$1,"""")"),"")</f>
        <v/>
      </c>
      <c r="T589" s="33" t="str">
        <f>IFERROR(__xludf.DUMMYFUNCTION("IF(IF(T$1="""","""",REGEXMATCH(LOWER($E589),XLOOKUP(T$1,Metadata!$A$2:$A1000,Metadata!$B$2:$B1000))),T$1,"""")"),"")</f>
        <v/>
      </c>
      <c r="U589" s="33" t="str">
        <f>IFERROR(__xludf.DUMMYFUNCTION("IF(IF(U$1="""","""",REGEXMATCH(LOWER($E589),XLOOKUP(U$1,Metadata!$A$2:$A1000,Metadata!$B$2:$B1000))),U$1,"""")"),"")</f>
        <v/>
      </c>
      <c r="V589" s="33" t="str">
        <f>IFERROR(__xludf.DUMMYFUNCTION("IF(IF(V$1="""","""",REGEXMATCH(LOWER($E589),XLOOKUP(V$1,Metadata!$A$2:$A1000,Metadata!$B$2:$B1000))),V$1,"""")"),"")</f>
        <v/>
      </c>
      <c r="W589" s="33" t="str">
        <f>IFERROR(__xludf.DUMMYFUNCTION("IF(IF(W$1="""","""",REGEXMATCH(LOWER($E589),XLOOKUP(W$1,Metadata!$A$2:$A1000,Metadata!$B$2:$B1000))),W$1,"""")"),"")</f>
        <v/>
      </c>
      <c r="X589" s="33" t="str">
        <f>IFERROR(__xludf.DUMMYFUNCTION("IF(IF(X$1="""","""",REGEXMATCH(LOWER($E589),XLOOKUP(X$1,Metadata!$A$2:$A1000,Metadata!$B$2:$B1000))),X$1,"""")"),"")</f>
        <v/>
      </c>
      <c r="Y589" s="33" t="str">
        <f>IFERROR(__xludf.DUMMYFUNCTION("IF(IF(Y$1="""","""",REGEXMATCH(LOWER($E589),XLOOKUP(Y$1,Metadata!$A$2:$A1000,Metadata!$B$2:$B1000))),Y$1,"""")"),"")</f>
        <v/>
      </c>
      <c r="Z589" s="33" t="str">
        <f>IFERROR(__xludf.DUMMYFUNCTION("IF(IF(Z$1="""","""",REGEXMATCH(LOWER($E589),XLOOKUP(Z$1,Metadata!$A$2:$A1000,Metadata!$B$2:$B1000))),Z$1,"""")"),"")</f>
        <v/>
      </c>
    </row>
    <row r="590">
      <c r="A590" s="33"/>
      <c r="B590" s="33"/>
      <c r="C590" s="33"/>
      <c r="D590" s="33"/>
      <c r="E590" s="33"/>
      <c r="F590" s="33"/>
      <c r="G590" s="33"/>
      <c r="H590" s="33"/>
      <c r="I590" s="33"/>
      <c r="J590" s="33"/>
      <c r="K590" s="33"/>
      <c r="L590" s="33" t="str">
        <f>IFERROR(__xludf.DUMMYFUNCTION("IF(IF(L$1="""","""",REGEXMATCH(LOWER($E590),XLOOKUP(L$1,Metadata!$A$2:$A1000,Metadata!$B$2:$B1000))),L$1,"""")"),"")</f>
        <v/>
      </c>
      <c r="M590" s="33" t="str">
        <f>IFERROR(__xludf.DUMMYFUNCTION("IF(IF(M$1="""","""",REGEXMATCH(LOWER($E590),XLOOKUP(M$1,Metadata!$A$2:$A1000,Metadata!$B$2:$B1000))),M$1,"""")"),"")</f>
        <v/>
      </c>
      <c r="N590" s="33" t="str">
        <f>IFERROR(__xludf.DUMMYFUNCTION("IF(IF(N$1="""","""",REGEXMATCH(LOWER($E590),XLOOKUP(N$1,Metadata!$A$2:$A1000,Metadata!$B$2:$B1000))),N$1,"""")"),"")</f>
        <v/>
      </c>
      <c r="O590" s="33" t="str">
        <f>IFERROR(__xludf.DUMMYFUNCTION("IF(IF(O$1="""","""",REGEXMATCH(LOWER($E590),XLOOKUP(O$1,Metadata!$A$2:$A1000,Metadata!$B$2:$B1000))),O$1,"""")"),"")</f>
        <v/>
      </c>
      <c r="P590" s="33" t="str">
        <f>IFERROR(__xludf.DUMMYFUNCTION("IF(IF(P$1="""","""",REGEXMATCH(LOWER($E590),XLOOKUP(P$1,Metadata!$A$2:$A1000,Metadata!$B$2:$B1000))),P$1,"""")"),"")</f>
        <v/>
      </c>
      <c r="Q590" s="33" t="str">
        <f>IFERROR(__xludf.DUMMYFUNCTION("IF(IF(Q$1="""","""",REGEXMATCH(LOWER($E590),XLOOKUP(Q$1,Metadata!$A$2:$A1000,Metadata!$B$2:$B1000))),Q$1,"""")"),"")</f>
        <v/>
      </c>
      <c r="R590" s="33" t="str">
        <f>IFERROR(__xludf.DUMMYFUNCTION("IF(IF(R$1="""","""",REGEXMATCH(LOWER($E590),XLOOKUP(R$1,Metadata!$A$2:$A1000,Metadata!$B$2:$B1000))),R$1,"""")"),"")</f>
        <v/>
      </c>
      <c r="S590" s="33" t="str">
        <f>IFERROR(__xludf.DUMMYFUNCTION("IF(IF(S$1="""","""",REGEXMATCH(LOWER($E590),XLOOKUP(S$1,Metadata!$A$2:$A1000,Metadata!$B$2:$B1000))),S$1,"""")"),"")</f>
        <v/>
      </c>
      <c r="T590" s="33" t="str">
        <f>IFERROR(__xludf.DUMMYFUNCTION("IF(IF(T$1="""","""",REGEXMATCH(LOWER($E590),XLOOKUP(T$1,Metadata!$A$2:$A1000,Metadata!$B$2:$B1000))),T$1,"""")"),"")</f>
        <v/>
      </c>
      <c r="U590" s="33" t="str">
        <f>IFERROR(__xludf.DUMMYFUNCTION("IF(IF(U$1="""","""",REGEXMATCH(LOWER($E590),XLOOKUP(U$1,Metadata!$A$2:$A1000,Metadata!$B$2:$B1000))),U$1,"""")"),"")</f>
        <v/>
      </c>
      <c r="V590" s="33" t="str">
        <f>IFERROR(__xludf.DUMMYFUNCTION("IF(IF(V$1="""","""",REGEXMATCH(LOWER($E590),XLOOKUP(V$1,Metadata!$A$2:$A1000,Metadata!$B$2:$B1000))),V$1,"""")"),"")</f>
        <v/>
      </c>
      <c r="W590" s="33" t="str">
        <f>IFERROR(__xludf.DUMMYFUNCTION("IF(IF(W$1="""","""",REGEXMATCH(LOWER($E590),XLOOKUP(W$1,Metadata!$A$2:$A1000,Metadata!$B$2:$B1000))),W$1,"""")"),"")</f>
        <v/>
      </c>
      <c r="X590" s="33" t="str">
        <f>IFERROR(__xludf.DUMMYFUNCTION("IF(IF(X$1="""","""",REGEXMATCH(LOWER($E590),XLOOKUP(X$1,Metadata!$A$2:$A1000,Metadata!$B$2:$B1000))),X$1,"""")"),"")</f>
        <v/>
      </c>
      <c r="Y590" s="33" t="str">
        <f>IFERROR(__xludf.DUMMYFUNCTION("IF(IF(Y$1="""","""",REGEXMATCH(LOWER($E590),XLOOKUP(Y$1,Metadata!$A$2:$A1000,Metadata!$B$2:$B1000))),Y$1,"""")"),"")</f>
        <v/>
      </c>
      <c r="Z590" s="33" t="str">
        <f>IFERROR(__xludf.DUMMYFUNCTION("IF(IF(Z$1="""","""",REGEXMATCH(LOWER($E590),XLOOKUP(Z$1,Metadata!$A$2:$A1000,Metadata!$B$2:$B1000))),Z$1,"""")"),"")</f>
        <v/>
      </c>
    </row>
    <row r="591">
      <c r="A591" s="33"/>
      <c r="B591" s="33"/>
      <c r="C591" s="33"/>
      <c r="D591" s="33"/>
      <c r="E591" s="33"/>
      <c r="F591" s="33"/>
      <c r="G591" s="33"/>
      <c r="H591" s="33"/>
      <c r="I591" s="33"/>
      <c r="J591" s="33"/>
      <c r="K591" s="33"/>
      <c r="L591" s="33" t="str">
        <f>IFERROR(__xludf.DUMMYFUNCTION("IF(IF(L$1="""","""",REGEXMATCH(LOWER($E591),XLOOKUP(L$1,Metadata!$A$2:$A1000,Metadata!$B$2:$B1000))),L$1,"""")"),"")</f>
        <v/>
      </c>
      <c r="M591" s="33" t="str">
        <f>IFERROR(__xludf.DUMMYFUNCTION("IF(IF(M$1="""","""",REGEXMATCH(LOWER($E591),XLOOKUP(M$1,Metadata!$A$2:$A1000,Metadata!$B$2:$B1000))),M$1,"""")"),"")</f>
        <v/>
      </c>
      <c r="N591" s="33" t="str">
        <f>IFERROR(__xludf.DUMMYFUNCTION("IF(IF(N$1="""","""",REGEXMATCH(LOWER($E591),XLOOKUP(N$1,Metadata!$A$2:$A1000,Metadata!$B$2:$B1000))),N$1,"""")"),"")</f>
        <v/>
      </c>
      <c r="O591" s="33" t="str">
        <f>IFERROR(__xludf.DUMMYFUNCTION("IF(IF(O$1="""","""",REGEXMATCH(LOWER($E591),XLOOKUP(O$1,Metadata!$A$2:$A1000,Metadata!$B$2:$B1000))),O$1,"""")"),"")</f>
        <v/>
      </c>
      <c r="P591" s="33" t="str">
        <f>IFERROR(__xludf.DUMMYFUNCTION("IF(IF(P$1="""","""",REGEXMATCH(LOWER($E591),XLOOKUP(P$1,Metadata!$A$2:$A1000,Metadata!$B$2:$B1000))),P$1,"""")"),"")</f>
        <v/>
      </c>
      <c r="Q591" s="33" t="str">
        <f>IFERROR(__xludf.DUMMYFUNCTION("IF(IF(Q$1="""","""",REGEXMATCH(LOWER($E591),XLOOKUP(Q$1,Metadata!$A$2:$A1000,Metadata!$B$2:$B1000))),Q$1,"""")"),"")</f>
        <v/>
      </c>
      <c r="R591" s="33" t="str">
        <f>IFERROR(__xludf.DUMMYFUNCTION("IF(IF(R$1="""","""",REGEXMATCH(LOWER($E591),XLOOKUP(R$1,Metadata!$A$2:$A1000,Metadata!$B$2:$B1000))),R$1,"""")"),"")</f>
        <v/>
      </c>
      <c r="S591" s="33" t="str">
        <f>IFERROR(__xludf.DUMMYFUNCTION("IF(IF(S$1="""","""",REGEXMATCH(LOWER($E591),XLOOKUP(S$1,Metadata!$A$2:$A1000,Metadata!$B$2:$B1000))),S$1,"""")"),"")</f>
        <v/>
      </c>
      <c r="T591" s="33" t="str">
        <f>IFERROR(__xludf.DUMMYFUNCTION("IF(IF(T$1="""","""",REGEXMATCH(LOWER($E591),XLOOKUP(T$1,Metadata!$A$2:$A1000,Metadata!$B$2:$B1000))),T$1,"""")"),"")</f>
        <v/>
      </c>
      <c r="U591" s="33" t="str">
        <f>IFERROR(__xludf.DUMMYFUNCTION("IF(IF(U$1="""","""",REGEXMATCH(LOWER($E591),XLOOKUP(U$1,Metadata!$A$2:$A1000,Metadata!$B$2:$B1000))),U$1,"""")"),"")</f>
        <v/>
      </c>
      <c r="V591" s="33" t="str">
        <f>IFERROR(__xludf.DUMMYFUNCTION("IF(IF(V$1="""","""",REGEXMATCH(LOWER($E591),XLOOKUP(V$1,Metadata!$A$2:$A1000,Metadata!$B$2:$B1000))),V$1,"""")"),"")</f>
        <v/>
      </c>
      <c r="W591" s="33" t="str">
        <f>IFERROR(__xludf.DUMMYFUNCTION("IF(IF(W$1="""","""",REGEXMATCH(LOWER($E591),XLOOKUP(W$1,Metadata!$A$2:$A1000,Metadata!$B$2:$B1000))),W$1,"""")"),"")</f>
        <v/>
      </c>
      <c r="X591" s="33" t="str">
        <f>IFERROR(__xludf.DUMMYFUNCTION("IF(IF(X$1="""","""",REGEXMATCH(LOWER($E591),XLOOKUP(X$1,Metadata!$A$2:$A1000,Metadata!$B$2:$B1000))),X$1,"""")"),"")</f>
        <v/>
      </c>
      <c r="Y591" s="33" t="str">
        <f>IFERROR(__xludf.DUMMYFUNCTION("IF(IF(Y$1="""","""",REGEXMATCH(LOWER($E591),XLOOKUP(Y$1,Metadata!$A$2:$A1000,Metadata!$B$2:$B1000))),Y$1,"""")"),"")</f>
        <v/>
      </c>
      <c r="Z591" s="33" t="str">
        <f>IFERROR(__xludf.DUMMYFUNCTION("IF(IF(Z$1="""","""",REGEXMATCH(LOWER($E591),XLOOKUP(Z$1,Metadata!$A$2:$A1000,Metadata!$B$2:$B1000))),Z$1,"""")"),"")</f>
        <v/>
      </c>
    </row>
    <row r="592">
      <c r="A592" s="33"/>
      <c r="B592" s="33"/>
      <c r="C592" s="33"/>
      <c r="D592" s="33"/>
      <c r="E592" s="33"/>
      <c r="F592" s="33"/>
      <c r="G592" s="33"/>
      <c r="H592" s="33"/>
      <c r="I592" s="33"/>
      <c r="J592" s="33"/>
      <c r="K592" s="33"/>
      <c r="L592" s="33" t="str">
        <f>IFERROR(__xludf.DUMMYFUNCTION("IF(IF(L$1="""","""",REGEXMATCH(LOWER($E592),XLOOKUP(L$1,Metadata!$A$2:$A1000,Metadata!$B$2:$B1000))),L$1,"""")"),"")</f>
        <v/>
      </c>
      <c r="M592" s="33" t="str">
        <f>IFERROR(__xludf.DUMMYFUNCTION("IF(IF(M$1="""","""",REGEXMATCH(LOWER($E592),XLOOKUP(M$1,Metadata!$A$2:$A1000,Metadata!$B$2:$B1000))),M$1,"""")"),"")</f>
        <v/>
      </c>
      <c r="N592" s="33" t="str">
        <f>IFERROR(__xludf.DUMMYFUNCTION("IF(IF(N$1="""","""",REGEXMATCH(LOWER($E592),XLOOKUP(N$1,Metadata!$A$2:$A1000,Metadata!$B$2:$B1000))),N$1,"""")"),"")</f>
        <v/>
      </c>
      <c r="O592" s="33" t="str">
        <f>IFERROR(__xludf.DUMMYFUNCTION("IF(IF(O$1="""","""",REGEXMATCH(LOWER($E592),XLOOKUP(O$1,Metadata!$A$2:$A1000,Metadata!$B$2:$B1000))),O$1,"""")"),"")</f>
        <v/>
      </c>
      <c r="P592" s="33" t="str">
        <f>IFERROR(__xludf.DUMMYFUNCTION("IF(IF(P$1="""","""",REGEXMATCH(LOWER($E592),XLOOKUP(P$1,Metadata!$A$2:$A1000,Metadata!$B$2:$B1000))),P$1,"""")"),"")</f>
        <v/>
      </c>
      <c r="Q592" s="33" t="str">
        <f>IFERROR(__xludf.DUMMYFUNCTION("IF(IF(Q$1="""","""",REGEXMATCH(LOWER($E592),XLOOKUP(Q$1,Metadata!$A$2:$A1000,Metadata!$B$2:$B1000))),Q$1,"""")"),"")</f>
        <v/>
      </c>
      <c r="R592" s="33" t="str">
        <f>IFERROR(__xludf.DUMMYFUNCTION("IF(IF(R$1="""","""",REGEXMATCH(LOWER($E592),XLOOKUP(R$1,Metadata!$A$2:$A1000,Metadata!$B$2:$B1000))),R$1,"""")"),"")</f>
        <v/>
      </c>
      <c r="S592" s="33" t="str">
        <f>IFERROR(__xludf.DUMMYFUNCTION("IF(IF(S$1="""","""",REGEXMATCH(LOWER($E592),XLOOKUP(S$1,Metadata!$A$2:$A1000,Metadata!$B$2:$B1000))),S$1,"""")"),"")</f>
        <v/>
      </c>
      <c r="T592" s="33" t="str">
        <f>IFERROR(__xludf.DUMMYFUNCTION("IF(IF(T$1="""","""",REGEXMATCH(LOWER($E592),XLOOKUP(T$1,Metadata!$A$2:$A1000,Metadata!$B$2:$B1000))),T$1,"""")"),"")</f>
        <v/>
      </c>
      <c r="U592" s="33" t="str">
        <f>IFERROR(__xludf.DUMMYFUNCTION("IF(IF(U$1="""","""",REGEXMATCH(LOWER($E592),XLOOKUP(U$1,Metadata!$A$2:$A1000,Metadata!$B$2:$B1000))),U$1,"""")"),"")</f>
        <v/>
      </c>
      <c r="V592" s="33" t="str">
        <f>IFERROR(__xludf.DUMMYFUNCTION("IF(IF(V$1="""","""",REGEXMATCH(LOWER($E592),XLOOKUP(V$1,Metadata!$A$2:$A1000,Metadata!$B$2:$B1000))),V$1,"""")"),"")</f>
        <v/>
      </c>
      <c r="W592" s="33" t="str">
        <f>IFERROR(__xludf.DUMMYFUNCTION("IF(IF(W$1="""","""",REGEXMATCH(LOWER($E592),XLOOKUP(W$1,Metadata!$A$2:$A1000,Metadata!$B$2:$B1000))),W$1,"""")"),"")</f>
        <v/>
      </c>
      <c r="X592" s="33" t="str">
        <f>IFERROR(__xludf.DUMMYFUNCTION("IF(IF(X$1="""","""",REGEXMATCH(LOWER($E592),XLOOKUP(X$1,Metadata!$A$2:$A1000,Metadata!$B$2:$B1000))),X$1,"""")"),"")</f>
        <v/>
      </c>
      <c r="Y592" s="33" t="str">
        <f>IFERROR(__xludf.DUMMYFUNCTION("IF(IF(Y$1="""","""",REGEXMATCH(LOWER($E592),XLOOKUP(Y$1,Metadata!$A$2:$A1000,Metadata!$B$2:$B1000))),Y$1,"""")"),"")</f>
        <v/>
      </c>
      <c r="Z592" s="33" t="str">
        <f>IFERROR(__xludf.DUMMYFUNCTION("IF(IF(Z$1="""","""",REGEXMATCH(LOWER($E592),XLOOKUP(Z$1,Metadata!$A$2:$A1000,Metadata!$B$2:$B1000))),Z$1,"""")"),"")</f>
        <v/>
      </c>
    </row>
    <row r="593">
      <c r="A593" s="33"/>
      <c r="B593" s="33"/>
      <c r="C593" s="33"/>
      <c r="D593" s="33"/>
      <c r="E593" s="33"/>
      <c r="F593" s="33"/>
      <c r="G593" s="33"/>
      <c r="H593" s="33"/>
      <c r="I593" s="33"/>
      <c r="J593" s="33"/>
      <c r="K593" s="33"/>
      <c r="L593" s="33" t="str">
        <f>IFERROR(__xludf.DUMMYFUNCTION("IF(IF(L$1="""","""",REGEXMATCH(LOWER($E593),XLOOKUP(L$1,Metadata!$A$2:$A1000,Metadata!$B$2:$B1000))),L$1,"""")"),"")</f>
        <v/>
      </c>
      <c r="M593" s="33" t="str">
        <f>IFERROR(__xludf.DUMMYFUNCTION("IF(IF(M$1="""","""",REGEXMATCH(LOWER($E593),XLOOKUP(M$1,Metadata!$A$2:$A1000,Metadata!$B$2:$B1000))),M$1,"""")"),"")</f>
        <v/>
      </c>
      <c r="N593" s="33" t="str">
        <f>IFERROR(__xludf.DUMMYFUNCTION("IF(IF(N$1="""","""",REGEXMATCH(LOWER($E593),XLOOKUP(N$1,Metadata!$A$2:$A1000,Metadata!$B$2:$B1000))),N$1,"""")"),"")</f>
        <v/>
      </c>
      <c r="O593" s="33" t="str">
        <f>IFERROR(__xludf.DUMMYFUNCTION("IF(IF(O$1="""","""",REGEXMATCH(LOWER($E593),XLOOKUP(O$1,Metadata!$A$2:$A1000,Metadata!$B$2:$B1000))),O$1,"""")"),"")</f>
        <v/>
      </c>
      <c r="P593" s="33" t="str">
        <f>IFERROR(__xludf.DUMMYFUNCTION("IF(IF(P$1="""","""",REGEXMATCH(LOWER($E593),XLOOKUP(P$1,Metadata!$A$2:$A1000,Metadata!$B$2:$B1000))),P$1,"""")"),"")</f>
        <v/>
      </c>
      <c r="Q593" s="33" t="str">
        <f>IFERROR(__xludf.DUMMYFUNCTION("IF(IF(Q$1="""","""",REGEXMATCH(LOWER($E593),XLOOKUP(Q$1,Metadata!$A$2:$A1000,Metadata!$B$2:$B1000))),Q$1,"""")"),"")</f>
        <v/>
      </c>
      <c r="R593" s="33" t="str">
        <f>IFERROR(__xludf.DUMMYFUNCTION("IF(IF(R$1="""","""",REGEXMATCH(LOWER($E593),XLOOKUP(R$1,Metadata!$A$2:$A1000,Metadata!$B$2:$B1000))),R$1,"""")"),"")</f>
        <v/>
      </c>
      <c r="S593" s="33" t="str">
        <f>IFERROR(__xludf.DUMMYFUNCTION("IF(IF(S$1="""","""",REGEXMATCH(LOWER($E593),XLOOKUP(S$1,Metadata!$A$2:$A1000,Metadata!$B$2:$B1000))),S$1,"""")"),"")</f>
        <v/>
      </c>
      <c r="T593" s="33" t="str">
        <f>IFERROR(__xludf.DUMMYFUNCTION("IF(IF(T$1="""","""",REGEXMATCH(LOWER($E593),XLOOKUP(T$1,Metadata!$A$2:$A1000,Metadata!$B$2:$B1000))),T$1,"""")"),"")</f>
        <v/>
      </c>
      <c r="U593" s="33" t="str">
        <f>IFERROR(__xludf.DUMMYFUNCTION("IF(IF(U$1="""","""",REGEXMATCH(LOWER($E593),XLOOKUP(U$1,Metadata!$A$2:$A1000,Metadata!$B$2:$B1000))),U$1,"""")"),"")</f>
        <v/>
      </c>
      <c r="V593" s="33" t="str">
        <f>IFERROR(__xludf.DUMMYFUNCTION("IF(IF(V$1="""","""",REGEXMATCH(LOWER($E593),XLOOKUP(V$1,Metadata!$A$2:$A1000,Metadata!$B$2:$B1000))),V$1,"""")"),"")</f>
        <v/>
      </c>
      <c r="W593" s="33" t="str">
        <f>IFERROR(__xludf.DUMMYFUNCTION("IF(IF(W$1="""","""",REGEXMATCH(LOWER($E593),XLOOKUP(W$1,Metadata!$A$2:$A1000,Metadata!$B$2:$B1000))),W$1,"""")"),"")</f>
        <v/>
      </c>
      <c r="X593" s="33" t="str">
        <f>IFERROR(__xludf.DUMMYFUNCTION("IF(IF(X$1="""","""",REGEXMATCH(LOWER($E593),XLOOKUP(X$1,Metadata!$A$2:$A1000,Metadata!$B$2:$B1000))),X$1,"""")"),"")</f>
        <v/>
      </c>
      <c r="Y593" s="33" t="str">
        <f>IFERROR(__xludf.DUMMYFUNCTION("IF(IF(Y$1="""","""",REGEXMATCH(LOWER($E593),XLOOKUP(Y$1,Metadata!$A$2:$A1000,Metadata!$B$2:$B1000))),Y$1,"""")"),"")</f>
        <v/>
      </c>
      <c r="Z593" s="33" t="str">
        <f>IFERROR(__xludf.DUMMYFUNCTION("IF(IF(Z$1="""","""",REGEXMATCH(LOWER($E593),XLOOKUP(Z$1,Metadata!$A$2:$A1000,Metadata!$B$2:$B1000))),Z$1,"""")"),"")</f>
        <v/>
      </c>
    </row>
    <row r="594">
      <c r="A594" s="33"/>
      <c r="B594" s="33"/>
      <c r="C594" s="33"/>
      <c r="D594" s="33"/>
      <c r="E594" s="33"/>
      <c r="F594" s="33"/>
      <c r="G594" s="33"/>
      <c r="H594" s="33"/>
      <c r="I594" s="33"/>
      <c r="J594" s="33"/>
      <c r="K594" s="33"/>
      <c r="L594" s="33" t="str">
        <f>IFERROR(__xludf.DUMMYFUNCTION("IF(IF(L$1="""","""",REGEXMATCH(LOWER($E594),XLOOKUP(L$1,Metadata!$A$2:$A1000,Metadata!$B$2:$B1000))),L$1,"""")"),"")</f>
        <v/>
      </c>
      <c r="M594" s="33" t="str">
        <f>IFERROR(__xludf.DUMMYFUNCTION("IF(IF(M$1="""","""",REGEXMATCH(LOWER($E594),XLOOKUP(M$1,Metadata!$A$2:$A1000,Metadata!$B$2:$B1000))),M$1,"""")"),"")</f>
        <v/>
      </c>
      <c r="N594" s="33" t="str">
        <f>IFERROR(__xludf.DUMMYFUNCTION("IF(IF(N$1="""","""",REGEXMATCH(LOWER($E594),XLOOKUP(N$1,Metadata!$A$2:$A1000,Metadata!$B$2:$B1000))),N$1,"""")"),"")</f>
        <v/>
      </c>
      <c r="O594" s="33" t="str">
        <f>IFERROR(__xludf.DUMMYFUNCTION("IF(IF(O$1="""","""",REGEXMATCH(LOWER($E594),XLOOKUP(O$1,Metadata!$A$2:$A1000,Metadata!$B$2:$B1000))),O$1,"""")"),"")</f>
        <v/>
      </c>
      <c r="P594" s="33" t="str">
        <f>IFERROR(__xludf.DUMMYFUNCTION("IF(IF(P$1="""","""",REGEXMATCH(LOWER($E594),XLOOKUP(P$1,Metadata!$A$2:$A1000,Metadata!$B$2:$B1000))),P$1,"""")"),"")</f>
        <v/>
      </c>
      <c r="Q594" s="33" t="str">
        <f>IFERROR(__xludf.DUMMYFUNCTION("IF(IF(Q$1="""","""",REGEXMATCH(LOWER($E594),XLOOKUP(Q$1,Metadata!$A$2:$A1000,Metadata!$B$2:$B1000))),Q$1,"""")"),"")</f>
        <v/>
      </c>
      <c r="R594" s="33" t="str">
        <f>IFERROR(__xludf.DUMMYFUNCTION("IF(IF(R$1="""","""",REGEXMATCH(LOWER($E594),XLOOKUP(R$1,Metadata!$A$2:$A1000,Metadata!$B$2:$B1000))),R$1,"""")"),"")</f>
        <v/>
      </c>
      <c r="S594" s="33" t="str">
        <f>IFERROR(__xludf.DUMMYFUNCTION("IF(IF(S$1="""","""",REGEXMATCH(LOWER($E594),XLOOKUP(S$1,Metadata!$A$2:$A1000,Metadata!$B$2:$B1000))),S$1,"""")"),"")</f>
        <v/>
      </c>
      <c r="T594" s="33" t="str">
        <f>IFERROR(__xludf.DUMMYFUNCTION("IF(IF(T$1="""","""",REGEXMATCH(LOWER($E594),XLOOKUP(T$1,Metadata!$A$2:$A1000,Metadata!$B$2:$B1000))),T$1,"""")"),"")</f>
        <v/>
      </c>
      <c r="U594" s="33" t="str">
        <f>IFERROR(__xludf.DUMMYFUNCTION("IF(IF(U$1="""","""",REGEXMATCH(LOWER($E594),XLOOKUP(U$1,Metadata!$A$2:$A1000,Metadata!$B$2:$B1000))),U$1,"""")"),"")</f>
        <v/>
      </c>
      <c r="V594" s="33" t="str">
        <f>IFERROR(__xludf.DUMMYFUNCTION("IF(IF(V$1="""","""",REGEXMATCH(LOWER($E594),XLOOKUP(V$1,Metadata!$A$2:$A1000,Metadata!$B$2:$B1000))),V$1,"""")"),"")</f>
        <v/>
      </c>
      <c r="W594" s="33" t="str">
        <f>IFERROR(__xludf.DUMMYFUNCTION("IF(IF(W$1="""","""",REGEXMATCH(LOWER($E594),XLOOKUP(W$1,Metadata!$A$2:$A1000,Metadata!$B$2:$B1000))),W$1,"""")"),"")</f>
        <v/>
      </c>
      <c r="X594" s="33" t="str">
        <f>IFERROR(__xludf.DUMMYFUNCTION("IF(IF(X$1="""","""",REGEXMATCH(LOWER($E594),XLOOKUP(X$1,Metadata!$A$2:$A1000,Metadata!$B$2:$B1000))),X$1,"""")"),"")</f>
        <v/>
      </c>
      <c r="Y594" s="33" t="str">
        <f>IFERROR(__xludf.DUMMYFUNCTION("IF(IF(Y$1="""","""",REGEXMATCH(LOWER($E594),XLOOKUP(Y$1,Metadata!$A$2:$A1000,Metadata!$B$2:$B1000))),Y$1,"""")"),"")</f>
        <v/>
      </c>
      <c r="Z594" s="33" t="str">
        <f>IFERROR(__xludf.DUMMYFUNCTION("IF(IF(Z$1="""","""",REGEXMATCH(LOWER($E594),XLOOKUP(Z$1,Metadata!$A$2:$A1000,Metadata!$B$2:$B1000))),Z$1,"""")"),"")</f>
        <v/>
      </c>
    </row>
    <row r="595">
      <c r="A595" s="33"/>
      <c r="B595" s="33"/>
      <c r="C595" s="33"/>
      <c r="D595" s="33"/>
      <c r="E595" s="33"/>
      <c r="F595" s="33"/>
      <c r="G595" s="33"/>
      <c r="H595" s="33"/>
      <c r="I595" s="33"/>
      <c r="J595" s="33"/>
      <c r="K595" s="33"/>
      <c r="L595" s="33" t="str">
        <f>IFERROR(__xludf.DUMMYFUNCTION("IF(IF(L$1="""","""",REGEXMATCH(LOWER($E595),XLOOKUP(L$1,Metadata!$A$2:$A1000,Metadata!$B$2:$B1000))),L$1,"""")"),"")</f>
        <v/>
      </c>
      <c r="M595" s="33" t="str">
        <f>IFERROR(__xludf.DUMMYFUNCTION("IF(IF(M$1="""","""",REGEXMATCH(LOWER($E595),XLOOKUP(M$1,Metadata!$A$2:$A1000,Metadata!$B$2:$B1000))),M$1,"""")"),"")</f>
        <v/>
      </c>
      <c r="N595" s="33" t="str">
        <f>IFERROR(__xludf.DUMMYFUNCTION("IF(IF(N$1="""","""",REGEXMATCH(LOWER($E595),XLOOKUP(N$1,Metadata!$A$2:$A1000,Metadata!$B$2:$B1000))),N$1,"""")"),"")</f>
        <v/>
      </c>
      <c r="O595" s="33" t="str">
        <f>IFERROR(__xludf.DUMMYFUNCTION("IF(IF(O$1="""","""",REGEXMATCH(LOWER($E595),XLOOKUP(O$1,Metadata!$A$2:$A1000,Metadata!$B$2:$B1000))),O$1,"""")"),"")</f>
        <v/>
      </c>
      <c r="P595" s="33" t="str">
        <f>IFERROR(__xludf.DUMMYFUNCTION("IF(IF(P$1="""","""",REGEXMATCH(LOWER($E595),XLOOKUP(P$1,Metadata!$A$2:$A1000,Metadata!$B$2:$B1000))),P$1,"""")"),"")</f>
        <v/>
      </c>
      <c r="Q595" s="33" t="str">
        <f>IFERROR(__xludf.DUMMYFUNCTION("IF(IF(Q$1="""","""",REGEXMATCH(LOWER($E595),XLOOKUP(Q$1,Metadata!$A$2:$A1000,Metadata!$B$2:$B1000))),Q$1,"""")"),"")</f>
        <v/>
      </c>
      <c r="R595" s="33" t="str">
        <f>IFERROR(__xludf.DUMMYFUNCTION("IF(IF(R$1="""","""",REGEXMATCH(LOWER($E595),XLOOKUP(R$1,Metadata!$A$2:$A1000,Metadata!$B$2:$B1000))),R$1,"""")"),"")</f>
        <v/>
      </c>
      <c r="S595" s="33" t="str">
        <f>IFERROR(__xludf.DUMMYFUNCTION("IF(IF(S$1="""","""",REGEXMATCH(LOWER($E595),XLOOKUP(S$1,Metadata!$A$2:$A1000,Metadata!$B$2:$B1000))),S$1,"""")"),"")</f>
        <v/>
      </c>
      <c r="T595" s="33" t="str">
        <f>IFERROR(__xludf.DUMMYFUNCTION("IF(IF(T$1="""","""",REGEXMATCH(LOWER($E595),XLOOKUP(T$1,Metadata!$A$2:$A1000,Metadata!$B$2:$B1000))),T$1,"""")"),"")</f>
        <v/>
      </c>
      <c r="U595" s="33" t="str">
        <f>IFERROR(__xludf.DUMMYFUNCTION("IF(IF(U$1="""","""",REGEXMATCH(LOWER($E595),XLOOKUP(U$1,Metadata!$A$2:$A1000,Metadata!$B$2:$B1000))),U$1,"""")"),"")</f>
        <v/>
      </c>
      <c r="V595" s="33" t="str">
        <f>IFERROR(__xludf.DUMMYFUNCTION("IF(IF(V$1="""","""",REGEXMATCH(LOWER($E595),XLOOKUP(V$1,Metadata!$A$2:$A1000,Metadata!$B$2:$B1000))),V$1,"""")"),"")</f>
        <v/>
      </c>
      <c r="W595" s="33" t="str">
        <f>IFERROR(__xludf.DUMMYFUNCTION("IF(IF(W$1="""","""",REGEXMATCH(LOWER($E595),XLOOKUP(W$1,Metadata!$A$2:$A1000,Metadata!$B$2:$B1000))),W$1,"""")"),"")</f>
        <v/>
      </c>
      <c r="X595" s="33" t="str">
        <f>IFERROR(__xludf.DUMMYFUNCTION("IF(IF(X$1="""","""",REGEXMATCH(LOWER($E595),XLOOKUP(X$1,Metadata!$A$2:$A1000,Metadata!$B$2:$B1000))),X$1,"""")"),"")</f>
        <v/>
      </c>
      <c r="Y595" s="33" t="str">
        <f>IFERROR(__xludf.DUMMYFUNCTION("IF(IF(Y$1="""","""",REGEXMATCH(LOWER($E595),XLOOKUP(Y$1,Metadata!$A$2:$A1000,Metadata!$B$2:$B1000))),Y$1,"""")"),"")</f>
        <v/>
      </c>
      <c r="Z595" s="33" t="str">
        <f>IFERROR(__xludf.DUMMYFUNCTION("IF(IF(Z$1="""","""",REGEXMATCH(LOWER($E595),XLOOKUP(Z$1,Metadata!$A$2:$A1000,Metadata!$B$2:$B1000))),Z$1,"""")"),"")</f>
        <v/>
      </c>
    </row>
    <row r="596">
      <c r="A596" s="33"/>
      <c r="B596" s="33"/>
      <c r="C596" s="33"/>
      <c r="D596" s="33"/>
      <c r="E596" s="33"/>
      <c r="F596" s="33"/>
      <c r="G596" s="33"/>
      <c r="H596" s="33"/>
      <c r="I596" s="33"/>
      <c r="J596" s="33"/>
      <c r="K596" s="33"/>
      <c r="L596" s="33" t="str">
        <f>IFERROR(__xludf.DUMMYFUNCTION("IF(IF(L$1="""","""",REGEXMATCH(LOWER($E596),XLOOKUP(L$1,Metadata!$A$2:$A1000,Metadata!$B$2:$B1000))),L$1,"""")"),"")</f>
        <v/>
      </c>
      <c r="M596" s="33" t="str">
        <f>IFERROR(__xludf.DUMMYFUNCTION("IF(IF(M$1="""","""",REGEXMATCH(LOWER($E596),XLOOKUP(M$1,Metadata!$A$2:$A1000,Metadata!$B$2:$B1000))),M$1,"""")"),"")</f>
        <v/>
      </c>
      <c r="N596" s="33" t="str">
        <f>IFERROR(__xludf.DUMMYFUNCTION("IF(IF(N$1="""","""",REGEXMATCH(LOWER($E596),XLOOKUP(N$1,Metadata!$A$2:$A1000,Metadata!$B$2:$B1000))),N$1,"""")"),"")</f>
        <v/>
      </c>
      <c r="O596" s="33" t="str">
        <f>IFERROR(__xludf.DUMMYFUNCTION("IF(IF(O$1="""","""",REGEXMATCH(LOWER($E596),XLOOKUP(O$1,Metadata!$A$2:$A1000,Metadata!$B$2:$B1000))),O$1,"""")"),"")</f>
        <v/>
      </c>
      <c r="P596" s="33" t="str">
        <f>IFERROR(__xludf.DUMMYFUNCTION("IF(IF(P$1="""","""",REGEXMATCH(LOWER($E596),XLOOKUP(P$1,Metadata!$A$2:$A1000,Metadata!$B$2:$B1000))),P$1,"""")"),"")</f>
        <v/>
      </c>
      <c r="Q596" s="33" t="str">
        <f>IFERROR(__xludf.DUMMYFUNCTION("IF(IF(Q$1="""","""",REGEXMATCH(LOWER($E596),XLOOKUP(Q$1,Metadata!$A$2:$A1000,Metadata!$B$2:$B1000))),Q$1,"""")"),"")</f>
        <v/>
      </c>
      <c r="R596" s="33" t="str">
        <f>IFERROR(__xludf.DUMMYFUNCTION("IF(IF(R$1="""","""",REGEXMATCH(LOWER($E596),XLOOKUP(R$1,Metadata!$A$2:$A1000,Metadata!$B$2:$B1000))),R$1,"""")"),"")</f>
        <v/>
      </c>
      <c r="S596" s="33" t="str">
        <f>IFERROR(__xludf.DUMMYFUNCTION("IF(IF(S$1="""","""",REGEXMATCH(LOWER($E596),XLOOKUP(S$1,Metadata!$A$2:$A1000,Metadata!$B$2:$B1000))),S$1,"""")"),"")</f>
        <v/>
      </c>
      <c r="T596" s="33" t="str">
        <f>IFERROR(__xludf.DUMMYFUNCTION("IF(IF(T$1="""","""",REGEXMATCH(LOWER($E596),XLOOKUP(T$1,Metadata!$A$2:$A1000,Metadata!$B$2:$B1000))),T$1,"""")"),"")</f>
        <v/>
      </c>
      <c r="U596" s="33" t="str">
        <f>IFERROR(__xludf.DUMMYFUNCTION("IF(IF(U$1="""","""",REGEXMATCH(LOWER($E596),XLOOKUP(U$1,Metadata!$A$2:$A1000,Metadata!$B$2:$B1000))),U$1,"""")"),"")</f>
        <v/>
      </c>
      <c r="V596" s="33" t="str">
        <f>IFERROR(__xludf.DUMMYFUNCTION("IF(IF(V$1="""","""",REGEXMATCH(LOWER($E596),XLOOKUP(V$1,Metadata!$A$2:$A1000,Metadata!$B$2:$B1000))),V$1,"""")"),"")</f>
        <v/>
      </c>
      <c r="W596" s="33" t="str">
        <f>IFERROR(__xludf.DUMMYFUNCTION("IF(IF(W$1="""","""",REGEXMATCH(LOWER($E596),XLOOKUP(W$1,Metadata!$A$2:$A1000,Metadata!$B$2:$B1000))),W$1,"""")"),"")</f>
        <v/>
      </c>
      <c r="X596" s="33" t="str">
        <f>IFERROR(__xludf.DUMMYFUNCTION("IF(IF(X$1="""","""",REGEXMATCH(LOWER($E596),XLOOKUP(X$1,Metadata!$A$2:$A1000,Metadata!$B$2:$B1000))),X$1,"""")"),"")</f>
        <v/>
      </c>
      <c r="Y596" s="33" t="str">
        <f>IFERROR(__xludf.DUMMYFUNCTION("IF(IF(Y$1="""","""",REGEXMATCH(LOWER($E596),XLOOKUP(Y$1,Metadata!$A$2:$A1000,Metadata!$B$2:$B1000))),Y$1,"""")"),"")</f>
        <v/>
      </c>
      <c r="Z596" s="33" t="str">
        <f>IFERROR(__xludf.DUMMYFUNCTION("IF(IF(Z$1="""","""",REGEXMATCH(LOWER($E596),XLOOKUP(Z$1,Metadata!$A$2:$A1000,Metadata!$B$2:$B1000))),Z$1,"""")"),"")</f>
        <v/>
      </c>
    </row>
    <row r="597">
      <c r="A597" s="33"/>
      <c r="B597" s="33"/>
      <c r="C597" s="33"/>
      <c r="D597" s="33"/>
      <c r="E597" s="33"/>
      <c r="F597" s="33"/>
      <c r="G597" s="33"/>
      <c r="H597" s="33"/>
      <c r="I597" s="33"/>
      <c r="J597" s="33"/>
      <c r="K597" s="33"/>
      <c r="L597" s="33" t="str">
        <f>IFERROR(__xludf.DUMMYFUNCTION("IF(IF(L$1="""","""",REGEXMATCH(LOWER($E597),XLOOKUP(L$1,Metadata!$A$2:$A1000,Metadata!$B$2:$B1000))),L$1,"""")"),"")</f>
        <v/>
      </c>
      <c r="M597" s="33" t="str">
        <f>IFERROR(__xludf.DUMMYFUNCTION("IF(IF(M$1="""","""",REGEXMATCH(LOWER($E597),XLOOKUP(M$1,Metadata!$A$2:$A1000,Metadata!$B$2:$B1000))),M$1,"""")"),"")</f>
        <v/>
      </c>
      <c r="N597" s="33" t="str">
        <f>IFERROR(__xludf.DUMMYFUNCTION("IF(IF(N$1="""","""",REGEXMATCH(LOWER($E597),XLOOKUP(N$1,Metadata!$A$2:$A1000,Metadata!$B$2:$B1000))),N$1,"""")"),"")</f>
        <v/>
      </c>
      <c r="O597" s="33" t="str">
        <f>IFERROR(__xludf.DUMMYFUNCTION("IF(IF(O$1="""","""",REGEXMATCH(LOWER($E597),XLOOKUP(O$1,Metadata!$A$2:$A1000,Metadata!$B$2:$B1000))),O$1,"""")"),"")</f>
        <v/>
      </c>
      <c r="P597" s="33" t="str">
        <f>IFERROR(__xludf.DUMMYFUNCTION("IF(IF(P$1="""","""",REGEXMATCH(LOWER($E597),XLOOKUP(P$1,Metadata!$A$2:$A1000,Metadata!$B$2:$B1000))),P$1,"""")"),"")</f>
        <v/>
      </c>
      <c r="Q597" s="33" t="str">
        <f>IFERROR(__xludf.DUMMYFUNCTION("IF(IF(Q$1="""","""",REGEXMATCH(LOWER($E597),XLOOKUP(Q$1,Metadata!$A$2:$A1000,Metadata!$B$2:$B1000))),Q$1,"""")"),"")</f>
        <v/>
      </c>
      <c r="R597" s="33" t="str">
        <f>IFERROR(__xludf.DUMMYFUNCTION("IF(IF(R$1="""","""",REGEXMATCH(LOWER($E597),XLOOKUP(R$1,Metadata!$A$2:$A1000,Metadata!$B$2:$B1000))),R$1,"""")"),"")</f>
        <v/>
      </c>
      <c r="S597" s="33" t="str">
        <f>IFERROR(__xludf.DUMMYFUNCTION("IF(IF(S$1="""","""",REGEXMATCH(LOWER($E597),XLOOKUP(S$1,Metadata!$A$2:$A1000,Metadata!$B$2:$B1000))),S$1,"""")"),"")</f>
        <v/>
      </c>
      <c r="T597" s="33" t="str">
        <f>IFERROR(__xludf.DUMMYFUNCTION("IF(IF(T$1="""","""",REGEXMATCH(LOWER($E597),XLOOKUP(T$1,Metadata!$A$2:$A1000,Metadata!$B$2:$B1000))),T$1,"""")"),"")</f>
        <v/>
      </c>
      <c r="U597" s="33" t="str">
        <f>IFERROR(__xludf.DUMMYFUNCTION("IF(IF(U$1="""","""",REGEXMATCH(LOWER($E597),XLOOKUP(U$1,Metadata!$A$2:$A1000,Metadata!$B$2:$B1000))),U$1,"""")"),"")</f>
        <v/>
      </c>
      <c r="V597" s="33" t="str">
        <f>IFERROR(__xludf.DUMMYFUNCTION("IF(IF(V$1="""","""",REGEXMATCH(LOWER($E597),XLOOKUP(V$1,Metadata!$A$2:$A1000,Metadata!$B$2:$B1000))),V$1,"""")"),"")</f>
        <v/>
      </c>
      <c r="W597" s="33" t="str">
        <f>IFERROR(__xludf.DUMMYFUNCTION("IF(IF(W$1="""","""",REGEXMATCH(LOWER($E597),XLOOKUP(W$1,Metadata!$A$2:$A1000,Metadata!$B$2:$B1000))),W$1,"""")"),"")</f>
        <v/>
      </c>
      <c r="X597" s="33" t="str">
        <f>IFERROR(__xludf.DUMMYFUNCTION("IF(IF(X$1="""","""",REGEXMATCH(LOWER($E597),XLOOKUP(X$1,Metadata!$A$2:$A1000,Metadata!$B$2:$B1000))),X$1,"""")"),"")</f>
        <v/>
      </c>
      <c r="Y597" s="33" t="str">
        <f>IFERROR(__xludf.DUMMYFUNCTION("IF(IF(Y$1="""","""",REGEXMATCH(LOWER($E597),XLOOKUP(Y$1,Metadata!$A$2:$A1000,Metadata!$B$2:$B1000))),Y$1,"""")"),"")</f>
        <v/>
      </c>
      <c r="Z597" s="33" t="str">
        <f>IFERROR(__xludf.DUMMYFUNCTION("IF(IF(Z$1="""","""",REGEXMATCH(LOWER($E597),XLOOKUP(Z$1,Metadata!$A$2:$A1000,Metadata!$B$2:$B1000))),Z$1,"""")"),"")</f>
        <v/>
      </c>
    </row>
    <row r="598">
      <c r="A598" s="33"/>
      <c r="B598" s="33"/>
      <c r="C598" s="33"/>
      <c r="D598" s="33"/>
      <c r="E598" s="33"/>
      <c r="F598" s="33"/>
      <c r="G598" s="33"/>
      <c r="H598" s="33"/>
      <c r="I598" s="33"/>
      <c r="J598" s="33"/>
      <c r="K598" s="33"/>
      <c r="L598" s="33" t="str">
        <f>IFERROR(__xludf.DUMMYFUNCTION("IF(IF(L$1="""","""",REGEXMATCH(LOWER($E598),XLOOKUP(L$1,Metadata!$A$2:$A1000,Metadata!$B$2:$B1000))),L$1,"""")"),"")</f>
        <v/>
      </c>
      <c r="M598" s="33" t="str">
        <f>IFERROR(__xludf.DUMMYFUNCTION("IF(IF(M$1="""","""",REGEXMATCH(LOWER($E598),XLOOKUP(M$1,Metadata!$A$2:$A1000,Metadata!$B$2:$B1000))),M$1,"""")"),"")</f>
        <v/>
      </c>
      <c r="N598" s="33" t="str">
        <f>IFERROR(__xludf.DUMMYFUNCTION("IF(IF(N$1="""","""",REGEXMATCH(LOWER($E598),XLOOKUP(N$1,Metadata!$A$2:$A1000,Metadata!$B$2:$B1000))),N$1,"""")"),"")</f>
        <v/>
      </c>
      <c r="O598" s="33" t="str">
        <f>IFERROR(__xludf.DUMMYFUNCTION("IF(IF(O$1="""","""",REGEXMATCH(LOWER($E598),XLOOKUP(O$1,Metadata!$A$2:$A1000,Metadata!$B$2:$B1000))),O$1,"""")"),"")</f>
        <v/>
      </c>
      <c r="P598" s="33" t="str">
        <f>IFERROR(__xludf.DUMMYFUNCTION("IF(IF(P$1="""","""",REGEXMATCH(LOWER($E598),XLOOKUP(P$1,Metadata!$A$2:$A1000,Metadata!$B$2:$B1000))),P$1,"""")"),"")</f>
        <v/>
      </c>
      <c r="Q598" s="33" t="str">
        <f>IFERROR(__xludf.DUMMYFUNCTION("IF(IF(Q$1="""","""",REGEXMATCH(LOWER($E598),XLOOKUP(Q$1,Metadata!$A$2:$A1000,Metadata!$B$2:$B1000))),Q$1,"""")"),"")</f>
        <v/>
      </c>
      <c r="R598" s="33" t="str">
        <f>IFERROR(__xludf.DUMMYFUNCTION("IF(IF(R$1="""","""",REGEXMATCH(LOWER($E598),XLOOKUP(R$1,Metadata!$A$2:$A1000,Metadata!$B$2:$B1000))),R$1,"""")"),"")</f>
        <v/>
      </c>
      <c r="S598" s="33" t="str">
        <f>IFERROR(__xludf.DUMMYFUNCTION("IF(IF(S$1="""","""",REGEXMATCH(LOWER($E598),XLOOKUP(S$1,Metadata!$A$2:$A1000,Metadata!$B$2:$B1000))),S$1,"""")"),"")</f>
        <v/>
      </c>
      <c r="T598" s="33" t="str">
        <f>IFERROR(__xludf.DUMMYFUNCTION("IF(IF(T$1="""","""",REGEXMATCH(LOWER($E598),XLOOKUP(T$1,Metadata!$A$2:$A1000,Metadata!$B$2:$B1000))),T$1,"""")"),"")</f>
        <v/>
      </c>
      <c r="U598" s="33" t="str">
        <f>IFERROR(__xludf.DUMMYFUNCTION("IF(IF(U$1="""","""",REGEXMATCH(LOWER($E598),XLOOKUP(U$1,Metadata!$A$2:$A1000,Metadata!$B$2:$B1000))),U$1,"""")"),"")</f>
        <v/>
      </c>
      <c r="V598" s="33" t="str">
        <f>IFERROR(__xludf.DUMMYFUNCTION("IF(IF(V$1="""","""",REGEXMATCH(LOWER($E598),XLOOKUP(V$1,Metadata!$A$2:$A1000,Metadata!$B$2:$B1000))),V$1,"""")"),"")</f>
        <v/>
      </c>
      <c r="W598" s="33" t="str">
        <f>IFERROR(__xludf.DUMMYFUNCTION("IF(IF(W$1="""","""",REGEXMATCH(LOWER($E598),XLOOKUP(W$1,Metadata!$A$2:$A1000,Metadata!$B$2:$B1000))),W$1,"""")"),"")</f>
        <v/>
      </c>
      <c r="X598" s="33" t="str">
        <f>IFERROR(__xludf.DUMMYFUNCTION("IF(IF(X$1="""","""",REGEXMATCH(LOWER($E598),XLOOKUP(X$1,Metadata!$A$2:$A1000,Metadata!$B$2:$B1000))),X$1,"""")"),"")</f>
        <v/>
      </c>
      <c r="Y598" s="33" t="str">
        <f>IFERROR(__xludf.DUMMYFUNCTION("IF(IF(Y$1="""","""",REGEXMATCH(LOWER($E598),XLOOKUP(Y$1,Metadata!$A$2:$A1000,Metadata!$B$2:$B1000))),Y$1,"""")"),"")</f>
        <v/>
      </c>
      <c r="Z598" s="33" t="str">
        <f>IFERROR(__xludf.DUMMYFUNCTION("IF(IF(Z$1="""","""",REGEXMATCH(LOWER($E598),XLOOKUP(Z$1,Metadata!$A$2:$A1000,Metadata!$B$2:$B1000))),Z$1,"""")"),"")</f>
        <v/>
      </c>
    </row>
    <row r="599">
      <c r="A599" s="33"/>
      <c r="B599" s="33"/>
      <c r="C599" s="33"/>
      <c r="D599" s="33"/>
      <c r="E599" s="33"/>
      <c r="F599" s="33"/>
      <c r="G599" s="33"/>
      <c r="H599" s="33"/>
      <c r="I599" s="33"/>
      <c r="J599" s="33"/>
      <c r="K599" s="33"/>
      <c r="L599" s="33" t="str">
        <f>IFERROR(__xludf.DUMMYFUNCTION("IF(IF(L$1="""","""",REGEXMATCH(LOWER($E599),XLOOKUP(L$1,Metadata!$A$2:$A1000,Metadata!$B$2:$B1000))),L$1,"""")"),"")</f>
        <v/>
      </c>
      <c r="M599" s="33" t="str">
        <f>IFERROR(__xludf.DUMMYFUNCTION("IF(IF(M$1="""","""",REGEXMATCH(LOWER($E599),XLOOKUP(M$1,Metadata!$A$2:$A1000,Metadata!$B$2:$B1000))),M$1,"""")"),"")</f>
        <v/>
      </c>
      <c r="N599" s="33" t="str">
        <f>IFERROR(__xludf.DUMMYFUNCTION("IF(IF(N$1="""","""",REGEXMATCH(LOWER($E599),XLOOKUP(N$1,Metadata!$A$2:$A1000,Metadata!$B$2:$B1000))),N$1,"""")"),"")</f>
        <v/>
      </c>
      <c r="O599" s="33" t="str">
        <f>IFERROR(__xludf.DUMMYFUNCTION("IF(IF(O$1="""","""",REGEXMATCH(LOWER($E599),XLOOKUP(O$1,Metadata!$A$2:$A1000,Metadata!$B$2:$B1000))),O$1,"""")"),"")</f>
        <v/>
      </c>
      <c r="P599" s="33" t="str">
        <f>IFERROR(__xludf.DUMMYFUNCTION("IF(IF(P$1="""","""",REGEXMATCH(LOWER($E599),XLOOKUP(P$1,Metadata!$A$2:$A1000,Metadata!$B$2:$B1000))),P$1,"""")"),"")</f>
        <v/>
      </c>
      <c r="Q599" s="33" t="str">
        <f>IFERROR(__xludf.DUMMYFUNCTION("IF(IF(Q$1="""","""",REGEXMATCH(LOWER($E599),XLOOKUP(Q$1,Metadata!$A$2:$A1000,Metadata!$B$2:$B1000))),Q$1,"""")"),"")</f>
        <v/>
      </c>
      <c r="R599" s="33" t="str">
        <f>IFERROR(__xludf.DUMMYFUNCTION("IF(IF(R$1="""","""",REGEXMATCH(LOWER($E599),XLOOKUP(R$1,Metadata!$A$2:$A1000,Metadata!$B$2:$B1000))),R$1,"""")"),"")</f>
        <v/>
      </c>
      <c r="S599" s="33" t="str">
        <f>IFERROR(__xludf.DUMMYFUNCTION("IF(IF(S$1="""","""",REGEXMATCH(LOWER($E599),XLOOKUP(S$1,Metadata!$A$2:$A1000,Metadata!$B$2:$B1000))),S$1,"""")"),"")</f>
        <v/>
      </c>
      <c r="T599" s="33" t="str">
        <f>IFERROR(__xludf.DUMMYFUNCTION("IF(IF(T$1="""","""",REGEXMATCH(LOWER($E599),XLOOKUP(T$1,Metadata!$A$2:$A1000,Metadata!$B$2:$B1000))),T$1,"""")"),"")</f>
        <v/>
      </c>
      <c r="U599" s="33" t="str">
        <f>IFERROR(__xludf.DUMMYFUNCTION("IF(IF(U$1="""","""",REGEXMATCH(LOWER($E599),XLOOKUP(U$1,Metadata!$A$2:$A1000,Metadata!$B$2:$B1000))),U$1,"""")"),"")</f>
        <v/>
      </c>
      <c r="V599" s="33" t="str">
        <f>IFERROR(__xludf.DUMMYFUNCTION("IF(IF(V$1="""","""",REGEXMATCH(LOWER($E599),XLOOKUP(V$1,Metadata!$A$2:$A1000,Metadata!$B$2:$B1000))),V$1,"""")"),"")</f>
        <v/>
      </c>
      <c r="W599" s="33" t="str">
        <f>IFERROR(__xludf.DUMMYFUNCTION("IF(IF(W$1="""","""",REGEXMATCH(LOWER($E599),XLOOKUP(W$1,Metadata!$A$2:$A1000,Metadata!$B$2:$B1000))),W$1,"""")"),"")</f>
        <v/>
      </c>
      <c r="X599" s="33" t="str">
        <f>IFERROR(__xludf.DUMMYFUNCTION("IF(IF(X$1="""","""",REGEXMATCH(LOWER($E599),XLOOKUP(X$1,Metadata!$A$2:$A1000,Metadata!$B$2:$B1000))),X$1,"""")"),"")</f>
        <v/>
      </c>
      <c r="Y599" s="33" t="str">
        <f>IFERROR(__xludf.DUMMYFUNCTION("IF(IF(Y$1="""","""",REGEXMATCH(LOWER($E599),XLOOKUP(Y$1,Metadata!$A$2:$A1000,Metadata!$B$2:$B1000))),Y$1,"""")"),"")</f>
        <v/>
      </c>
      <c r="Z599" s="33" t="str">
        <f>IFERROR(__xludf.DUMMYFUNCTION("IF(IF(Z$1="""","""",REGEXMATCH(LOWER($E599),XLOOKUP(Z$1,Metadata!$A$2:$A1000,Metadata!$B$2:$B1000))),Z$1,"""")"),"")</f>
        <v/>
      </c>
    </row>
    <row r="600">
      <c r="A600" s="33"/>
      <c r="B600" s="33"/>
      <c r="C600" s="33"/>
      <c r="D600" s="33"/>
      <c r="E600" s="33"/>
      <c r="F600" s="33"/>
      <c r="G600" s="33"/>
      <c r="H600" s="33"/>
      <c r="I600" s="33"/>
      <c r="J600" s="33"/>
      <c r="K600" s="33"/>
      <c r="L600" s="33" t="str">
        <f>IFERROR(__xludf.DUMMYFUNCTION("IF(IF(L$1="""","""",REGEXMATCH(LOWER($E600),XLOOKUP(L$1,Metadata!$A$2:$A1000,Metadata!$B$2:$B1000))),L$1,"""")"),"")</f>
        <v/>
      </c>
      <c r="M600" s="33" t="str">
        <f>IFERROR(__xludf.DUMMYFUNCTION("IF(IF(M$1="""","""",REGEXMATCH(LOWER($E600),XLOOKUP(M$1,Metadata!$A$2:$A1000,Metadata!$B$2:$B1000))),M$1,"""")"),"")</f>
        <v/>
      </c>
      <c r="N600" s="33" t="str">
        <f>IFERROR(__xludf.DUMMYFUNCTION("IF(IF(N$1="""","""",REGEXMATCH(LOWER($E600),XLOOKUP(N$1,Metadata!$A$2:$A1000,Metadata!$B$2:$B1000))),N$1,"""")"),"")</f>
        <v/>
      </c>
      <c r="O600" s="33" t="str">
        <f>IFERROR(__xludf.DUMMYFUNCTION("IF(IF(O$1="""","""",REGEXMATCH(LOWER($E600),XLOOKUP(O$1,Metadata!$A$2:$A1000,Metadata!$B$2:$B1000))),O$1,"""")"),"")</f>
        <v/>
      </c>
      <c r="P600" s="33" t="str">
        <f>IFERROR(__xludf.DUMMYFUNCTION("IF(IF(P$1="""","""",REGEXMATCH(LOWER($E600),XLOOKUP(P$1,Metadata!$A$2:$A1000,Metadata!$B$2:$B1000))),P$1,"""")"),"")</f>
        <v/>
      </c>
      <c r="Q600" s="33" t="str">
        <f>IFERROR(__xludf.DUMMYFUNCTION("IF(IF(Q$1="""","""",REGEXMATCH(LOWER($E600),XLOOKUP(Q$1,Metadata!$A$2:$A1000,Metadata!$B$2:$B1000))),Q$1,"""")"),"")</f>
        <v/>
      </c>
      <c r="R600" s="33" t="str">
        <f>IFERROR(__xludf.DUMMYFUNCTION("IF(IF(R$1="""","""",REGEXMATCH(LOWER($E600),XLOOKUP(R$1,Metadata!$A$2:$A1000,Metadata!$B$2:$B1000))),R$1,"""")"),"")</f>
        <v/>
      </c>
      <c r="S600" s="33" t="str">
        <f>IFERROR(__xludf.DUMMYFUNCTION("IF(IF(S$1="""","""",REGEXMATCH(LOWER($E600),XLOOKUP(S$1,Metadata!$A$2:$A1000,Metadata!$B$2:$B1000))),S$1,"""")"),"")</f>
        <v/>
      </c>
      <c r="T600" s="33" t="str">
        <f>IFERROR(__xludf.DUMMYFUNCTION("IF(IF(T$1="""","""",REGEXMATCH(LOWER($E600),XLOOKUP(T$1,Metadata!$A$2:$A1000,Metadata!$B$2:$B1000))),T$1,"""")"),"")</f>
        <v/>
      </c>
      <c r="U600" s="33" t="str">
        <f>IFERROR(__xludf.DUMMYFUNCTION("IF(IF(U$1="""","""",REGEXMATCH(LOWER($E600),XLOOKUP(U$1,Metadata!$A$2:$A1000,Metadata!$B$2:$B1000))),U$1,"""")"),"")</f>
        <v/>
      </c>
      <c r="V600" s="33" t="str">
        <f>IFERROR(__xludf.DUMMYFUNCTION("IF(IF(V$1="""","""",REGEXMATCH(LOWER($E600),XLOOKUP(V$1,Metadata!$A$2:$A1000,Metadata!$B$2:$B1000))),V$1,"""")"),"")</f>
        <v/>
      </c>
      <c r="W600" s="33" t="str">
        <f>IFERROR(__xludf.DUMMYFUNCTION("IF(IF(W$1="""","""",REGEXMATCH(LOWER($E600),XLOOKUP(W$1,Metadata!$A$2:$A1000,Metadata!$B$2:$B1000))),W$1,"""")"),"")</f>
        <v/>
      </c>
      <c r="X600" s="33" t="str">
        <f>IFERROR(__xludf.DUMMYFUNCTION("IF(IF(X$1="""","""",REGEXMATCH(LOWER($E600),XLOOKUP(X$1,Metadata!$A$2:$A1000,Metadata!$B$2:$B1000))),X$1,"""")"),"")</f>
        <v/>
      </c>
      <c r="Y600" s="33" t="str">
        <f>IFERROR(__xludf.DUMMYFUNCTION("IF(IF(Y$1="""","""",REGEXMATCH(LOWER($E600),XLOOKUP(Y$1,Metadata!$A$2:$A1000,Metadata!$B$2:$B1000))),Y$1,"""")"),"")</f>
        <v/>
      </c>
      <c r="Z600" s="33" t="str">
        <f>IFERROR(__xludf.DUMMYFUNCTION("IF(IF(Z$1="""","""",REGEXMATCH(LOWER($E600),XLOOKUP(Z$1,Metadata!$A$2:$A1000,Metadata!$B$2:$B1000))),Z$1,"""")"),"")</f>
        <v/>
      </c>
    </row>
    <row r="601">
      <c r="A601" s="33"/>
      <c r="B601" s="33"/>
      <c r="C601" s="33"/>
      <c r="D601" s="33"/>
      <c r="E601" s="33"/>
      <c r="F601" s="33"/>
      <c r="G601" s="33"/>
      <c r="H601" s="33"/>
      <c r="I601" s="33"/>
      <c r="J601" s="33"/>
      <c r="K601" s="33"/>
      <c r="L601" s="33" t="str">
        <f>IFERROR(__xludf.DUMMYFUNCTION("IF(IF(L$1="""","""",REGEXMATCH(LOWER($E601),XLOOKUP(L$1,Metadata!$A$2:$A1000,Metadata!$B$2:$B1000))),L$1,"""")"),"")</f>
        <v/>
      </c>
      <c r="M601" s="33" t="str">
        <f>IFERROR(__xludf.DUMMYFUNCTION("IF(IF(M$1="""","""",REGEXMATCH(LOWER($E601),XLOOKUP(M$1,Metadata!$A$2:$A1000,Metadata!$B$2:$B1000))),M$1,"""")"),"")</f>
        <v/>
      </c>
      <c r="N601" s="33" t="str">
        <f>IFERROR(__xludf.DUMMYFUNCTION("IF(IF(N$1="""","""",REGEXMATCH(LOWER($E601),XLOOKUP(N$1,Metadata!$A$2:$A1000,Metadata!$B$2:$B1000))),N$1,"""")"),"")</f>
        <v/>
      </c>
      <c r="O601" s="33" t="str">
        <f>IFERROR(__xludf.DUMMYFUNCTION("IF(IF(O$1="""","""",REGEXMATCH(LOWER($E601),XLOOKUP(O$1,Metadata!$A$2:$A1000,Metadata!$B$2:$B1000))),O$1,"""")"),"")</f>
        <v/>
      </c>
      <c r="P601" s="33" t="str">
        <f>IFERROR(__xludf.DUMMYFUNCTION("IF(IF(P$1="""","""",REGEXMATCH(LOWER($E601),XLOOKUP(P$1,Metadata!$A$2:$A1000,Metadata!$B$2:$B1000))),P$1,"""")"),"")</f>
        <v/>
      </c>
      <c r="Q601" s="33" t="str">
        <f>IFERROR(__xludf.DUMMYFUNCTION("IF(IF(Q$1="""","""",REGEXMATCH(LOWER($E601),XLOOKUP(Q$1,Metadata!$A$2:$A1000,Metadata!$B$2:$B1000))),Q$1,"""")"),"")</f>
        <v/>
      </c>
      <c r="R601" s="33" t="str">
        <f>IFERROR(__xludf.DUMMYFUNCTION("IF(IF(R$1="""","""",REGEXMATCH(LOWER($E601),XLOOKUP(R$1,Metadata!$A$2:$A1000,Metadata!$B$2:$B1000))),R$1,"""")"),"")</f>
        <v/>
      </c>
      <c r="S601" s="33" t="str">
        <f>IFERROR(__xludf.DUMMYFUNCTION("IF(IF(S$1="""","""",REGEXMATCH(LOWER($E601),XLOOKUP(S$1,Metadata!$A$2:$A1000,Metadata!$B$2:$B1000))),S$1,"""")"),"")</f>
        <v/>
      </c>
      <c r="T601" s="33" t="str">
        <f>IFERROR(__xludf.DUMMYFUNCTION("IF(IF(T$1="""","""",REGEXMATCH(LOWER($E601),XLOOKUP(T$1,Metadata!$A$2:$A1000,Metadata!$B$2:$B1000))),T$1,"""")"),"")</f>
        <v/>
      </c>
      <c r="U601" s="33" t="str">
        <f>IFERROR(__xludf.DUMMYFUNCTION("IF(IF(U$1="""","""",REGEXMATCH(LOWER($E601),XLOOKUP(U$1,Metadata!$A$2:$A1000,Metadata!$B$2:$B1000))),U$1,"""")"),"")</f>
        <v/>
      </c>
      <c r="V601" s="33" t="str">
        <f>IFERROR(__xludf.DUMMYFUNCTION("IF(IF(V$1="""","""",REGEXMATCH(LOWER($E601),XLOOKUP(V$1,Metadata!$A$2:$A1000,Metadata!$B$2:$B1000))),V$1,"""")"),"")</f>
        <v/>
      </c>
      <c r="W601" s="33" t="str">
        <f>IFERROR(__xludf.DUMMYFUNCTION("IF(IF(W$1="""","""",REGEXMATCH(LOWER($E601),XLOOKUP(W$1,Metadata!$A$2:$A1000,Metadata!$B$2:$B1000))),W$1,"""")"),"")</f>
        <v/>
      </c>
      <c r="X601" s="33" t="str">
        <f>IFERROR(__xludf.DUMMYFUNCTION("IF(IF(X$1="""","""",REGEXMATCH(LOWER($E601),XLOOKUP(X$1,Metadata!$A$2:$A1000,Metadata!$B$2:$B1000))),X$1,"""")"),"")</f>
        <v/>
      </c>
      <c r="Y601" s="33" t="str">
        <f>IFERROR(__xludf.DUMMYFUNCTION("IF(IF(Y$1="""","""",REGEXMATCH(LOWER($E601),XLOOKUP(Y$1,Metadata!$A$2:$A1000,Metadata!$B$2:$B1000))),Y$1,"""")"),"")</f>
        <v/>
      </c>
      <c r="Z601" s="33" t="str">
        <f>IFERROR(__xludf.DUMMYFUNCTION("IF(IF(Z$1="""","""",REGEXMATCH(LOWER($E601),XLOOKUP(Z$1,Metadata!$A$2:$A1000,Metadata!$B$2:$B1000))),Z$1,"""")"),"")</f>
        <v/>
      </c>
    </row>
    <row r="602">
      <c r="A602" s="33"/>
      <c r="B602" s="33"/>
      <c r="C602" s="33"/>
      <c r="D602" s="33"/>
      <c r="E602" s="33"/>
      <c r="F602" s="33"/>
      <c r="G602" s="33"/>
      <c r="H602" s="33"/>
      <c r="I602" s="33"/>
      <c r="J602" s="33"/>
      <c r="K602" s="33"/>
      <c r="L602" s="33" t="str">
        <f>IFERROR(__xludf.DUMMYFUNCTION("IF(IF(L$1="""","""",REGEXMATCH(LOWER($E602),XLOOKUP(L$1,Metadata!$A$2:$A1000,Metadata!$B$2:$B1000))),L$1,"""")"),"")</f>
        <v/>
      </c>
      <c r="M602" s="33" t="str">
        <f>IFERROR(__xludf.DUMMYFUNCTION("IF(IF(M$1="""","""",REGEXMATCH(LOWER($E602),XLOOKUP(M$1,Metadata!$A$2:$A1000,Metadata!$B$2:$B1000))),M$1,"""")"),"")</f>
        <v/>
      </c>
      <c r="N602" s="33" t="str">
        <f>IFERROR(__xludf.DUMMYFUNCTION("IF(IF(N$1="""","""",REGEXMATCH(LOWER($E602),XLOOKUP(N$1,Metadata!$A$2:$A1000,Metadata!$B$2:$B1000))),N$1,"""")"),"")</f>
        <v/>
      </c>
      <c r="O602" s="33" t="str">
        <f>IFERROR(__xludf.DUMMYFUNCTION("IF(IF(O$1="""","""",REGEXMATCH(LOWER($E602),XLOOKUP(O$1,Metadata!$A$2:$A1000,Metadata!$B$2:$B1000))),O$1,"""")"),"")</f>
        <v/>
      </c>
      <c r="P602" s="33" t="str">
        <f>IFERROR(__xludf.DUMMYFUNCTION("IF(IF(P$1="""","""",REGEXMATCH(LOWER($E602),XLOOKUP(P$1,Metadata!$A$2:$A1000,Metadata!$B$2:$B1000))),P$1,"""")"),"")</f>
        <v/>
      </c>
      <c r="Q602" s="33" t="str">
        <f>IFERROR(__xludf.DUMMYFUNCTION("IF(IF(Q$1="""","""",REGEXMATCH(LOWER($E602),XLOOKUP(Q$1,Metadata!$A$2:$A1000,Metadata!$B$2:$B1000))),Q$1,"""")"),"")</f>
        <v/>
      </c>
      <c r="R602" s="33" t="str">
        <f>IFERROR(__xludf.DUMMYFUNCTION("IF(IF(R$1="""","""",REGEXMATCH(LOWER($E602),XLOOKUP(R$1,Metadata!$A$2:$A1000,Metadata!$B$2:$B1000))),R$1,"""")"),"")</f>
        <v/>
      </c>
      <c r="S602" s="33" t="str">
        <f>IFERROR(__xludf.DUMMYFUNCTION("IF(IF(S$1="""","""",REGEXMATCH(LOWER($E602),XLOOKUP(S$1,Metadata!$A$2:$A1000,Metadata!$B$2:$B1000))),S$1,"""")"),"")</f>
        <v/>
      </c>
      <c r="T602" s="33" t="str">
        <f>IFERROR(__xludf.DUMMYFUNCTION("IF(IF(T$1="""","""",REGEXMATCH(LOWER($E602),XLOOKUP(T$1,Metadata!$A$2:$A1000,Metadata!$B$2:$B1000))),T$1,"""")"),"")</f>
        <v/>
      </c>
      <c r="U602" s="33" t="str">
        <f>IFERROR(__xludf.DUMMYFUNCTION("IF(IF(U$1="""","""",REGEXMATCH(LOWER($E602),XLOOKUP(U$1,Metadata!$A$2:$A1000,Metadata!$B$2:$B1000))),U$1,"""")"),"")</f>
        <v/>
      </c>
      <c r="V602" s="33" t="str">
        <f>IFERROR(__xludf.DUMMYFUNCTION("IF(IF(V$1="""","""",REGEXMATCH(LOWER($E602),XLOOKUP(V$1,Metadata!$A$2:$A1000,Metadata!$B$2:$B1000))),V$1,"""")"),"")</f>
        <v/>
      </c>
      <c r="W602" s="33" t="str">
        <f>IFERROR(__xludf.DUMMYFUNCTION("IF(IF(W$1="""","""",REGEXMATCH(LOWER($E602),XLOOKUP(W$1,Metadata!$A$2:$A1000,Metadata!$B$2:$B1000))),W$1,"""")"),"")</f>
        <v/>
      </c>
      <c r="X602" s="33" t="str">
        <f>IFERROR(__xludf.DUMMYFUNCTION("IF(IF(X$1="""","""",REGEXMATCH(LOWER($E602),XLOOKUP(X$1,Metadata!$A$2:$A1000,Metadata!$B$2:$B1000))),X$1,"""")"),"")</f>
        <v/>
      </c>
      <c r="Y602" s="33" t="str">
        <f>IFERROR(__xludf.DUMMYFUNCTION("IF(IF(Y$1="""","""",REGEXMATCH(LOWER($E602),XLOOKUP(Y$1,Metadata!$A$2:$A1000,Metadata!$B$2:$B1000))),Y$1,"""")"),"")</f>
        <v/>
      </c>
      <c r="Z602" s="33" t="str">
        <f>IFERROR(__xludf.DUMMYFUNCTION("IF(IF(Z$1="""","""",REGEXMATCH(LOWER($E602),XLOOKUP(Z$1,Metadata!$A$2:$A1000,Metadata!$B$2:$B1000))),Z$1,"""")"),"")</f>
        <v/>
      </c>
    </row>
    <row r="603">
      <c r="A603" s="33"/>
      <c r="B603" s="33"/>
      <c r="C603" s="33"/>
      <c r="D603" s="33"/>
      <c r="E603" s="33"/>
      <c r="F603" s="33"/>
      <c r="G603" s="33"/>
      <c r="H603" s="33"/>
      <c r="I603" s="33"/>
      <c r="J603" s="33"/>
      <c r="K603" s="33"/>
      <c r="L603" s="33" t="str">
        <f>IFERROR(__xludf.DUMMYFUNCTION("IF(IF(L$1="""","""",REGEXMATCH(LOWER($E603),XLOOKUP(L$1,Metadata!$A$2:$A1000,Metadata!$B$2:$B1000))),L$1,"""")"),"")</f>
        <v/>
      </c>
      <c r="M603" s="33" t="str">
        <f>IFERROR(__xludf.DUMMYFUNCTION("IF(IF(M$1="""","""",REGEXMATCH(LOWER($E603),XLOOKUP(M$1,Metadata!$A$2:$A1000,Metadata!$B$2:$B1000))),M$1,"""")"),"")</f>
        <v/>
      </c>
      <c r="N603" s="33" t="str">
        <f>IFERROR(__xludf.DUMMYFUNCTION("IF(IF(N$1="""","""",REGEXMATCH(LOWER($E603),XLOOKUP(N$1,Metadata!$A$2:$A1000,Metadata!$B$2:$B1000))),N$1,"""")"),"")</f>
        <v/>
      </c>
      <c r="O603" s="33" t="str">
        <f>IFERROR(__xludf.DUMMYFUNCTION("IF(IF(O$1="""","""",REGEXMATCH(LOWER($E603),XLOOKUP(O$1,Metadata!$A$2:$A1000,Metadata!$B$2:$B1000))),O$1,"""")"),"")</f>
        <v/>
      </c>
      <c r="P603" s="33" t="str">
        <f>IFERROR(__xludf.DUMMYFUNCTION("IF(IF(P$1="""","""",REGEXMATCH(LOWER($E603),XLOOKUP(P$1,Metadata!$A$2:$A1000,Metadata!$B$2:$B1000))),P$1,"""")"),"")</f>
        <v/>
      </c>
      <c r="Q603" s="33" t="str">
        <f>IFERROR(__xludf.DUMMYFUNCTION("IF(IF(Q$1="""","""",REGEXMATCH(LOWER($E603),XLOOKUP(Q$1,Metadata!$A$2:$A1000,Metadata!$B$2:$B1000))),Q$1,"""")"),"")</f>
        <v/>
      </c>
      <c r="R603" s="33" t="str">
        <f>IFERROR(__xludf.DUMMYFUNCTION("IF(IF(R$1="""","""",REGEXMATCH(LOWER($E603),XLOOKUP(R$1,Metadata!$A$2:$A1000,Metadata!$B$2:$B1000))),R$1,"""")"),"")</f>
        <v/>
      </c>
      <c r="S603" s="33" t="str">
        <f>IFERROR(__xludf.DUMMYFUNCTION("IF(IF(S$1="""","""",REGEXMATCH(LOWER($E603),XLOOKUP(S$1,Metadata!$A$2:$A1000,Metadata!$B$2:$B1000))),S$1,"""")"),"")</f>
        <v/>
      </c>
      <c r="T603" s="33" t="str">
        <f>IFERROR(__xludf.DUMMYFUNCTION("IF(IF(T$1="""","""",REGEXMATCH(LOWER($E603),XLOOKUP(T$1,Metadata!$A$2:$A1000,Metadata!$B$2:$B1000))),T$1,"""")"),"")</f>
        <v/>
      </c>
      <c r="U603" s="33" t="str">
        <f>IFERROR(__xludf.DUMMYFUNCTION("IF(IF(U$1="""","""",REGEXMATCH(LOWER($E603),XLOOKUP(U$1,Metadata!$A$2:$A1000,Metadata!$B$2:$B1000))),U$1,"""")"),"")</f>
        <v/>
      </c>
      <c r="V603" s="33" t="str">
        <f>IFERROR(__xludf.DUMMYFUNCTION("IF(IF(V$1="""","""",REGEXMATCH(LOWER($E603),XLOOKUP(V$1,Metadata!$A$2:$A1000,Metadata!$B$2:$B1000))),V$1,"""")"),"")</f>
        <v/>
      </c>
      <c r="W603" s="33" t="str">
        <f>IFERROR(__xludf.DUMMYFUNCTION("IF(IF(W$1="""","""",REGEXMATCH(LOWER($E603),XLOOKUP(W$1,Metadata!$A$2:$A1000,Metadata!$B$2:$B1000))),W$1,"""")"),"")</f>
        <v/>
      </c>
      <c r="X603" s="33" t="str">
        <f>IFERROR(__xludf.DUMMYFUNCTION("IF(IF(X$1="""","""",REGEXMATCH(LOWER($E603),XLOOKUP(X$1,Metadata!$A$2:$A1000,Metadata!$B$2:$B1000))),X$1,"""")"),"")</f>
        <v/>
      </c>
      <c r="Y603" s="33" t="str">
        <f>IFERROR(__xludf.DUMMYFUNCTION("IF(IF(Y$1="""","""",REGEXMATCH(LOWER($E603),XLOOKUP(Y$1,Metadata!$A$2:$A1000,Metadata!$B$2:$B1000))),Y$1,"""")"),"")</f>
        <v/>
      </c>
      <c r="Z603" s="33" t="str">
        <f>IFERROR(__xludf.DUMMYFUNCTION("IF(IF(Z$1="""","""",REGEXMATCH(LOWER($E603),XLOOKUP(Z$1,Metadata!$A$2:$A1000,Metadata!$B$2:$B1000))),Z$1,"""")"),"")</f>
        <v/>
      </c>
    </row>
    <row r="604">
      <c r="A604" s="33"/>
      <c r="B604" s="33"/>
      <c r="C604" s="33"/>
      <c r="D604" s="33"/>
      <c r="E604" s="33"/>
      <c r="F604" s="33"/>
      <c r="G604" s="33"/>
      <c r="H604" s="33"/>
      <c r="I604" s="33"/>
      <c r="J604" s="33"/>
      <c r="K604" s="33"/>
      <c r="L604" s="33" t="str">
        <f>IFERROR(__xludf.DUMMYFUNCTION("IF(IF(L$1="""","""",REGEXMATCH(LOWER($E604),XLOOKUP(L$1,Metadata!$A$2:$A1000,Metadata!$B$2:$B1000))),L$1,"""")"),"")</f>
        <v/>
      </c>
      <c r="M604" s="33" t="str">
        <f>IFERROR(__xludf.DUMMYFUNCTION("IF(IF(M$1="""","""",REGEXMATCH(LOWER($E604),XLOOKUP(M$1,Metadata!$A$2:$A1000,Metadata!$B$2:$B1000))),M$1,"""")"),"")</f>
        <v/>
      </c>
      <c r="N604" s="33" t="str">
        <f>IFERROR(__xludf.DUMMYFUNCTION("IF(IF(N$1="""","""",REGEXMATCH(LOWER($E604),XLOOKUP(N$1,Metadata!$A$2:$A1000,Metadata!$B$2:$B1000))),N$1,"""")"),"")</f>
        <v/>
      </c>
      <c r="O604" s="33" t="str">
        <f>IFERROR(__xludf.DUMMYFUNCTION("IF(IF(O$1="""","""",REGEXMATCH(LOWER($E604),XLOOKUP(O$1,Metadata!$A$2:$A1000,Metadata!$B$2:$B1000))),O$1,"""")"),"")</f>
        <v/>
      </c>
      <c r="P604" s="33" t="str">
        <f>IFERROR(__xludf.DUMMYFUNCTION("IF(IF(P$1="""","""",REGEXMATCH(LOWER($E604),XLOOKUP(P$1,Metadata!$A$2:$A1000,Metadata!$B$2:$B1000))),P$1,"""")"),"")</f>
        <v/>
      </c>
      <c r="Q604" s="33" t="str">
        <f>IFERROR(__xludf.DUMMYFUNCTION("IF(IF(Q$1="""","""",REGEXMATCH(LOWER($E604),XLOOKUP(Q$1,Metadata!$A$2:$A1000,Metadata!$B$2:$B1000))),Q$1,"""")"),"")</f>
        <v/>
      </c>
      <c r="R604" s="33" t="str">
        <f>IFERROR(__xludf.DUMMYFUNCTION("IF(IF(R$1="""","""",REGEXMATCH(LOWER($E604),XLOOKUP(R$1,Metadata!$A$2:$A1000,Metadata!$B$2:$B1000))),R$1,"""")"),"")</f>
        <v/>
      </c>
      <c r="S604" s="33" t="str">
        <f>IFERROR(__xludf.DUMMYFUNCTION("IF(IF(S$1="""","""",REGEXMATCH(LOWER($E604),XLOOKUP(S$1,Metadata!$A$2:$A1000,Metadata!$B$2:$B1000))),S$1,"""")"),"")</f>
        <v/>
      </c>
      <c r="T604" s="33" t="str">
        <f>IFERROR(__xludf.DUMMYFUNCTION("IF(IF(T$1="""","""",REGEXMATCH(LOWER($E604),XLOOKUP(T$1,Metadata!$A$2:$A1000,Metadata!$B$2:$B1000))),T$1,"""")"),"")</f>
        <v/>
      </c>
      <c r="U604" s="33" t="str">
        <f>IFERROR(__xludf.DUMMYFUNCTION("IF(IF(U$1="""","""",REGEXMATCH(LOWER($E604),XLOOKUP(U$1,Metadata!$A$2:$A1000,Metadata!$B$2:$B1000))),U$1,"""")"),"")</f>
        <v/>
      </c>
      <c r="V604" s="33" t="str">
        <f>IFERROR(__xludf.DUMMYFUNCTION("IF(IF(V$1="""","""",REGEXMATCH(LOWER($E604),XLOOKUP(V$1,Metadata!$A$2:$A1000,Metadata!$B$2:$B1000))),V$1,"""")"),"")</f>
        <v/>
      </c>
      <c r="W604" s="33" t="str">
        <f>IFERROR(__xludf.DUMMYFUNCTION("IF(IF(W$1="""","""",REGEXMATCH(LOWER($E604),XLOOKUP(W$1,Metadata!$A$2:$A1000,Metadata!$B$2:$B1000))),W$1,"""")"),"")</f>
        <v/>
      </c>
      <c r="X604" s="33" t="str">
        <f>IFERROR(__xludf.DUMMYFUNCTION("IF(IF(X$1="""","""",REGEXMATCH(LOWER($E604),XLOOKUP(X$1,Metadata!$A$2:$A1000,Metadata!$B$2:$B1000))),X$1,"""")"),"")</f>
        <v/>
      </c>
      <c r="Y604" s="33" t="str">
        <f>IFERROR(__xludf.DUMMYFUNCTION("IF(IF(Y$1="""","""",REGEXMATCH(LOWER($E604),XLOOKUP(Y$1,Metadata!$A$2:$A1000,Metadata!$B$2:$B1000))),Y$1,"""")"),"")</f>
        <v/>
      </c>
      <c r="Z604" s="33" t="str">
        <f>IFERROR(__xludf.DUMMYFUNCTION("IF(IF(Z$1="""","""",REGEXMATCH(LOWER($E604),XLOOKUP(Z$1,Metadata!$A$2:$A1000,Metadata!$B$2:$B1000))),Z$1,"""")"),"")</f>
        <v/>
      </c>
    </row>
    <row r="605">
      <c r="A605" s="33"/>
      <c r="B605" s="33"/>
      <c r="C605" s="33"/>
      <c r="D605" s="33"/>
      <c r="E605" s="33"/>
      <c r="F605" s="33"/>
      <c r="G605" s="33"/>
      <c r="H605" s="33"/>
      <c r="I605" s="33"/>
      <c r="J605" s="33"/>
      <c r="K605" s="33"/>
      <c r="L605" s="33" t="str">
        <f>IFERROR(__xludf.DUMMYFUNCTION("IF(IF(L$1="""","""",REGEXMATCH(LOWER($E605),XLOOKUP(L$1,Metadata!$A$2:$A1000,Metadata!$B$2:$B1000))),L$1,"""")"),"")</f>
        <v/>
      </c>
      <c r="M605" s="33" t="str">
        <f>IFERROR(__xludf.DUMMYFUNCTION("IF(IF(M$1="""","""",REGEXMATCH(LOWER($E605),XLOOKUP(M$1,Metadata!$A$2:$A1000,Metadata!$B$2:$B1000))),M$1,"""")"),"")</f>
        <v/>
      </c>
      <c r="N605" s="33" t="str">
        <f>IFERROR(__xludf.DUMMYFUNCTION("IF(IF(N$1="""","""",REGEXMATCH(LOWER($E605),XLOOKUP(N$1,Metadata!$A$2:$A1000,Metadata!$B$2:$B1000))),N$1,"""")"),"")</f>
        <v/>
      </c>
      <c r="O605" s="33" t="str">
        <f>IFERROR(__xludf.DUMMYFUNCTION("IF(IF(O$1="""","""",REGEXMATCH(LOWER($E605),XLOOKUP(O$1,Metadata!$A$2:$A1000,Metadata!$B$2:$B1000))),O$1,"""")"),"")</f>
        <v/>
      </c>
      <c r="P605" s="33" t="str">
        <f>IFERROR(__xludf.DUMMYFUNCTION("IF(IF(P$1="""","""",REGEXMATCH(LOWER($E605),XLOOKUP(P$1,Metadata!$A$2:$A1000,Metadata!$B$2:$B1000))),P$1,"""")"),"")</f>
        <v/>
      </c>
      <c r="Q605" s="33" t="str">
        <f>IFERROR(__xludf.DUMMYFUNCTION("IF(IF(Q$1="""","""",REGEXMATCH(LOWER($E605),XLOOKUP(Q$1,Metadata!$A$2:$A1000,Metadata!$B$2:$B1000))),Q$1,"""")"),"")</f>
        <v/>
      </c>
      <c r="R605" s="33" t="str">
        <f>IFERROR(__xludf.DUMMYFUNCTION("IF(IF(R$1="""","""",REGEXMATCH(LOWER($E605),XLOOKUP(R$1,Metadata!$A$2:$A1000,Metadata!$B$2:$B1000))),R$1,"""")"),"")</f>
        <v/>
      </c>
      <c r="S605" s="33" t="str">
        <f>IFERROR(__xludf.DUMMYFUNCTION("IF(IF(S$1="""","""",REGEXMATCH(LOWER($E605),XLOOKUP(S$1,Metadata!$A$2:$A1000,Metadata!$B$2:$B1000))),S$1,"""")"),"")</f>
        <v/>
      </c>
      <c r="T605" s="33" t="str">
        <f>IFERROR(__xludf.DUMMYFUNCTION("IF(IF(T$1="""","""",REGEXMATCH(LOWER($E605),XLOOKUP(T$1,Metadata!$A$2:$A1000,Metadata!$B$2:$B1000))),T$1,"""")"),"")</f>
        <v/>
      </c>
      <c r="U605" s="33" t="str">
        <f>IFERROR(__xludf.DUMMYFUNCTION("IF(IF(U$1="""","""",REGEXMATCH(LOWER($E605),XLOOKUP(U$1,Metadata!$A$2:$A1000,Metadata!$B$2:$B1000))),U$1,"""")"),"")</f>
        <v/>
      </c>
      <c r="V605" s="33" t="str">
        <f>IFERROR(__xludf.DUMMYFUNCTION("IF(IF(V$1="""","""",REGEXMATCH(LOWER($E605),XLOOKUP(V$1,Metadata!$A$2:$A1000,Metadata!$B$2:$B1000))),V$1,"""")"),"")</f>
        <v/>
      </c>
      <c r="W605" s="33" t="str">
        <f>IFERROR(__xludf.DUMMYFUNCTION("IF(IF(W$1="""","""",REGEXMATCH(LOWER($E605),XLOOKUP(W$1,Metadata!$A$2:$A1000,Metadata!$B$2:$B1000))),W$1,"""")"),"")</f>
        <v/>
      </c>
      <c r="X605" s="33" t="str">
        <f>IFERROR(__xludf.DUMMYFUNCTION("IF(IF(X$1="""","""",REGEXMATCH(LOWER($E605),XLOOKUP(X$1,Metadata!$A$2:$A1000,Metadata!$B$2:$B1000))),X$1,"""")"),"")</f>
        <v/>
      </c>
      <c r="Y605" s="33" t="str">
        <f>IFERROR(__xludf.DUMMYFUNCTION("IF(IF(Y$1="""","""",REGEXMATCH(LOWER($E605),XLOOKUP(Y$1,Metadata!$A$2:$A1000,Metadata!$B$2:$B1000))),Y$1,"""")"),"")</f>
        <v/>
      </c>
      <c r="Z605" s="33" t="str">
        <f>IFERROR(__xludf.DUMMYFUNCTION("IF(IF(Z$1="""","""",REGEXMATCH(LOWER($E605),XLOOKUP(Z$1,Metadata!$A$2:$A1000,Metadata!$B$2:$B1000))),Z$1,"""")"),"")</f>
        <v/>
      </c>
    </row>
    <row r="606">
      <c r="A606" s="33"/>
      <c r="B606" s="33"/>
      <c r="C606" s="33"/>
      <c r="D606" s="33"/>
      <c r="E606" s="33"/>
      <c r="F606" s="33"/>
      <c r="G606" s="33"/>
      <c r="H606" s="33"/>
      <c r="I606" s="33"/>
      <c r="J606" s="33"/>
      <c r="K606" s="33"/>
      <c r="L606" s="33" t="str">
        <f>IFERROR(__xludf.DUMMYFUNCTION("IF(IF(L$1="""","""",REGEXMATCH(LOWER($E606),XLOOKUP(L$1,Metadata!$A$2:$A1000,Metadata!$B$2:$B1000))),L$1,"""")"),"")</f>
        <v/>
      </c>
      <c r="M606" s="33" t="str">
        <f>IFERROR(__xludf.DUMMYFUNCTION("IF(IF(M$1="""","""",REGEXMATCH(LOWER($E606),XLOOKUP(M$1,Metadata!$A$2:$A1000,Metadata!$B$2:$B1000))),M$1,"""")"),"")</f>
        <v/>
      </c>
      <c r="N606" s="33" t="str">
        <f>IFERROR(__xludf.DUMMYFUNCTION("IF(IF(N$1="""","""",REGEXMATCH(LOWER($E606),XLOOKUP(N$1,Metadata!$A$2:$A1000,Metadata!$B$2:$B1000))),N$1,"""")"),"")</f>
        <v/>
      </c>
      <c r="O606" s="33" t="str">
        <f>IFERROR(__xludf.DUMMYFUNCTION("IF(IF(O$1="""","""",REGEXMATCH(LOWER($E606),XLOOKUP(O$1,Metadata!$A$2:$A1000,Metadata!$B$2:$B1000))),O$1,"""")"),"")</f>
        <v/>
      </c>
      <c r="P606" s="33" t="str">
        <f>IFERROR(__xludf.DUMMYFUNCTION("IF(IF(P$1="""","""",REGEXMATCH(LOWER($E606),XLOOKUP(P$1,Metadata!$A$2:$A1000,Metadata!$B$2:$B1000))),P$1,"""")"),"")</f>
        <v/>
      </c>
      <c r="Q606" s="33" t="str">
        <f>IFERROR(__xludf.DUMMYFUNCTION("IF(IF(Q$1="""","""",REGEXMATCH(LOWER($E606),XLOOKUP(Q$1,Metadata!$A$2:$A1000,Metadata!$B$2:$B1000))),Q$1,"""")"),"")</f>
        <v/>
      </c>
      <c r="R606" s="33" t="str">
        <f>IFERROR(__xludf.DUMMYFUNCTION("IF(IF(R$1="""","""",REGEXMATCH(LOWER($E606),XLOOKUP(R$1,Metadata!$A$2:$A1000,Metadata!$B$2:$B1000))),R$1,"""")"),"")</f>
        <v/>
      </c>
      <c r="S606" s="33" t="str">
        <f>IFERROR(__xludf.DUMMYFUNCTION("IF(IF(S$1="""","""",REGEXMATCH(LOWER($E606),XLOOKUP(S$1,Metadata!$A$2:$A1000,Metadata!$B$2:$B1000))),S$1,"""")"),"")</f>
        <v/>
      </c>
      <c r="T606" s="33" t="str">
        <f>IFERROR(__xludf.DUMMYFUNCTION("IF(IF(T$1="""","""",REGEXMATCH(LOWER($E606),XLOOKUP(T$1,Metadata!$A$2:$A1000,Metadata!$B$2:$B1000))),T$1,"""")"),"")</f>
        <v/>
      </c>
      <c r="U606" s="33" t="str">
        <f>IFERROR(__xludf.DUMMYFUNCTION("IF(IF(U$1="""","""",REGEXMATCH(LOWER($E606),XLOOKUP(U$1,Metadata!$A$2:$A1000,Metadata!$B$2:$B1000))),U$1,"""")"),"")</f>
        <v/>
      </c>
      <c r="V606" s="33" t="str">
        <f>IFERROR(__xludf.DUMMYFUNCTION("IF(IF(V$1="""","""",REGEXMATCH(LOWER($E606),XLOOKUP(V$1,Metadata!$A$2:$A1000,Metadata!$B$2:$B1000))),V$1,"""")"),"")</f>
        <v/>
      </c>
      <c r="W606" s="33" t="str">
        <f>IFERROR(__xludf.DUMMYFUNCTION("IF(IF(W$1="""","""",REGEXMATCH(LOWER($E606),XLOOKUP(W$1,Metadata!$A$2:$A1000,Metadata!$B$2:$B1000))),W$1,"""")"),"")</f>
        <v/>
      </c>
      <c r="X606" s="33" t="str">
        <f>IFERROR(__xludf.DUMMYFUNCTION("IF(IF(X$1="""","""",REGEXMATCH(LOWER($E606),XLOOKUP(X$1,Metadata!$A$2:$A1000,Metadata!$B$2:$B1000))),X$1,"""")"),"")</f>
        <v/>
      </c>
      <c r="Y606" s="33" t="str">
        <f>IFERROR(__xludf.DUMMYFUNCTION("IF(IF(Y$1="""","""",REGEXMATCH(LOWER($E606),XLOOKUP(Y$1,Metadata!$A$2:$A1000,Metadata!$B$2:$B1000))),Y$1,"""")"),"")</f>
        <v/>
      </c>
      <c r="Z606" s="33" t="str">
        <f>IFERROR(__xludf.DUMMYFUNCTION("IF(IF(Z$1="""","""",REGEXMATCH(LOWER($E606),XLOOKUP(Z$1,Metadata!$A$2:$A1000,Metadata!$B$2:$B1000))),Z$1,"""")"),"")</f>
        <v/>
      </c>
    </row>
    <row r="607">
      <c r="A607" s="33"/>
      <c r="B607" s="33"/>
      <c r="C607" s="33"/>
      <c r="D607" s="33"/>
      <c r="E607" s="33"/>
      <c r="F607" s="33"/>
      <c r="G607" s="33"/>
      <c r="H607" s="33"/>
      <c r="I607" s="33"/>
      <c r="J607" s="33"/>
      <c r="K607" s="33"/>
      <c r="L607" s="33" t="str">
        <f>IFERROR(__xludf.DUMMYFUNCTION("IF(IF(L$1="""","""",REGEXMATCH(LOWER($E607),XLOOKUP(L$1,Metadata!$A$2:$A1000,Metadata!$B$2:$B1000))),L$1,"""")"),"")</f>
        <v/>
      </c>
      <c r="M607" s="33" t="str">
        <f>IFERROR(__xludf.DUMMYFUNCTION("IF(IF(M$1="""","""",REGEXMATCH(LOWER($E607),XLOOKUP(M$1,Metadata!$A$2:$A1000,Metadata!$B$2:$B1000))),M$1,"""")"),"")</f>
        <v/>
      </c>
      <c r="N607" s="33" t="str">
        <f>IFERROR(__xludf.DUMMYFUNCTION("IF(IF(N$1="""","""",REGEXMATCH(LOWER($E607),XLOOKUP(N$1,Metadata!$A$2:$A1000,Metadata!$B$2:$B1000))),N$1,"""")"),"")</f>
        <v/>
      </c>
      <c r="O607" s="33" t="str">
        <f>IFERROR(__xludf.DUMMYFUNCTION("IF(IF(O$1="""","""",REGEXMATCH(LOWER($E607),XLOOKUP(O$1,Metadata!$A$2:$A1000,Metadata!$B$2:$B1000))),O$1,"""")"),"")</f>
        <v/>
      </c>
      <c r="P607" s="33" t="str">
        <f>IFERROR(__xludf.DUMMYFUNCTION("IF(IF(P$1="""","""",REGEXMATCH(LOWER($E607),XLOOKUP(P$1,Metadata!$A$2:$A1000,Metadata!$B$2:$B1000))),P$1,"""")"),"")</f>
        <v/>
      </c>
      <c r="Q607" s="33" t="str">
        <f>IFERROR(__xludf.DUMMYFUNCTION("IF(IF(Q$1="""","""",REGEXMATCH(LOWER($E607),XLOOKUP(Q$1,Metadata!$A$2:$A1000,Metadata!$B$2:$B1000))),Q$1,"""")"),"")</f>
        <v/>
      </c>
      <c r="R607" s="33" t="str">
        <f>IFERROR(__xludf.DUMMYFUNCTION("IF(IF(R$1="""","""",REGEXMATCH(LOWER($E607),XLOOKUP(R$1,Metadata!$A$2:$A1000,Metadata!$B$2:$B1000))),R$1,"""")"),"")</f>
        <v/>
      </c>
      <c r="S607" s="33" t="str">
        <f>IFERROR(__xludf.DUMMYFUNCTION("IF(IF(S$1="""","""",REGEXMATCH(LOWER($E607),XLOOKUP(S$1,Metadata!$A$2:$A1000,Metadata!$B$2:$B1000))),S$1,"""")"),"")</f>
        <v/>
      </c>
      <c r="T607" s="33" t="str">
        <f>IFERROR(__xludf.DUMMYFUNCTION("IF(IF(T$1="""","""",REGEXMATCH(LOWER($E607),XLOOKUP(T$1,Metadata!$A$2:$A1000,Metadata!$B$2:$B1000))),T$1,"""")"),"")</f>
        <v/>
      </c>
      <c r="U607" s="33" t="str">
        <f>IFERROR(__xludf.DUMMYFUNCTION("IF(IF(U$1="""","""",REGEXMATCH(LOWER($E607),XLOOKUP(U$1,Metadata!$A$2:$A1000,Metadata!$B$2:$B1000))),U$1,"""")"),"")</f>
        <v/>
      </c>
      <c r="V607" s="33" t="str">
        <f>IFERROR(__xludf.DUMMYFUNCTION("IF(IF(V$1="""","""",REGEXMATCH(LOWER($E607),XLOOKUP(V$1,Metadata!$A$2:$A1000,Metadata!$B$2:$B1000))),V$1,"""")"),"")</f>
        <v/>
      </c>
      <c r="W607" s="33" t="str">
        <f>IFERROR(__xludf.DUMMYFUNCTION("IF(IF(W$1="""","""",REGEXMATCH(LOWER($E607),XLOOKUP(W$1,Metadata!$A$2:$A1000,Metadata!$B$2:$B1000))),W$1,"""")"),"")</f>
        <v/>
      </c>
      <c r="X607" s="33" t="str">
        <f>IFERROR(__xludf.DUMMYFUNCTION("IF(IF(X$1="""","""",REGEXMATCH(LOWER($E607),XLOOKUP(X$1,Metadata!$A$2:$A1000,Metadata!$B$2:$B1000))),X$1,"""")"),"")</f>
        <v/>
      </c>
      <c r="Y607" s="33" t="str">
        <f>IFERROR(__xludf.DUMMYFUNCTION("IF(IF(Y$1="""","""",REGEXMATCH(LOWER($E607),XLOOKUP(Y$1,Metadata!$A$2:$A1000,Metadata!$B$2:$B1000))),Y$1,"""")"),"")</f>
        <v/>
      </c>
      <c r="Z607" s="33" t="str">
        <f>IFERROR(__xludf.DUMMYFUNCTION("IF(IF(Z$1="""","""",REGEXMATCH(LOWER($E607),XLOOKUP(Z$1,Metadata!$A$2:$A1000,Metadata!$B$2:$B1000))),Z$1,"""")"),"")</f>
        <v/>
      </c>
    </row>
    <row r="608">
      <c r="A608" s="33"/>
      <c r="B608" s="33"/>
      <c r="C608" s="33"/>
      <c r="D608" s="33"/>
      <c r="E608" s="33"/>
      <c r="F608" s="33"/>
      <c r="G608" s="33"/>
      <c r="H608" s="33"/>
      <c r="I608" s="33"/>
      <c r="J608" s="33"/>
      <c r="K608" s="33"/>
      <c r="L608" s="33" t="str">
        <f>IFERROR(__xludf.DUMMYFUNCTION("IF(IF(L$1="""","""",REGEXMATCH(LOWER($E608),XLOOKUP(L$1,Metadata!$A$2:$A1000,Metadata!$B$2:$B1000))),L$1,"""")"),"")</f>
        <v/>
      </c>
      <c r="M608" s="33" t="str">
        <f>IFERROR(__xludf.DUMMYFUNCTION("IF(IF(M$1="""","""",REGEXMATCH(LOWER($E608),XLOOKUP(M$1,Metadata!$A$2:$A1000,Metadata!$B$2:$B1000))),M$1,"""")"),"")</f>
        <v/>
      </c>
      <c r="N608" s="33" t="str">
        <f>IFERROR(__xludf.DUMMYFUNCTION("IF(IF(N$1="""","""",REGEXMATCH(LOWER($E608),XLOOKUP(N$1,Metadata!$A$2:$A1000,Metadata!$B$2:$B1000))),N$1,"""")"),"")</f>
        <v/>
      </c>
      <c r="O608" s="33" t="str">
        <f>IFERROR(__xludf.DUMMYFUNCTION("IF(IF(O$1="""","""",REGEXMATCH(LOWER($E608),XLOOKUP(O$1,Metadata!$A$2:$A1000,Metadata!$B$2:$B1000))),O$1,"""")"),"")</f>
        <v/>
      </c>
      <c r="P608" s="33" t="str">
        <f>IFERROR(__xludf.DUMMYFUNCTION("IF(IF(P$1="""","""",REGEXMATCH(LOWER($E608),XLOOKUP(P$1,Metadata!$A$2:$A1000,Metadata!$B$2:$B1000))),P$1,"""")"),"")</f>
        <v/>
      </c>
      <c r="Q608" s="33" t="str">
        <f>IFERROR(__xludf.DUMMYFUNCTION("IF(IF(Q$1="""","""",REGEXMATCH(LOWER($E608),XLOOKUP(Q$1,Metadata!$A$2:$A1000,Metadata!$B$2:$B1000))),Q$1,"""")"),"")</f>
        <v/>
      </c>
      <c r="R608" s="33" t="str">
        <f>IFERROR(__xludf.DUMMYFUNCTION("IF(IF(R$1="""","""",REGEXMATCH(LOWER($E608),XLOOKUP(R$1,Metadata!$A$2:$A1000,Metadata!$B$2:$B1000))),R$1,"""")"),"")</f>
        <v/>
      </c>
      <c r="S608" s="33" t="str">
        <f>IFERROR(__xludf.DUMMYFUNCTION("IF(IF(S$1="""","""",REGEXMATCH(LOWER($E608),XLOOKUP(S$1,Metadata!$A$2:$A1000,Metadata!$B$2:$B1000))),S$1,"""")"),"")</f>
        <v/>
      </c>
      <c r="T608" s="33" t="str">
        <f>IFERROR(__xludf.DUMMYFUNCTION("IF(IF(T$1="""","""",REGEXMATCH(LOWER($E608),XLOOKUP(T$1,Metadata!$A$2:$A1000,Metadata!$B$2:$B1000))),T$1,"""")"),"")</f>
        <v/>
      </c>
      <c r="U608" s="33" t="str">
        <f>IFERROR(__xludf.DUMMYFUNCTION("IF(IF(U$1="""","""",REGEXMATCH(LOWER($E608),XLOOKUP(U$1,Metadata!$A$2:$A1000,Metadata!$B$2:$B1000))),U$1,"""")"),"")</f>
        <v/>
      </c>
      <c r="V608" s="33" t="str">
        <f>IFERROR(__xludf.DUMMYFUNCTION("IF(IF(V$1="""","""",REGEXMATCH(LOWER($E608),XLOOKUP(V$1,Metadata!$A$2:$A1000,Metadata!$B$2:$B1000))),V$1,"""")"),"")</f>
        <v/>
      </c>
      <c r="W608" s="33" t="str">
        <f>IFERROR(__xludf.DUMMYFUNCTION("IF(IF(W$1="""","""",REGEXMATCH(LOWER($E608),XLOOKUP(W$1,Metadata!$A$2:$A1000,Metadata!$B$2:$B1000))),W$1,"""")"),"")</f>
        <v/>
      </c>
      <c r="X608" s="33" t="str">
        <f>IFERROR(__xludf.DUMMYFUNCTION("IF(IF(X$1="""","""",REGEXMATCH(LOWER($E608),XLOOKUP(X$1,Metadata!$A$2:$A1000,Metadata!$B$2:$B1000))),X$1,"""")"),"")</f>
        <v/>
      </c>
      <c r="Y608" s="33" t="str">
        <f>IFERROR(__xludf.DUMMYFUNCTION("IF(IF(Y$1="""","""",REGEXMATCH(LOWER($E608),XLOOKUP(Y$1,Metadata!$A$2:$A1000,Metadata!$B$2:$B1000))),Y$1,"""")"),"")</f>
        <v/>
      </c>
      <c r="Z608" s="33" t="str">
        <f>IFERROR(__xludf.DUMMYFUNCTION("IF(IF(Z$1="""","""",REGEXMATCH(LOWER($E608),XLOOKUP(Z$1,Metadata!$A$2:$A1000,Metadata!$B$2:$B1000))),Z$1,"""")"),"")</f>
        <v/>
      </c>
    </row>
    <row r="609">
      <c r="A609" s="33"/>
      <c r="B609" s="33"/>
      <c r="C609" s="33"/>
      <c r="D609" s="33"/>
      <c r="E609" s="33"/>
      <c r="F609" s="33"/>
      <c r="G609" s="33"/>
      <c r="H609" s="33"/>
      <c r="I609" s="33"/>
      <c r="J609" s="33"/>
      <c r="K609" s="33"/>
      <c r="L609" s="33" t="str">
        <f>IFERROR(__xludf.DUMMYFUNCTION("IF(IF(L$1="""","""",REGEXMATCH(LOWER($E609),XLOOKUP(L$1,Metadata!$A$2:$A1000,Metadata!$B$2:$B1000))),L$1,"""")"),"")</f>
        <v/>
      </c>
      <c r="M609" s="33" t="str">
        <f>IFERROR(__xludf.DUMMYFUNCTION("IF(IF(M$1="""","""",REGEXMATCH(LOWER($E609),XLOOKUP(M$1,Metadata!$A$2:$A1000,Metadata!$B$2:$B1000))),M$1,"""")"),"")</f>
        <v/>
      </c>
      <c r="N609" s="33" t="str">
        <f>IFERROR(__xludf.DUMMYFUNCTION("IF(IF(N$1="""","""",REGEXMATCH(LOWER($E609),XLOOKUP(N$1,Metadata!$A$2:$A1000,Metadata!$B$2:$B1000))),N$1,"""")"),"")</f>
        <v/>
      </c>
      <c r="O609" s="33" t="str">
        <f>IFERROR(__xludf.DUMMYFUNCTION("IF(IF(O$1="""","""",REGEXMATCH(LOWER($E609),XLOOKUP(O$1,Metadata!$A$2:$A1000,Metadata!$B$2:$B1000))),O$1,"""")"),"")</f>
        <v/>
      </c>
      <c r="P609" s="33" t="str">
        <f>IFERROR(__xludf.DUMMYFUNCTION("IF(IF(P$1="""","""",REGEXMATCH(LOWER($E609),XLOOKUP(P$1,Metadata!$A$2:$A1000,Metadata!$B$2:$B1000))),P$1,"""")"),"")</f>
        <v/>
      </c>
      <c r="Q609" s="33" t="str">
        <f>IFERROR(__xludf.DUMMYFUNCTION("IF(IF(Q$1="""","""",REGEXMATCH(LOWER($E609),XLOOKUP(Q$1,Metadata!$A$2:$A1000,Metadata!$B$2:$B1000))),Q$1,"""")"),"")</f>
        <v/>
      </c>
      <c r="R609" s="33" t="str">
        <f>IFERROR(__xludf.DUMMYFUNCTION("IF(IF(R$1="""","""",REGEXMATCH(LOWER($E609),XLOOKUP(R$1,Metadata!$A$2:$A1000,Metadata!$B$2:$B1000))),R$1,"""")"),"")</f>
        <v/>
      </c>
      <c r="S609" s="33" t="str">
        <f>IFERROR(__xludf.DUMMYFUNCTION("IF(IF(S$1="""","""",REGEXMATCH(LOWER($E609),XLOOKUP(S$1,Metadata!$A$2:$A1000,Metadata!$B$2:$B1000))),S$1,"""")"),"")</f>
        <v/>
      </c>
      <c r="T609" s="33" t="str">
        <f>IFERROR(__xludf.DUMMYFUNCTION("IF(IF(T$1="""","""",REGEXMATCH(LOWER($E609),XLOOKUP(T$1,Metadata!$A$2:$A1000,Metadata!$B$2:$B1000))),T$1,"""")"),"")</f>
        <v/>
      </c>
      <c r="U609" s="33" t="str">
        <f>IFERROR(__xludf.DUMMYFUNCTION("IF(IF(U$1="""","""",REGEXMATCH(LOWER($E609),XLOOKUP(U$1,Metadata!$A$2:$A1000,Metadata!$B$2:$B1000))),U$1,"""")"),"")</f>
        <v/>
      </c>
      <c r="V609" s="33" t="str">
        <f>IFERROR(__xludf.DUMMYFUNCTION("IF(IF(V$1="""","""",REGEXMATCH(LOWER($E609),XLOOKUP(V$1,Metadata!$A$2:$A1000,Metadata!$B$2:$B1000))),V$1,"""")"),"")</f>
        <v/>
      </c>
      <c r="W609" s="33" t="str">
        <f>IFERROR(__xludf.DUMMYFUNCTION("IF(IF(W$1="""","""",REGEXMATCH(LOWER($E609),XLOOKUP(W$1,Metadata!$A$2:$A1000,Metadata!$B$2:$B1000))),W$1,"""")"),"")</f>
        <v/>
      </c>
      <c r="X609" s="33" t="str">
        <f>IFERROR(__xludf.DUMMYFUNCTION("IF(IF(X$1="""","""",REGEXMATCH(LOWER($E609),XLOOKUP(X$1,Metadata!$A$2:$A1000,Metadata!$B$2:$B1000))),X$1,"""")"),"")</f>
        <v/>
      </c>
      <c r="Y609" s="33" t="str">
        <f>IFERROR(__xludf.DUMMYFUNCTION("IF(IF(Y$1="""","""",REGEXMATCH(LOWER($E609),XLOOKUP(Y$1,Metadata!$A$2:$A1000,Metadata!$B$2:$B1000))),Y$1,"""")"),"")</f>
        <v/>
      </c>
      <c r="Z609" s="33" t="str">
        <f>IFERROR(__xludf.DUMMYFUNCTION("IF(IF(Z$1="""","""",REGEXMATCH(LOWER($E609),XLOOKUP(Z$1,Metadata!$A$2:$A1000,Metadata!$B$2:$B1000))),Z$1,"""")"),"")</f>
        <v/>
      </c>
    </row>
    <row r="610">
      <c r="A610" s="33"/>
      <c r="B610" s="33"/>
      <c r="C610" s="33"/>
      <c r="D610" s="33"/>
      <c r="E610" s="33"/>
      <c r="F610" s="33"/>
      <c r="G610" s="33"/>
      <c r="H610" s="33"/>
      <c r="I610" s="33"/>
      <c r="J610" s="33"/>
      <c r="K610" s="33"/>
      <c r="L610" s="33" t="str">
        <f>IFERROR(__xludf.DUMMYFUNCTION("IF(IF(L$1="""","""",REGEXMATCH(LOWER($E610),XLOOKUP(L$1,Metadata!$A$2:$A1000,Metadata!$B$2:$B1000))),L$1,"""")"),"")</f>
        <v/>
      </c>
      <c r="M610" s="33" t="str">
        <f>IFERROR(__xludf.DUMMYFUNCTION("IF(IF(M$1="""","""",REGEXMATCH(LOWER($E610),XLOOKUP(M$1,Metadata!$A$2:$A1000,Metadata!$B$2:$B1000))),M$1,"""")"),"")</f>
        <v/>
      </c>
      <c r="N610" s="33" t="str">
        <f>IFERROR(__xludf.DUMMYFUNCTION("IF(IF(N$1="""","""",REGEXMATCH(LOWER($E610),XLOOKUP(N$1,Metadata!$A$2:$A1000,Metadata!$B$2:$B1000))),N$1,"""")"),"")</f>
        <v/>
      </c>
      <c r="O610" s="33" t="str">
        <f>IFERROR(__xludf.DUMMYFUNCTION("IF(IF(O$1="""","""",REGEXMATCH(LOWER($E610),XLOOKUP(O$1,Metadata!$A$2:$A1000,Metadata!$B$2:$B1000))),O$1,"""")"),"")</f>
        <v/>
      </c>
      <c r="P610" s="33" t="str">
        <f>IFERROR(__xludf.DUMMYFUNCTION("IF(IF(P$1="""","""",REGEXMATCH(LOWER($E610),XLOOKUP(P$1,Metadata!$A$2:$A1000,Metadata!$B$2:$B1000))),P$1,"""")"),"")</f>
        <v/>
      </c>
      <c r="Q610" s="33" t="str">
        <f>IFERROR(__xludf.DUMMYFUNCTION("IF(IF(Q$1="""","""",REGEXMATCH(LOWER($E610),XLOOKUP(Q$1,Metadata!$A$2:$A1000,Metadata!$B$2:$B1000))),Q$1,"""")"),"")</f>
        <v/>
      </c>
      <c r="R610" s="33" t="str">
        <f>IFERROR(__xludf.DUMMYFUNCTION("IF(IF(R$1="""","""",REGEXMATCH(LOWER($E610),XLOOKUP(R$1,Metadata!$A$2:$A1000,Metadata!$B$2:$B1000))),R$1,"""")"),"")</f>
        <v/>
      </c>
      <c r="S610" s="33" t="str">
        <f>IFERROR(__xludf.DUMMYFUNCTION("IF(IF(S$1="""","""",REGEXMATCH(LOWER($E610),XLOOKUP(S$1,Metadata!$A$2:$A1000,Metadata!$B$2:$B1000))),S$1,"""")"),"")</f>
        <v/>
      </c>
      <c r="T610" s="33" t="str">
        <f>IFERROR(__xludf.DUMMYFUNCTION("IF(IF(T$1="""","""",REGEXMATCH(LOWER($E610),XLOOKUP(T$1,Metadata!$A$2:$A1000,Metadata!$B$2:$B1000))),T$1,"""")"),"")</f>
        <v/>
      </c>
      <c r="U610" s="33" t="str">
        <f>IFERROR(__xludf.DUMMYFUNCTION("IF(IF(U$1="""","""",REGEXMATCH(LOWER($E610),XLOOKUP(U$1,Metadata!$A$2:$A1000,Metadata!$B$2:$B1000))),U$1,"""")"),"")</f>
        <v/>
      </c>
      <c r="V610" s="33" t="str">
        <f>IFERROR(__xludf.DUMMYFUNCTION("IF(IF(V$1="""","""",REGEXMATCH(LOWER($E610),XLOOKUP(V$1,Metadata!$A$2:$A1000,Metadata!$B$2:$B1000))),V$1,"""")"),"")</f>
        <v/>
      </c>
      <c r="W610" s="33" t="str">
        <f>IFERROR(__xludf.DUMMYFUNCTION("IF(IF(W$1="""","""",REGEXMATCH(LOWER($E610),XLOOKUP(W$1,Metadata!$A$2:$A1000,Metadata!$B$2:$B1000))),W$1,"""")"),"")</f>
        <v/>
      </c>
      <c r="X610" s="33" t="str">
        <f>IFERROR(__xludf.DUMMYFUNCTION("IF(IF(X$1="""","""",REGEXMATCH(LOWER($E610),XLOOKUP(X$1,Metadata!$A$2:$A1000,Metadata!$B$2:$B1000))),X$1,"""")"),"")</f>
        <v/>
      </c>
      <c r="Y610" s="33" t="str">
        <f>IFERROR(__xludf.DUMMYFUNCTION("IF(IF(Y$1="""","""",REGEXMATCH(LOWER($E610),XLOOKUP(Y$1,Metadata!$A$2:$A1000,Metadata!$B$2:$B1000))),Y$1,"""")"),"")</f>
        <v/>
      </c>
      <c r="Z610" s="33" t="str">
        <f>IFERROR(__xludf.DUMMYFUNCTION("IF(IF(Z$1="""","""",REGEXMATCH(LOWER($E610),XLOOKUP(Z$1,Metadata!$A$2:$A1000,Metadata!$B$2:$B1000))),Z$1,"""")"),"")</f>
        <v/>
      </c>
    </row>
    <row r="611">
      <c r="A611" s="33"/>
      <c r="B611" s="33"/>
      <c r="C611" s="33"/>
      <c r="D611" s="33"/>
      <c r="E611" s="33"/>
      <c r="F611" s="33"/>
      <c r="G611" s="33"/>
      <c r="H611" s="33"/>
      <c r="I611" s="33"/>
      <c r="J611" s="33"/>
      <c r="K611" s="33"/>
      <c r="L611" s="33" t="str">
        <f>IFERROR(__xludf.DUMMYFUNCTION("IF(IF(L$1="""","""",REGEXMATCH(LOWER($E611),XLOOKUP(L$1,Metadata!$A$2:$A1000,Metadata!$B$2:$B1000))),L$1,"""")"),"")</f>
        <v/>
      </c>
      <c r="M611" s="33" t="str">
        <f>IFERROR(__xludf.DUMMYFUNCTION("IF(IF(M$1="""","""",REGEXMATCH(LOWER($E611),XLOOKUP(M$1,Metadata!$A$2:$A1000,Metadata!$B$2:$B1000))),M$1,"""")"),"")</f>
        <v/>
      </c>
      <c r="N611" s="33" t="str">
        <f>IFERROR(__xludf.DUMMYFUNCTION("IF(IF(N$1="""","""",REGEXMATCH(LOWER($E611),XLOOKUP(N$1,Metadata!$A$2:$A1000,Metadata!$B$2:$B1000))),N$1,"""")"),"")</f>
        <v/>
      </c>
      <c r="O611" s="33" t="str">
        <f>IFERROR(__xludf.DUMMYFUNCTION("IF(IF(O$1="""","""",REGEXMATCH(LOWER($E611),XLOOKUP(O$1,Metadata!$A$2:$A1000,Metadata!$B$2:$B1000))),O$1,"""")"),"")</f>
        <v/>
      </c>
      <c r="P611" s="33" t="str">
        <f>IFERROR(__xludf.DUMMYFUNCTION("IF(IF(P$1="""","""",REGEXMATCH(LOWER($E611),XLOOKUP(P$1,Metadata!$A$2:$A1000,Metadata!$B$2:$B1000))),P$1,"""")"),"")</f>
        <v/>
      </c>
      <c r="Q611" s="33" t="str">
        <f>IFERROR(__xludf.DUMMYFUNCTION("IF(IF(Q$1="""","""",REGEXMATCH(LOWER($E611),XLOOKUP(Q$1,Metadata!$A$2:$A1000,Metadata!$B$2:$B1000))),Q$1,"""")"),"")</f>
        <v/>
      </c>
      <c r="R611" s="33" t="str">
        <f>IFERROR(__xludf.DUMMYFUNCTION("IF(IF(R$1="""","""",REGEXMATCH(LOWER($E611),XLOOKUP(R$1,Metadata!$A$2:$A1000,Metadata!$B$2:$B1000))),R$1,"""")"),"")</f>
        <v/>
      </c>
      <c r="S611" s="33" t="str">
        <f>IFERROR(__xludf.DUMMYFUNCTION("IF(IF(S$1="""","""",REGEXMATCH(LOWER($E611),XLOOKUP(S$1,Metadata!$A$2:$A1000,Metadata!$B$2:$B1000))),S$1,"""")"),"")</f>
        <v/>
      </c>
      <c r="T611" s="33" t="str">
        <f>IFERROR(__xludf.DUMMYFUNCTION("IF(IF(T$1="""","""",REGEXMATCH(LOWER($E611),XLOOKUP(T$1,Metadata!$A$2:$A1000,Metadata!$B$2:$B1000))),T$1,"""")"),"")</f>
        <v/>
      </c>
      <c r="U611" s="33" t="str">
        <f>IFERROR(__xludf.DUMMYFUNCTION("IF(IF(U$1="""","""",REGEXMATCH(LOWER($E611),XLOOKUP(U$1,Metadata!$A$2:$A1000,Metadata!$B$2:$B1000))),U$1,"""")"),"")</f>
        <v/>
      </c>
      <c r="V611" s="33" t="str">
        <f>IFERROR(__xludf.DUMMYFUNCTION("IF(IF(V$1="""","""",REGEXMATCH(LOWER($E611),XLOOKUP(V$1,Metadata!$A$2:$A1000,Metadata!$B$2:$B1000))),V$1,"""")"),"")</f>
        <v/>
      </c>
      <c r="W611" s="33" t="str">
        <f>IFERROR(__xludf.DUMMYFUNCTION("IF(IF(W$1="""","""",REGEXMATCH(LOWER($E611),XLOOKUP(W$1,Metadata!$A$2:$A1000,Metadata!$B$2:$B1000))),W$1,"""")"),"")</f>
        <v/>
      </c>
      <c r="X611" s="33" t="str">
        <f>IFERROR(__xludf.DUMMYFUNCTION("IF(IF(X$1="""","""",REGEXMATCH(LOWER($E611),XLOOKUP(X$1,Metadata!$A$2:$A1000,Metadata!$B$2:$B1000))),X$1,"""")"),"")</f>
        <v/>
      </c>
      <c r="Y611" s="33" t="str">
        <f>IFERROR(__xludf.DUMMYFUNCTION("IF(IF(Y$1="""","""",REGEXMATCH(LOWER($E611),XLOOKUP(Y$1,Metadata!$A$2:$A1000,Metadata!$B$2:$B1000))),Y$1,"""")"),"")</f>
        <v/>
      </c>
      <c r="Z611" s="33" t="str">
        <f>IFERROR(__xludf.DUMMYFUNCTION("IF(IF(Z$1="""","""",REGEXMATCH(LOWER($E611),XLOOKUP(Z$1,Metadata!$A$2:$A1000,Metadata!$B$2:$B1000))),Z$1,"""")"),"")</f>
        <v/>
      </c>
    </row>
    <row r="612">
      <c r="A612" s="33"/>
      <c r="B612" s="33"/>
      <c r="C612" s="33"/>
      <c r="D612" s="33"/>
      <c r="E612" s="33"/>
      <c r="F612" s="33"/>
      <c r="G612" s="33"/>
      <c r="H612" s="33"/>
      <c r="I612" s="33"/>
      <c r="J612" s="33"/>
      <c r="K612" s="33"/>
      <c r="L612" s="33" t="str">
        <f>IFERROR(__xludf.DUMMYFUNCTION("IF(IF(L$1="""","""",REGEXMATCH(LOWER($E612),XLOOKUP(L$1,Metadata!$A$2:$A1000,Metadata!$B$2:$B1000))),L$1,"""")"),"")</f>
        <v/>
      </c>
      <c r="M612" s="33" t="str">
        <f>IFERROR(__xludf.DUMMYFUNCTION("IF(IF(M$1="""","""",REGEXMATCH(LOWER($E612),XLOOKUP(M$1,Metadata!$A$2:$A1000,Metadata!$B$2:$B1000))),M$1,"""")"),"")</f>
        <v/>
      </c>
      <c r="N612" s="33" t="str">
        <f>IFERROR(__xludf.DUMMYFUNCTION("IF(IF(N$1="""","""",REGEXMATCH(LOWER($E612),XLOOKUP(N$1,Metadata!$A$2:$A1000,Metadata!$B$2:$B1000))),N$1,"""")"),"")</f>
        <v/>
      </c>
      <c r="O612" s="33" t="str">
        <f>IFERROR(__xludf.DUMMYFUNCTION("IF(IF(O$1="""","""",REGEXMATCH(LOWER($E612),XLOOKUP(O$1,Metadata!$A$2:$A1000,Metadata!$B$2:$B1000))),O$1,"""")"),"")</f>
        <v/>
      </c>
      <c r="P612" s="33" t="str">
        <f>IFERROR(__xludf.DUMMYFUNCTION("IF(IF(P$1="""","""",REGEXMATCH(LOWER($E612),XLOOKUP(P$1,Metadata!$A$2:$A1000,Metadata!$B$2:$B1000))),P$1,"""")"),"")</f>
        <v/>
      </c>
      <c r="Q612" s="33" t="str">
        <f>IFERROR(__xludf.DUMMYFUNCTION("IF(IF(Q$1="""","""",REGEXMATCH(LOWER($E612),XLOOKUP(Q$1,Metadata!$A$2:$A1000,Metadata!$B$2:$B1000))),Q$1,"""")"),"")</f>
        <v/>
      </c>
      <c r="R612" s="33" t="str">
        <f>IFERROR(__xludf.DUMMYFUNCTION("IF(IF(R$1="""","""",REGEXMATCH(LOWER($E612),XLOOKUP(R$1,Metadata!$A$2:$A1000,Metadata!$B$2:$B1000))),R$1,"""")"),"")</f>
        <v/>
      </c>
      <c r="S612" s="33" t="str">
        <f>IFERROR(__xludf.DUMMYFUNCTION("IF(IF(S$1="""","""",REGEXMATCH(LOWER($E612),XLOOKUP(S$1,Metadata!$A$2:$A1000,Metadata!$B$2:$B1000))),S$1,"""")"),"")</f>
        <v/>
      </c>
      <c r="T612" s="33" t="str">
        <f>IFERROR(__xludf.DUMMYFUNCTION("IF(IF(T$1="""","""",REGEXMATCH(LOWER($E612),XLOOKUP(T$1,Metadata!$A$2:$A1000,Metadata!$B$2:$B1000))),T$1,"""")"),"")</f>
        <v/>
      </c>
      <c r="U612" s="33" t="str">
        <f>IFERROR(__xludf.DUMMYFUNCTION("IF(IF(U$1="""","""",REGEXMATCH(LOWER($E612),XLOOKUP(U$1,Metadata!$A$2:$A1000,Metadata!$B$2:$B1000))),U$1,"""")"),"")</f>
        <v/>
      </c>
      <c r="V612" s="33" t="str">
        <f>IFERROR(__xludf.DUMMYFUNCTION("IF(IF(V$1="""","""",REGEXMATCH(LOWER($E612),XLOOKUP(V$1,Metadata!$A$2:$A1000,Metadata!$B$2:$B1000))),V$1,"""")"),"")</f>
        <v/>
      </c>
      <c r="W612" s="33" t="str">
        <f>IFERROR(__xludf.DUMMYFUNCTION("IF(IF(W$1="""","""",REGEXMATCH(LOWER($E612),XLOOKUP(W$1,Metadata!$A$2:$A1000,Metadata!$B$2:$B1000))),W$1,"""")"),"")</f>
        <v/>
      </c>
      <c r="X612" s="33" t="str">
        <f>IFERROR(__xludf.DUMMYFUNCTION("IF(IF(X$1="""","""",REGEXMATCH(LOWER($E612),XLOOKUP(X$1,Metadata!$A$2:$A1000,Metadata!$B$2:$B1000))),X$1,"""")"),"")</f>
        <v/>
      </c>
      <c r="Y612" s="33" t="str">
        <f>IFERROR(__xludf.DUMMYFUNCTION("IF(IF(Y$1="""","""",REGEXMATCH(LOWER($E612),XLOOKUP(Y$1,Metadata!$A$2:$A1000,Metadata!$B$2:$B1000))),Y$1,"""")"),"")</f>
        <v/>
      </c>
      <c r="Z612" s="33" t="str">
        <f>IFERROR(__xludf.DUMMYFUNCTION("IF(IF(Z$1="""","""",REGEXMATCH(LOWER($E612),XLOOKUP(Z$1,Metadata!$A$2:$A1000,Metadata!$B$2:$B1000))),Z$1,"""")"),"")</f>
        <v/>
      </c>
    </row>
    <row r="613">
      <c r="A613" s="33"/>
      <c r="B613" s="33"/>
      <c r="C613" s="33"/>
      <c r="D613" s="33"/>
      <c r="E613" s="33"/>
      <c r="F613" s="33"/>
      <c r="G613" s="33"/>
      <c r="H613" s="33"/>
      <c r="I613" s="33"/>
      <c r="J613" s="33"/>
      <c r="K613" s="33"/>
      <c r="L613" s="33" t="str">
        <f>IFERROR(__xludf.DUMMYFUNCTION("IF(IF(L$1="""","""",REGEXMATCH(LOWER($E613),XLOOKUP(L$1,Metadata!$A$2:$A1000,Metadata!$B$2:$B1000))),L$1,"""")"),"")</f>
        <v/>
      </c>
      <c r="M613" s="33" t="str">
        <f>IFERROR(__xludf.DUMMYFUNCTION("IF(IF(M$1="""","""",REGEXMATCH(LOWER($E613),XLOOKUP(M$1,Metadata!$A$2:$A1000,Metadata!$B$2:$B1000))),M$1,"""")"),"")</f>
        <v/>
      </c>
      <c r="N613" s="33" t="str">
        <f>IFERROR(__xludf.DUMMYFUNCTION("IF(IF(N$1="""","""",REGEXMATCH(LOWER($E613),XLOOKUP(N$1,Metadata!$A$2:$A1000,Metadata!$B$2:$B1000))),N$1,"""")"),"")</f>
        <v/>
      </c>
      <c r="O613" s="33" t="str">
        <f>IFERROR(__xludf.DUMMYFUNCTION("IF(IF(O$1="""","""",REGEXMATCH(LOWER($E613),XLOOKUP(O$1,Metadata!$A$2:$A1000,Metadata!$B$2:$B1000))),O$1,"""")"),"")</f>
        <v/>
      </c>
      <c r="P613" s="33" t="str">
        <f>IFERROR(__xludf.DUMMYFUNCTION("IF(IF(P$1="""","""",REGEXMATCH(LOWER($E613),XLOOKUP(P$1,Metadata!$A$2:$A1000,Metadata!$B$2:$B1000))),P$1,"""")"),"")</f>
        <v/>
      </c>
      <c r="Q613" s="33" t="str">
        <f>IFERROR(__xludf.DUMMYFUNCTION("IF(IF(Q$1="""","""",REGEXMATCH(LOWER($E613),XLOOKUP(Q$1,Metadata!$A$2:$A1000,Metadata!$B$2:$B1000))),Q$1,"""")"),"")</f>
        <v/>
      </c>
      <c r="R613" s="33" t="str">
        <f>IFERROR(__xludf.DUMMYFUNCTION("IF(IF(R$1="""","""",REGEXMATCH(LOWER($E613),XLOOKUP(R$1,Metadata!$A$2:$A1000,Metadata!$B$2:$B1000))),R$1,"""")"),"")</f>
        <v/>
      </c>
      <c r="S613" s="33" t="str">
        <f>IFERROR(__xludf.DUMMYFUNCTION("IF(IF(S$1="""","""",REGEXMATCH(LOWER($E613),XLOOKUP(S$1,Metadata!$A$2:$A1000,Metadata!$B$2:$B1000))),S$1,"""")"),"")</f>
        <v/>
      </c>
      <c r="T613" s="33" t="str">
        <f>IFERROR(__xludf.DUMMYFUNCTION("IF(IF(T$1="""","""",REGEXMATCH(LOWER($E613),XLOOKUP(T$1,Metadata!$A$2:$A1000,Metadata!$B$2:$B1000))),T$1,"""")"),"")</f>
        <v/>
      </c>
      <c r="U613" s="33" t="str">
        <f>IFERROR(__xludf.DUMMYFUNCTION("IF(IF(U$1="""","""",REGEXMATCH(LOWER($E613),XLOOKUP(U$1,Metadata!$A$2:$A1000,Metadata!$B$2:$B1000))),U$1,"""")"),"")</f>
        <v/>
      </c>
      <c r="V613" s="33" t="str">
        <f>IFERROR(__xludf.DUMMYFUNCTION("IF(IF(V$1="""","""",REGEXMATCH(LOWER($E613),XLOOKUP(V$1,Metadata!$A$2:$A1000,Metadata!$B$2:$B1000))),V$1,"""")"),"")</f>
        <v/>
      </c>
      <c r="W613" s="33" t="str">
        <f>IFERROR(__xludf.DUMMYFUNCTION("IF(IF(W$1="""","""",REGEXMATCH(LOWER($E613),XLOOKUP(W$1,Metadata!$A$2:$A1000,Metadata!$B$2:$B1000))),W$1,"""")"),"")</f>
        <v/>
      </c>
      <c r="X613" s="33" t="str">
        <f>IFERROR(__xludf.DUMMYFUNCTION("IF(IF(X$1="""","""",REGEXMATCH(LOWER($E613),XLOOKUP(X$1,Metadata!$A$2:$A1000,Metadata!$B$2:$B1000))),X$1,"""")"),"")</f>
        <v/>
      </c>
      <c r="Y613" s="33" t="str">
        <f>IFERROR(__xludf.DUMMYFUNCTION("IF(IF(Y$1="""","""",REGEXMATCH(LOWER($E613),XLOOKUP(Y$1,Metadata!$A$2:$A1000,Metadata!$B$2:$B1000))),Y$1,"""")"),"")</f>
        <v/>
      </c>
      <c r="Z613" s="33" t="str">
        <f>IFERROR(__xludf.DUMMYFUNCTION("IF(IF(Z$1="""","""",REGEXMATCH(LOWER($E613),XLOOKUP(Z$1,Metadata!$A$2:$A1000,Metadata!$B$2:$B1000))),Z$1,"""")"),"")</f>
        <v/>
      </c>
    </row>
    <row r="614">
      <c r="A614" s="33"/>
      <c r="B614" s="33"/>
      <c r="C614" s="33"/>
      <c r="D614" s="33"/>
      <c r="E614" s="33"/>
      <c r="F614" s="33"/>
      <c r="G614" s="33"/>
      <c r="H614" s="33"/>
      <c r="I614" s="33"/>
      <c r="J614" s="33"/>
      <c r="K614" s="33"/>
      <c r="L614" s="33" t="str">
        <f>IFERROR(__xludf.DUMMYFUNCTION("IF(IF(L$1="""","""",REGEXMATCH(LOWER($E614),XLOOKUP(L$1,Metadata!$A$2:$A1000,Metadata!$B$2:$B1000))),L$1,"""")"),"")</f>
        <v/>
      </c>
      <c r="M614" s="33" t="str">
        <f>IFERROR(__xludf.DUMMYFUNCTION("IF(IF(M$1="""","""",REGEXMATCH(LOWER($E614),XLOOKUP(M$1,Metadata!$A$2:$A1000,Metadata!$B$2:$B1000))),M$1,"""")"),"")</f>
        <v/>
      </c>
      <c r="N614" s="33" t="str">
        <f>IFERROR(__xludf.DUMMYFUNCTION("IF(IF(N$1="""","""",REGEXMATCH(LOWER($E614),XLOOKUP(N$1,Metadata!$A$2:$A1000,Metadata!$B$2:$B1000))),N$1,"""")"),"")</f>
        <v/>
      </c>
      <c r="O614" s="33" t="str">
        <f>IFERROR(__xludf.DUMMYFUNCTION("IF(IF(O$1="""","""",REGEXMATCH(LOWER($E614),XLOOKUP(O$1,Metadata!$A$2:$A1000,Metadata!$B$2:$B1000))),O$1,"""")"),"")</f>
        <v/>
      </c>
      <c r="P614" s="33" t="str">
        <f>IFERROR(__xludf.DUMMYFUNCTION("IF(IF(P$1="""","""",REGEXMATCH(LOWER($E614),XLOOKUP(P$1,Metadata!$A$2:$A1000,Metadata!$B$2:$B1000))),P$1,"""")"),"")</f>
        <v/>
      </c>
      <c r="Q614" s="33" t="str">
        <f>IFERROR(__xludf.DUMMYFUNCTION("IF(IF(Q$1="""","""",REGEXMATCH(LOWER($E614),XLOOKUP(Q$1,Metadata!$A$2:$A1000,Metadata!$B$2:$B1000))),Q$1,"""")"),"")</f>
        <v/>
      </c>
      <c r="R614" s="33" t="str">
        <f>IFERROR(__xludf.DUMMYFUNCTION("IF(IF(R$1="""","""",REGEXMATCH(LOWER($E614),XLOOKUP(R$1,Metadata!$A$2:$A1000,Metadata!$B$2:$B1000))),R$1,"""")"),"")</f>
        <v/>
      </c>
      <c r="S614" s="33" t="str">
        <f>IFERROR(__xludf.DUMMYFUNCTION("IF(IF(S$1="""","""",REGEXMATCH(LOWER($E614),XLOOKUP(S$1,Metadata!$A$2:$A1000,Metadata!$B$2:$B1000))),S$1,"""")"),"")</f>
        <v/>
      </c>
      <c r="T614" s="33" t="str">
        <f>IFERROR(__xludf.DUMMYFUNCTION("IF(IF(T$1="""","""",REGEXMATCH(LOWER($E614),XLOOKUP(T$1,Metadata!$A$2:$A1000,Metadata!$B$2:$B1000))),T$1,"""")"),"")</f>
        <v/>
      </c>
      <c r="U614" s="33" t="str">
        <f>IFERROR(__xludf.DUMMYFUNCTION("IF(IF(U$1="""","""",REGEXMATCH(LOWER($E614),XLOOKUP(U$1,Metadata!$A$2:$A1000,Metadata!$B$2:$B1000))),U$1,"""")"),"")</f>
        <v/>
      </c>
      <c r="V614" s="33" t="str">
        <f>IFERROR(__xludf.DUMMYFUNCTION("IF(IF(V$1="""","""",REGEXMATCH(LOWER($E614),XLOOKUP(V$1,Metadata!$A$2:$A1000,Metadata!$B$2:$B1000))),V$1,"""")"),"")</f>
        <v/>
      </c>
      <c r="W614" s="33" t="str">
        <f>IFERROR(__xludf.DUMMYFUNCTION("IF(IF(W$1="""","""",REGEXMATCH(LOWER($E614),XLOOKUP(W$1,Metadata!$A$2:$A1000,Metadata!$B$2:$B1000))),W$1,"""")"),"")</f>
        <v/>
      </c>
      <c r="X614" s="33" t="str">
        <f>IFERROR(__xludf.DUMMYFUNCTION("IF(IF(X$1="""","""",REGEXMATCH(LOWER($E614),XLOOKUP(X$1,Metadata!$A$2:$A1000,Metadata!$B$2:$B1000))),X$1,"""")"),"")</f>
        <v/>
      </c>
      <c r="Y614" s="33" t="str">
        <f>IFERROR(__xludf.DUMMYFUNCTION("IF(IF(Y$1="""","""",REGEXMATCH(LOWER($E614),XLOOKUP(Y$1,Metadata!$A$2:$A1000,Metadata!$B$2:$B1000))),Y$1,"""")"),"")</f>
        <v/>
      </c>
      <c r="Z614" s="33" t="str">
        <f>IFERROR(__xludf.DUMMYFUNCTION("IF(IF(Z$1="""","""",REGEXMATCH(LOWER($E614),XLOOKUP(Z$1,Metadata!$A$2:$A1000,Metadata!$B$2:$B1000))),Z$1,"""")"),"")</f>
        <v/>
      </c>
    </row>
    <row r="615">
      <c r="A615" s="33"/>
      <c r="B615" s="33"/>
      <c r="C615" s="33"/>
      <c r="D615" s="33"/>
      <c r="E615" s="33"/>
      <c r="F615" s="33"/>
      <c r="G615" s="33"/>
      <c r="H615" s="33"/>
      <c r="I615" s="33"/>
      <c r="J615" s="33"/>
      <c r="K615" s="33"/>
      <c r="L615" s="33" t="str">
        <f>IFERROR(__xludf.DUMMYFUNCTION("IF(IF(L$1="""","""",REGEXMATCH(LOWER($E615),XLOOKUP(L$1,Metadata!$A$2:$A1000,Metadata!$B$2:$B1000))),L$1,"""")"),"")</f>
        <v/>
      </c>
      <c r="M615" s="33" t="str">
        <f>IFERROR(__xludf.DUMMYFUNCTION("IF(IF(M$1="""","""",REGEXMATCH(LOWER($E615),XLOOKUP(M$1,Metadata!$A$2:$A1000,Metadata!$B$2:$B1000))),M$1,"""")"),"")</f>
        <v/>
      </c>
      <c r="N615" s="33" t="str">
        <f>IFERROR(__xludf.DUMMYFUNCTION("IF(IF(N$1="""","""",REGEXMATCH(LOWER($E615),XLOOKUP(N$1,Metadata!$A$2:$A1000,Metadata!$B$2:$B1000))),N$1,"""")"),"")</f>
        <v/>
      </c>
      <c r="O615" s="33" t="str">
        <f>IFERROR(__xludf.DUMMYFUNCTION("IF(IF(O$1="""","""",REGEXMATCH(LOWER($E615),XLOOKUP(O$1,Metadata!$A$2:$A1000,Metadata!$B$2:$B1000))),O$1,"""")"),"")</f>
        <v/>
      </c>
      <c r="P615" s="33" t="str">
        <f>IFERROR(__xludf.DUMMYFUNCTION("IF(IF(P$1="""","""",REGEXMATCH(LOWER($E615),XLOOKUP(P$1,Metadata!$A$2:$A1000,Metadata!$B$2:$B1000))),P$1,"""")"),"")</f>
        <v/>
      </c>
      <c r="Q615" s="33" t="str">
        <f>IFERROR(__xludf.DUMMYFUNCTION("IF(IF(Q$1="""","""",REGEXMATCH(LOWER($E615),XLOOKUP(Q$1,Metadata!$A$2:$A1000,Metadata!$B$2:$B1000))),Q$1,"""")"),"")</f>
        <v/>
      </c>
      <c r="R615" s="33" t="str">
        <f>IFERROR(__xludf.DUMMYFUNCTION("IF(IF(R$1="""","""",REGEXMATCH(LOWER($E615),XLOOKUP(R$1,Metadata!$A$2:$A1000,Metadata!$B$2:$B1000))),R$1,"""")"),"")</f>
        <v/>
      </c>
      <c r="S615" s="33" t="str">
        <f>IFERROR(__xludf.DUMMYFUNCTION("IF(IF(S$1="""","""",REGEXMATCH(LOWER($E615),XLOOKUP(S$1,Metadata!$A$2:$A1000,Metadata!$B$2:$B1000))),S$1,"""")"),"")</f>
        <v/>
      </c>
      <c r="T615" s="33" t="str">
        <f>IFERROR(__xludf.DUMMYFUNCTION("IF(IF(T$1="""","""",REGEXMATCH(LOWER($E615),XLOOKUP(T$1,Metadata!$A$2:$A1000,Metadata!$B$2:$B1000))),T$1,"""")"),"")</f>
        <v/>
      </c>
      <c r="U615" s="33" t="str">
        <f>IFERROR(__xludf.DUMMYFUNCTION("IF(IF(U$1="""","""",REGEXMATCH(LOWER($E615),XLOOKUP(U$1,Metadata!$A$2:$A1000,Metadata!$B$2:$B1000))),U$1,"""")"),"")</f>
        <v/>
      </c>
      <c r="V615" s="33" t="str">
        <f>IFERROR(__xludf.DUMMYFUNCTION("IF(IF(V$1="""","""",REGEXMATCH(LOWER($E615),XLOOKUP(V$1,Metadata!$A$2:$A1000,Metadata!$B$2:$B1000))),V$1,"""")"),"")</f>
        <v/>
      </c>
      <c r="W615" s="33" t="str">
        <f>IFERROR(__xludf.DUMMYFUNCTION("IF(IF(W$1="""","""",REGEXMATCH(LOWER($E615),XLOOKUP(W$1,Metadata!$A$2:$A1000,Metadata!$B$2:$B1000))),W$1,"""")"),"")</f>
        <v/>
      </c>
      <c r="X615" s="33" t="str">
        <f>IFERROR(__xludf.DUMMYFUNCTION("IF(IF(X$1="""","""",REGEXMATCH(LOWER($E615),XLOOKUP(X$1,Metadata!$A$2:$A1000,Metadata!$B$2:$B1000))),X$1,"""")"),"")</f>
        <v/>
      </c>
      <c r="Y615" s="33" t="str">
        <f>IFERROR(__xludf.DUMMYFUNCTION("IF(IF(Y$1="""","""",REGEXMATCH(LOWER($E615),XLOOKUP(Y$1,Metadata!$A$2:$A1000,Metadata!$B$2:$B1000))),Y$1,"""")"),"")</f>
        <v/>
      </c>
      <c r="Z615" s="33" t="str">
        <f>IFERROR(__xludf.DUMMYFUNCTION("IF(IF(Z$1="""","""",REGEXMATCH(LOWER($E615),XLOOKUP(Z$1,Metadata!$A$2:$A1000,Metadata!$B$2:$B1000))),Z$1,"""")"),"")</f>
        <v/>
      </c>
    </row>
    <row r="616">
      <c r="A616" s="33"/>
      <c r="B616" s="33"/>
      <c r="C616" s="33"/>
      <c r="D616" s="33"/>
      <c r="E616" s="33"/>
      <c r="F616" s="33"/>
      <c r="G616" s="33"/>
      <c r="H616" s="33"/>
      <c r="I616" s="33"/>
      <c r="J616" s="33"/>
      <c r="K616" s="33"/>
      <c r="L616" s="33" t="str">
        <f>IFERROR(__xludf.DUMMYFUNCTION("IF(IF(L$1="""","""",REGEXMATCH(LOWER($E616),XLOOKUP(L$1,Metadata!$A$2:$A1000,Metadata!$B$2:$B1000))),L$1,"""")"),"")</f>
        <v/>
      </c>
      <c r="M616" s="33" t="str">
        <f>IFERROR(__xludf.DUMMYFUNCTION("IF(IF(M$1="""","""",REGEXMATCH(LOWER($E616),XLOOKUP(M$1,Metadata!$A$2:$A1000,Metadata!$B$2:$B1000))),M$1,"""")"),"")</f>
        <v/>
      </c>
      <c r="N616" s="33" t="str">
        <f>IFERROR(__xludf.DUMMYFUNCTION("IF(IF(N$1="""","""",REGEXMATCH(LOWER($E616),XLOOKUP(N$1,Metadata!$A$2:$A1000,Metadata!$B$2:$B1000))),N$1,"""")"),"")</f>
        <v/>
      </c>
      <c r="O616" s="33" t="str">
        <f>IFERROR(__xludf.DUMMYFUNCTION("IF(IF(O$1="""","""",REGEXMATCH(LOWER($E616),XLOOKUP(O$1,Metadata!$A$2:$A1000,Metadata!$B$2:$B1000))),O$1,"""")"),"")</f>
        <v/>
      </c>
      <c r="P616" s="33" t="str">
        <f>IFERROR(__xludf.DUMMYFUNCTION("IF(IF(P$1="""","""",REGEXMATCH(LOWER($E616),XLOOKUP(P$1,Metadata!$A$2:$A1000,Metadata!$B$2:$B1000))),P$1,"""")"),"")</f>
        <v/>
      </c>
      <c r="Q616" s="33" t="str">
        <f>IFERROR(__xludf.DUMMYFUNCTION("IF(IF(Q$1="""","""",REGEXMATCH(LOWER($E616),XLOOKUP(Q$1,Metadata!$A$2:$A1000,Metadata!$B$2:$B1000))),Q$1,"""")"),"")</f>
        <v/>
      </c>
      <c r="R616" s="33" t="str">
        <f>IFERROR(__xludf.DUMMYFUNCTION("IF(IF(R$1="""","""",REGEXMATCH(LOWER($E616),XLOOKUP(R$1,Metadata!$A$2:$A1000,Metadata!$B$2:$B1000))),R$1,"""")"),"")</f>
        <v/>
      </c>
      <c r="S616" s="33" t="str">
        <f>IFERROR(__xludf.DUMMYFUNCTION("IF(IF(S$1="""","""",REGEXMATCH(LOWER($E616),XLOOKUP(S$1,Metadata!$A$2:$A1000,Metadata!$B$2:$B1000))),S$1,"""")"),"")</f>
        <v/>
      </c>
      <c r="T616" s="33" t="str">
        <f>IFERROR(__xludf.DUMMYFUNCTION("IF(IF(T$1="""","""",REGEXMATCH(LOWER($E616),XLOOKUP(T$1,Metadata!$A$2:$A1000,Metadata!$B$2:$B1000))),T$1,"""")"),"")</f>
        <v/>
      </c>
      <c r="U616" s="33" t="str">
        <f>IFERROR(__xludf.DUMMYFUNCTION("IF(IF(U$1="""","""",REGEXMATCH(LOWER($E616),XLOOKUP(U$1,Metadata!$A$2:$A1000,Metadata!$B$2:$B1000))),U$1,"""")"),"")</f>
        <v/>
      </c>
      <c r="V616" s="33" t="str">
        <f>IFERROR(__xludf.DUMMYFUNCTION("IF(IF(V$1="""","""",REGEXMATCH(LOWER($E616),XLOOKUP(V$1,Metadata!$A$2:$A1000,Metadata!$B$2:$B1000))),V$1,"""")"),"")</f>
        <v/>
      </c>
      <c r="W616" s="33" t="str">
        <f>IFERROR(__xludf.DUMMYFUNCTION("IF(IF(W$1="""","""",REGEXMATCH(LOWER($E616),XLOOKUP(W$1,Metadata!$A$2:$A1000,Metadata!$B$2:$B1000))),W$1,"""")"),"")</f>
        <v/>
      </c>
      <c r="X616" s="33" t="str">
        <f>IFERROR(__xludf.DUMMYFUNCTION("IF(IF(X$1="""","""",REGEXMATCH(LOWER($E616),XLOOKUP(X$1,Metadata!$A$2:$A1000,Metadata!$B$2:$B1000))),X$1,"""")"),"")</f>
        <v/>
      </c>
      <c r="Y616" s="33" t="str">
        <f>IFERROR(__xludf.DUMMYFUNCTION("IF(IF(Y$1="""","""",REGEXMATCH(LOWER($E616),XLOOKUP(Y$1,Metadata!$A$2:$A1000,Metadata!$B$2:$B1000))),Y$1,"""")"),"")</f>
        <v/>
      </c>
      <c r="Z616" s="33" t="str">
        <f>IFERROR(__xludf.DUMMYFUNCTION("IF(IF(Z$1="""","""",REGEXMATCH(LOWER($E616),XLOOKUP(Z$1,Metadata!$A$2:$A1000,Metadata!$B$2:$B1000))),Z$1,"""")"),"")</f>
        <v/>
      </c>
    </row>
    <row r="617">
      <c r="A617" s="33"/>
      <c r="B617" s="33"/>
      <c r="C617" s="33"/>
      <c r="D617" s="33"/>
      <c r="E617" s="33"/>
      <c r="F617" s="33"/>
      <c r="G617" s="33"/>
      <c r="H617" s="33"/>
      <c r="I617" s="33"/>
      <c r="J617" s="33"/>
      <c r="K617" s="33"/>
      <c r="L617" s="33" t="str">
        <f>IFERROR(__xludf.DUMMYFUNCTION("IF(IF(L$1="""","""",REGEXMATCH(LOWER($E617),XLOOKUP(L$1,Metadata!$A$2:$A1000,Metadata!$B$2:$B1000))),L$1,"""")"),"")</f>
        <v/>
      </c>
      <c r="M617" s="33" t="str">
        <f>IFERROR(__xludf.DUMMYFUNCTION("IF(IF(M$1="""","""",REGEXMATCH(LOWER($E617),XLOOKUP(M$1,Metadata!$A$2:$A1000,Metadata!$B$2:$B1000))),M$1,"""")"),"")</f>
        <v/>
      </c>
      <c r="N617" s="33" t="str">
        <f>IFERROR(__xludf.DUMMYFUNCTION("IF(IF(N$1="""","""",REGEXMATCH(LOWER($E617),XLOOKUP(N$1,Metadata!$A$2:$A1000,Metadata!$B$2:$B1000))),N$1,"""")"),"")</f>
        <v/>
      </c>
      <c r="O617" s="33" t="str">
        <f>IFERROR(__xludf.DUMMYFUNCTION("IF(IF(O$1="""","""",REGEXMATCH(LOWER($E617),XLOOKUP(O$1,Metadata!$A$2:$A1000,Metadata!$B$2:$B1000))),O$1,"""")"),"")</f>
        <v/>
      </c>
      <c r="P617" s="33" t="str">
        <f>IFERROR(__xludf.DUMMYFUNCTION("IF(IF(P$1="""","""",REGEXMATCH(LOWER($E617),XLOOKUP(P$1,Metadata!$A$2:$A1000,Metadata!$B$2:$B1000))),P$1,"""")"),"")</f>
        <v/>
      </c>
      <c r="Q617" s="33" t="str">
        <f>IFERROR(__xludf.DUMMYFUNCTION("IF(IF(Q$1="""","""",REGEXMATCH(LOWER($E617),XLOOKUP(Q$1,Metadata!$A$2:$A1000,Metadata!$B$2:$B1000))),Q$1,"""")"),"")</f>
        <v/>
      </c>
      <c r="R617" s="33" t="str">
        <f>IFERROR(__xludf.DUMMYFUNCTION("IF(IF(R$1="""","""",REGEXMATCH(LOWER($E617),XLOOKUP(R$1,Metadata!$A$2:$A1000,Metadata!$B$2:$B1000))),R$1,"""")"),"")</f>
        <v/>
      </c>
      <c r="S617" s="33" t="str">
        <f>IFERROR(__xludf.DUMMYFUNCTION("IF(IF(S$1="""","""",REGEXMATCH(LOWER($E617),XLOOKUP(S$1,Metadata!$A$2:$A1000,Metadata!$B$2:$B1000))),S$1,"""")"),"")</f>
        <v/>
      </c>
      <c r="T617" s="33" t="str">
        <f>IFERROR(__xludf.DUMMYFUNCTION("IF(IF(T$1="""","""",REGEXMATCH(LOWER($E617),XLOOKUP(T$1,Metadata!$A$2:$A1000,Metadata!$B$2:$B1000))),T$1,"""")"),"")</f>
        <v/>
      </c>
      <c r="U617" s="33" t="str">
        <f>IFERROR(__xludf.DUMMYFUNCTION("IF(IF(U$1="""","""",REGEXMATCH(LOWER($E617),XLOOKUP(U$1,Metadata!$A$2:$A1000,Metadata!$B$2:$B1000))),U$1,"""")"),"")</f>
        <v/>
      </c>
      <c r="V617" s="33" t="str">
        <f>IFERROR(__xludf.DUMMYFUNCTION("IF(IF(V$1="""","""",REGEXMATCH(LOWER($E617),XLOOKUP(V$1,Metadata!$A$2:$A1000,Metadata!$B$2:$B1000))),V$1,"""")"),"")</f>
        <v/>
      </c>
      <c r="W617" s="33" t="str">
        <f>IFERROR(__xludf.DUMMYFUNCTION("IF(IF(W$1="""","""",REGEXMATCH(LOWER($E617),XLOOKUP(W$1,Metadata!$A$2:$A1000,Metadata!$B$2:$B1000))),W$1,"""")"),"")</f>
        <v/>
      </c>
      <c r="X617" s="33" t="str">
        <f>IFERROR(__xludf.DUMMYFUNCTION("IF(IF(X$1="""","""",REGEXMATCH(LOWER($E617),XLOOKUP(X$1,Metadata!$A$2:$A1000,Metadata!$B$2:$B1000))),X$1,"""")"),"")</f>
        <v/>
      </c>
      <c r="Y617" s="33" t="str">
        <f>IFERROR(__xludf.DUMMYFUNCTION("IF(IF(Y$1="""","""",REGEXMATCH(LOWER($E617),XLOOKUP(Y$1,Metadata!$A$2:$A1000,Metadata!$B$2:$B1000))),Y$1,"""")"),"")</f>
        <v/>
      </c>
      <c r="Z617" s="33" t="str">
        <f>IFERROR(__xludf.DUMMYFUNCTION("IF(IF(Z$1="""","""",REGEXMATCH(LOWER($E617),XLOOKUP(Z$1,Metadata!$A$2:$A1000,Metadata!$B$2:$B1000))),Z$1,"""")"),"")</f>
        <v/>
      </c>
    </row>
    <row r="618">
      <c r="A618" s="33"/>
      <c r="B618" s="33"/>
      <c r="C618" s="33"/>
      <c r="D618" s="33"/>
      <c r="E618" s="33"/>
      <c r="F618" s="33"/>
      <c r="G618" s="33"/>
      <c r="H618" s="33"/>
      <c r="I618" s="33"/>
      <c r="J618" s="33"/>
      <c r="K618" s="33"/>
      <c r="L618" s="33" t="str">
        <f>IFERROR(__xludf.DUMMYFUNCTION("IF(IF(L$1="""","""",REGEXMATCH(LOWER($E618),XLOOKUP(L$1,Metadata!$A$2:$A1000,Metadata!$B$2:$B1000))),L$1,"""")"),"")</f>
        <v/>
      </c>
      <c r="M618" s="33" t="str">
        <f>IFERROR(__xludf.DUMMYFUNCTION("IF(IF(M$1="""","""",REGEXMATCH(LOWER($E618),XLOOKUP(M$1,Metadata!$A$2:$A1000,Metadata!$B$2:$B1000))),M$1,"""")"),"")</f>
        <v/>
      </c>
      <c r="N618" s="33" t="str">
        <f>IFERROR(__xludf.DUMMYFUNCTION("IF(IF(N$1="""","""",REGEXMATCH(LOWER($E618),XLOOKUP(N$1,Metadata!$A$2:$A1000,Metadata!$B$2:$B1000))),N$1,"""")"),"")</f>
        <v/>
      </c>
      <c r="O618" s="33" t="str">
        <f>IFERROR(__xludf.DUMMYFUNCTION("IF(IF(O$1="""","""",REGEXMATCH(LOWER($E618),XLOOKUP(O$1,Metadata!$A$2:$A1000,Metadata!$B$2:$B1000))),O$1,"""")"),"")</f>
        <v/>
      </c>
      <c r="P618" s="33" t="str">
        <f>IFERROR(__xludf.DUMMYFUNCTION("IF(IF(P$1="""","""",REGEXMATCH(LOWER($E618),XLOOKUP(P$1,Metadata!$A$2:$A1000,Metadata!$B$2:$B1000))),P$1,"""")"),"")</f>
        <v/>
      </c>
      <c r="Q618" s="33" t="str">
        <f>IFERROR(__xludf.DUMMYFUNCTION("IF(IF(Q$1="""","""",REGEXMATCH(LOWER($E618),XLOOKUP(Q$1,Metadata!$A$2:$A1000,Metadata!$B$2:$B1000))),Q$1,"""")"),"")</f>
        <v/>
      </c>
      <c r="R618" s="33" t="str">
        <f>IFERROR(__xludf.DUMMYFUNCTION("IF(IF(R$1="""","""",REGEXMATCH(LOWER($E618),XLOOKUP(R$1,Metadata!$A$2:$A1000,Metadata!$B$2:$B1000))),R$1,"""")"),"")</f>
        <v/>
      </c>
      <c r="S618" s="33" t="str">
        <f>IFERROR(__xludf.DUMMYFUNCTION("IF(IF(S$1="""","""",REGEXMATCH(LOWER($E618),XLOOKUP(S$1,Metadata!$A$2:$A1000,Metadata!$B$2:$B1000))),S$1,"""")"),"")</f>
        <v/>
      </c>
      <c r="T618" s="33" t="str">
        <f>IFERROR(__xludf.DUMMYFUNCTION("IF(IF(T$1="""","""",REGEXMATCH(LOWER($E618),XLOOKUP(T$1,Metadata!$A$2:$A1000,Metadata!$B$2:$B1000))),T$1,"""")"),"")</f>
        <v/>
      </c>
      <c r="U618" s="33" t="str">
        <f>IFERROR(__xludf.DUMMYFUNCTION("IF(IF(U$1="""","""",REGEXMATCH(LOWER($E618),XLOOKUP(U$1,Metadata!$A$2:$A1000,Metadata!$B$2:$B1000))),U$1,"""")"),"")</f>
        <v/>
      </c>
      <c r="V618" s="33" t="str">
        <f>IFERROR(__xludf.DUMMYFUNCTION("IF(IF(V$1="""","""",REGEXMATCH(LOWER($E618),XLOOKUP(V$1,Metadata!$A$2:$A1000,Metadata!$B$2:$B1000))),V$1,"""")"),"")</f>
        <v/>
      </c>
      <c r="W618" s="33" t="str">
        <f>IFERROR(__xludf.DUMMYFUNCTION("IF(IF(W$1="""","""",REGEXMATCH(LOWER($E618),XLOOKUP(W$1,Metadata!$A$2:$A1000,Metadata!$B$2:$B1000))),W$1,"""")"),"")</f>
        <v/>
      </c>
      <c r="X618" s="33" t="str">
        <f>IFERROR(__xludf.DUMMYFUNCTION("IF(IF(X$1="""","""",REGEXMATCH(LOWER($E618),XLOOKUP(X$1,Metadata!$A$2:$A1000,Metadata!$B$2:$B1000))),X$1,"""")"),"")</f>
        <v/>
      </c>
      <c r="Y618" s="33" t="str">
        <f>IFERROR(__xludf.DUMMYFUNCTION("IF(IF(Y$1="""","""",REGEXMATCH(LOWER($E618),XLOOKUP(Y$1,Metadata!$A$2:$A1000,Metadata!$B$2:$B1000))),Y$1,"""")"),"")</f>
        <v/>
      </c>
      <c r="Z618" s="33" t="str">
        <f>IFERROR(__xludf.DUMMYFUNCTION("IF(IF(Z$1="""","""",REGEXMATCH(LOWER($E618),XLOOKUP(Z$1,Metadata!$A$2:$A1000,Metadata!$B$2:$B1000))),Z$1,"""")"),"")</f>
        <v/>
      </c>
    </row>
    <row r="619">
      <c r="A619" s="33"/>
      <c r="B619" s="33"/>
      <c r="C619" s="33"/>
      <c r="D619" s="33"/>
      <c r="E619" s="33"/>
      <c r="F619" s="33"/>
      <c r="G619" s="33"/>
      <c r="H619" s="33"/>
      <c r="I619" s="33"/>
      <c r="J619" s="33"/>
      <c r="K619" s="33"/>
      <c r="L619" s="33" t="str">
        <f>IFERROR(__xludf.DUMMYFUNCTION("IF(IF(L$1="""","""",REGEXMATCH(LOWER($E619),XLOOKUP(L$1,Metadata!$A$2:$A1000,Metadata!$B$2:$B1000))),L$1,"""")"),"")</f>
        <v/>
      </c>
      <c r="M619" s="33" t="str">
        <f>IFERROR(__xludf.DUMMYFUNCTION("IF(IF(M$1="""","""",REGEXMATCH(LOWER($E619),XLOOKUP(M$1,Metadata!$A$2:$A1000,Metadata!$B$2:$B1000))),M$1,"""")"),"")</f>
        <v/>
      </c>
      <c r="N619" s="33" t="str">
        <f>IFERROR(__xludf.DUMMYFUNCTION("IF(IF(N$1="""","""",REGEXMATCH(LOWER($E619),XLOOKUP(N$1,Metadata!$A$2:$A1000,Metadata!$B$2:$B1000))),N$1,"""")"),"")</f>
        <v/>
      </c>
      <c r="O619" s="33" t="str">
        <f>IFERROR(__xludf.DUMMYFUNCTION("IF(IF(O$1="""","""",REGEXMATCH(LOWER($E619),XLOOKUP(O$1,Metadata!$A$2:$A1000,Metadata!$B$2:$B1000))),O$1,"""")"),"")</f>
        <v/>
      </c>
      <c r="P619" s="33" t="str">
        <f>IFERROR(__xludf.DUMMYFUNCTION("IF(IF(P$1="""","""",REGEXMATCH(LOWER($E619),XLOOKUP(P$1,Metadata!$A$2:$A1000,Metadata!$B$2:$B1000))),P$1,"""")"),"")</f>
        <v/>
      </c>
      <c r="Q619" s="33" t="str">
        <f>IFERROR(__xludf.DUMMYFUNCTION("IF(IF(Q$1="""","""",REGEXMATCH(LOWER($E619),XLOOKUP(Q$1,Metadata!$A$2:$A1000,Metadata!$B$2:$B1000))),Q$1,"""")"),"")</f>
        <v/>
      </c>
      <c r="R619" s="33" t="str">
        <f>IFERROR(__xludf.DUMMYFUNCTION("IF(IF(R$1="""","""",REGEXMATCH(LOWER($E619),XLOOKUP(R$1,Metadata!$A$2:$A1000,Metadata!$B$2:$B1000))),R$1,"""")"),"")</f>
        <v/>
      </c>
      <c r="S619" s="33" t="str">
        <f>IFERROR(__xludf.DUMMYFUNCTION("IF(IF(S$1="""","""",REGEXMATCH(LOWER($E619),XLOOKUP(S$1,Metadata!$A$2:$A1000,Metadata!$B$2:$B1000))),S$1,"""")"),"")</f>
        <v/>
      </c>
      <c r="T619" s="33" t="str">
        <f>IFERROR(__xludf.DUMMYFUNCTION("IF(IF(T$1="""","""",REGEXMATCH(LOWER($E619),XLOOKUP(T$1,Metadata!$A$2:$A1000,Metadata!$B$2:$B1000))),T$1,"""")"),"")</f>
        <v/>
      </c>
      <c r="U619" s="33" t="str">
        <f>IFERROR(__xludf.DUMMYFUNCTION("IF(IF(U$1="""","""",REGEXMATCH(LOWER($E619),XLOOKUP(U$1,Metadata!$A$2:$A1000,Metadata!$B$2:$B1000))),U$1,"""")"),"")</f>
        <v/>
      </c>
      <c r="V619" s="33" t="str">
        <f>IFERROR(__xludf.DUMMYFUNCTION("IF(IF(V$1="""","""",REGEXMATCH(LOWER($E619),XLOOKUP(V$1,Metadata!$A$2:$A1000,Metadata!$B$2:$B1000))),V$1,"""")"),"")</f>
        <v/>
      </c>
      <c r="W619" s="33" t="str">
        <f>IFERROR(__xludf.DUMMYFUNCTION("IF(IF(W$1="""","""",REGEXMATCH(LOWER($E619),XLOOKUP(W$1,Metadata!$A$2:$A1000,Metadata!$B$2:$B1000))),W$1,"""")"),"")</f>
        <v/>
      </c>
      <c r="X619" s="33" t="str">
        <f>IFERROR(__xludf.DUMMYFUNCTION("IF(IF(X$1="""","""",REGEXMATCH(LOWER($E619),XLOOKUP(X$1,Metadata!$A$2:$A1000,Metadata!$B$2:$B1000))),X$1,"""")"),"")</f>
        <v/>
      </c>
      <c r="Y619" s="33" t="str">
        <f>IFERROR(__xludf.DUMMYFUNCTION("IF(IF(Y$1="""","""",REGEXMATCH(LOWER($E619),XLOOKUP(Y$1,Metadata!$A$2:$A1000,Metadata!$B$2:$B1000))),Y$1,"""")"),"")</f>
        <v/>
      </c>
      <c r="Z619" s="33" t="str">
        <f>IFERROR(__xludf.DUMMYFUNCTION("IF(IF(Z$1="""","""",REGEXMATCH(LOWER($E619),XLOOKUP(Z$1,Metadata!$A$2:$A1000,Metadata!$B$2:$B1000))),Z$1,"""")"),"")</f>
        <v/>
      </c>
    </row>
    <row r="620">
      <c r="A620" s="33"/>
      <c r="B620" s="33"/>
      <c r="C620" s="33"/>
      <c r="D620" s="33"/>
      <c r="E620" s="33"/>
      <c r="F620" s="33"/>
      <c r="G620" s="33"/>
      <c r="H620" s="33"/>
      <c r="I620" s="33"/>
      <c r="J620" s="33"/>
      <c r="K620" s="33"/>
      <c r="L620" s="33" t="str">
        <f>IFERROR(__xludf.DUMMYFUNCTION("IF(IF(L$1="""","""",REGEXMATCH(LOWER($E620),XLOOKUP(L$1,Metadata!$A$2:$A1000,Metadata!$B$2:$B1000))),L$1,"""")"),"")</f>
        <v/>
      </c>
      <c r="M620" s="33" t="str">
        <f>IFERROR(__xludf.DUMMYFUNCTION("IF(IF(M$1="""","""",REGEXMATCH(LOWER($E620),XLOOKUP(M$1,Metadata!$A$2:$A1000,Metadata!$B$2:$B1000))),M$1,"""")"),"")</f>
        <v/>
      </c>
      <c r="N620" s="33" t="str">
        <f>IFERROR(__xludf.DUMMYFUNCTION("IF(IF(N$1="""","""",REGEXMATCH(LOWER($E620),XLOOKUP(N$1,Metadata!$A$2:$A1000,Metadata!$B$2:$B1000))),N$1,"""")"),"")</f>
        <v/>
      </c>
      <c r="O620" s="33" t="str">
        <f>IFERROR(__xludf.DUMMYFUNCTION("IF(IF(O$1="""","""",REGEXMATCH(LOWER($E620),XLOOKUP(O$1,Metadata!$A$2:$A1000,Metadata!$B$2:$B1000))),O$1,"""")"),"")</f>
        <v/>
      </c>
      <c r="P620" s="33" t="str">
        <f>IFERROR(__xludf.DUMMYFUNCTION("IF(IF(P$1="""","""",REGEXMATCH(LOWER($E620),XLOOKUP(P$1,Metadata!$A$2:$A1000,Metadata!$B$2:$B1000))),P$1,"""")"),"")</f>
        <v/>
      </c>
      <c r="Q620" s="33" t="str">
        <f>IFERROR(__xludf.DUMMYFUNCTION("IF(IF(Q$1="""","""",REGEXMATCH(LOWER($E620),XLOOKUP(Q$1,Metadata!$A$2:$A1000,Metadata!$B$2:$B1000))),Q$1,"""")"),"")</f>
        <v/>
      </c>
      <c r="R620" s="33" t="str">
        <f>IFERROR(__xludf.DUMMYFUNCTION("IF(IF(R$1="""","""",REGEXMATCH(LOWER($E620),XLOOKUP(R$1,Metadata!$A$2:$A1000,Metadata!$B$2:$B1000))),R$1,"""")"),"")</f>
        <v/>
      </c>
      <c r="S620" s="33" t="str">
        <f>IFERROR(__xludf.DUMMYFUNCTION("IF(IF(S$1="""","""",REGEXMATCH(LOWER($E620),XLOOKUP(S$1,Metadata!$A$2:$A1000,Metadata!$B$2:$B1000))),S$1,"""")"),"")</f>
        <v/>
      </c>
      <c r="T620" s="33" t="str">
        <f>IFERROR(__xludf.DUMMYFUNCTION("IF(IF(T$1="""","""",REGEXMATCH(LOWER($E620),XLOOKUP(T$1,Metadata!$A$2:$A1000,Metadata!$B$2:$B1000))),T$1,"""")"),"")</f>
        <v/>
      </c>
      <c r="U620" s="33" t="str">
        <f>IFERROR(__xludf.DUMMYFUNCTION("IF(IF(U$1="""","""",REGEXMATCH(LOWER($E620),XLOOKUP(U$1,Metadata!$A$2:$A1000,Metadata!$B$2:$B1000))),U$1,"""")"),"")</f>
        <v/>
      </c>
      <c r="V620" s="33" t="str">
        <f>IFERROR(__xludf.DUMMYFUNCTION("IF(IF(V$1="""","""",REGEXMATCH(LOWER($E620),XLOOKUP(V$1,Metadata!$A$2:$A1000,Metadata!$B$2:$B1000))),V$1,"""")"),"")</f>
        <v/>
      </c>
      <c r="W620" s="33" t="str">
        <f>IFERROR(__xludf.DUMMYFUNCTION("IF(IF(W$1="""","""",REGEXMATCH(LOWER($E620),XLOOKUP(W$1,Metadata!$A$2:$A1000,Metadata!$B$2:$B1000))),W$1,"""")"),"")</f>
        <v/>
      </c>
      <c r="X620" s="33" t="str">
        <f>IFERROR(__xludf.DUMMYFUNCTION("IF(IF(X$1="""","""",REGEXMATCH(LOWER($E620),XLOOKUP(X$1,Metadata!$A$2:$A1000,Metadata!$B$2:$B1000))),X$1,"""")"),"")</f>
        <v/>
      </c>
      <c r="Y620" s="33" t="str">
        <f>IFERROR(__xludf.DUMMYFUNCTION("IF(IF(Y$1="""","""",REGEXMATCH(LOWER($E620),XLOOKUP(Y$1,Metadata!$A$2:$A1000,Metadata!$B$2:$B1000))),Y$1,"""")"),"")</f>
        <v/>
      </c>
      <c r="Z620" s="33" t="str">
        <f>IFERROR(__xludf.DUMMYFUNCTION("IF(IF(Z$1="""","""",REGEXMATCH(LOWER($E620),XLOOKUP(Z$1,Metadata!$A$2:$A1000,Metadata!$B$2:$B1000))),Z$1,"""")"),"")</f>
        <v/>
      </c>
    </row>
    <row r="621">
      <c r="A621" s="33"/>
      <c r="B621" s="33"/>
      <c r="C621" s="33"/>
      <c r="D621" s="33"/>
      <c r="E621" s="33"/>
      <c r="F621" s="33"/>
      <c r="G621" s="33"/>
      <c r="H621" s="33"/>
      <c r="I621" s="33"/>
      <c r="J621" s="33"/>
      <c r="K621" s="33"/>
      <c r="L621" s="33" t="str">
        <f>IFERROR(__xludf.DUMMYFUNCTION("IF(IF(L$1="""","""",REGEXMATCH(LOWER($E621),XLOOKUP(L$1,Metadata!$A$2:$A1000,Metadata!$B$2:$B1000))),L$1,"""")"),"")</f>
        <v/>
      </c>
      <c r="M621" s="33" t="str">
        <f>IFERROR(__xludf.DUMMYFUNCTION("IF(IF(M$1="""","""",REGEXMATCH(LOWER($E621),XLOOKUP(M$1,Metadata!$A$2:$A1000,Metadata!$B$2:$B1000))),M$1,"""")"),"")</f>
        <v/>
      </c>
      <c r="N621" s="33" t="str">
        <f>IFERROR(__xludf.DUMMYFUNCTION("IF(IF(N$1="""","""",REGEXMATCH(LOWER($E621),XLOOKUP(N$1,Metadata!$A$2:$A1000,Metadata!$B$2:$B1000))),N$1,"""")"),"")</f>
        <v/>
      </c>
      <c r="O621" s="33" t="str">
        <f>IFERROR(__xludf.DUMMYFUNCTION("IF(IF(O$1="""","""",REGEXMATCH(LOWER($E621),XLOOKUP(O$1,Metadata!$A$2:$A1000,Metadata!$B$2:$B1000))),O$1,"""")"),"")</f>
        <v/>
      </c>
      <c r="P621" s="33" t="str">
        <f>IFERROR(__xludf.DUMMYFUNCTION("IF(IF(P$1="""","""",REGEXMATCH(LOWER($E621),XLOOKUP(P$1,Metadata!$A$2:$A1000,Metadata!$B$2:$B1000))),P$1,"""")"),"")</f>
        <v/>
      </c>
      <c r="Q621" s="33" t="str">
        <f>IFERROR(__xludf.DUMMYFUNCTION("IF(IF(Q$1="""","""",REGEXMATCH(LOWER($E621),XLOOKUP(Q$1,Metadata!$A$2:$A1000,Metadata!$B$2:$B1000))),Q$1,"""")"),"")</f>
        <v/>
      </c>
      <c r="R621" s="33" t="str">
        <f>IFERROR(__xludf.DUMMYFUNCTION("IF(IF(R$1="""","""",REGEXMATCH(LOWER($E621),XLOOKUP(R$1,Metadata!$A$2:$A1000,Metadata!$B$2:$B1000))),R$1,"""")"),"")</f>
        <v/>
      </c>
      <c r="S621" s="33" t="str">
        <f>IFERROR(__xludf.DUMMYFUNCTION("IF(IF(S$1="""","""",REGEXMATCH(LOWER($E621),XLOOKUP(S$1,Metadata!$A$2:$A1000,Metadata!$B$2:$B1000))),S$1,"""")"),"")</f>
        <v/>
      </c>
      <c r="T621" s="33" t="str">
        <f>IFERROR(__xludf.DUMMYFUNCTION("IF(IF(T$1="""","""",REGEXMATCH(LOWER($E621),XLOOKUP(T$1,Metadata!$A$2:$A1000,Metadata!$B$2:$B1000))),T$1,"""")"),"")</f>
        <v/>
      </c>
      <c r="U621" s="33" t="str">
        <f>IFERROR(__xludf.DUMMYFUNCTION("IF(IF(U$1="""","""",REGEXMATCH(LOWER($E621),XLOOKUP(U$1,Metadata!$A$2:$A1000,Metadata!$B$2:$B1000))),U$1,"""")"),"")</f>
        <v/>
      </c>
      <c r="V621" s="33" t="str">
        <f>IFERROR(__xludf.DUMMYFUNCTION("IF(IF(V$1="""","""",REGEXMATCH(LOWER($E621),XLOOKUP(V$1,Metadata!$A$2:$A1000,Metadata!$B$2:$B1000))),V$1,"""")"),"")</f>
        <v/>
      </c>
      <c r="W621" s="33" t="str">
        <f>IFERROR(__xludf.DUMMYFUNCTION("IF(IF(W$1="""","""",REGEXMATCH(LOWER($E621),XLOOKUP(W$1,Metadata!$A$2:$A1000,Metadata!$B$2:$B1000))),W$1,"""")"),"")</f>
        <v/>
      </c>
      <c r="X621" s="33" t="str">
        <f>IFERROR(__xludf.DUMMYFUNCTION("IF(IF(X$1="""","""",REGEXMATCH(LOWER($E621),XLOOKUP(X$1,Metadata!$A$2:$A1000,Metadata!$B$2:$B1000))),X$1,"""")"),"")</f>
        <v/>
      </c>
      <c r="Y621" s="33" t="str">
        <f>IFERROR(__xludf.DUMMYFUNCTION("IF(IF(Y$1="""","""",REGEXMATCH(LOWER($E621),XLOOKUP(Y$1,Metadata!$A$2:$A1000,Metadata!$B$2:$B1000))),Y$1,"""")"),"")</f>
        <v/>
      </c>
      <c r="Z621" s="33" t="str">
        <f>IFERROR(__xludf.DUMMYFUNCTION("IF(IF(Z$1="""","""",REGEXMATCH(LOWER($E621),XLOOKUP(Z$1,Metadata!$A$2:$A1000,Metadata!$B$2:$B1000))),Z$1,"""")"),"")</f>
        <v/>
      </c>
    </row>
    <row r="622">
      <c r="A622" s="33"/>
      <c r="B622" s="33"/>
      <c r="C622" s="33"/>
      <c r="D622" s="33"/>
      <c r="E622" s="33"/>
      <c r="F622" s="33"/>
      <c r="G622" s="33"/>
      <c r="H622" s="33"/>
      <c r="I622" s="33"/>
      <c r="J622" s="33"/>
      <c r="K622" s="33"/>
      <c r="L622" s="33" t="str">
        <f>IFERROR(__xludf.DUMMYFUNCTION("IF(IF(L$1="""","""",REGEXMATCH(LOWER($E622),XLOOKUP(L$1,Metadata!$A$2:$A1000,Metadata!$B$2:$B1000))),L$1,"""")"),"")</f>
        <v/>
      </c>
      <c r="M622" s="33" t="str">
        <f>IFERROR(__xludf.DUMMYFUNCTION("IF(IF(M$1="""","""",REGEXMATCH(LOWER($E622),XLOOKUP(M$1,Metadata!$A$2:$A1000,Metadata!$B$2:$B1000))),M$1,"""")"),"")</f>
        <v/>
      </c>
      <c r="N622" s="33" t="str">
        <f>IFERROR(__xludf.DUMMYFUNCTION("IF(IF(N$1="""","""",REGEXMATCH(LOWER($E622),XLOOKUP(N$1,Metadata!$A$2:$A1000,Metadata!$B$2:$B1000))),N$1,"""")"),"")</f>
        <v/>
      </c>
      <c r="O622" s="33" t="str">
        <f>IFERROR(__xludf.DUMMYFUNCTION("IF(IF(O$1="""","""",REGEXMATCH(LOWER($E622),XLOOKUP(O$1,Metadata!$A$2:$A1000,Metadata!$B$2:$B1000))),O$1,"""")"),"")</f>
        <v/>
      </c>
      <c r="P622" s="33" t="str">
        <f>IFERROR(__xludf.DUMMYFUNCTION("IF(IF(P$1="""","""",REGEXMATCH(LOWER($E622),XLOOKUP(P$1,Metadata!$A$2:$A1000,Metadata!$B$2:$B1000))),P$1,"""")"),"")</f>
        <v/>
      </c>
      <c r="Q622" s="33" t="str">
        <f>IFERROR(__xludf.DUMMYFUNCTION("IF(IF(Q$1="""","""",REGEXMATCH(LOWER($E622),XLOOKUP(Q$1,Metadata!$A$2:$A1000,Metadata!$B$2:$B1000))),Q$1,"""")"),"")</f>
        <v/>
      </c>
      <c r="R622" s="33" t="str">
        <f>IFERROR(__xludf.DUMMYFUNCTION("IF(IF(R$1="""","""",REGEXMATCH(LOWER($E622),XLOOKUP(R$1,Metadata!$A$2:$A1000,Metadata!$B$2:$B1000))),R$1,"""")"),"")</f>
        <v/>
      </c>
      <c r="S622" s="33" t="str">
        <f>IFERROR(__xludf.DUMMYFUNCTION("IF(IF(S$1="""","""",REGEXMATCH(LOWER($E622),XLOOKUP(S$1,Metadata!$A$2:$A1000,Metadata!$B$2:$B1000))),S$1,"""")"),"")</f>
        <v/>
      </c>
      <c r="T622" s="33" t="str">
        <f>IFERROR(__xludf.DUMMYFUNCTION("IF(IF(T$1="""","""",REGEXMATCH(LOWER($E622),XLOOKUP(T$1,Metadata!$A$2:$A1000,Metadata!$B$2:$B1000))),T$1,"""")"),"")</f>
        <v/>
      </c>
      <c r="U622" s="33" t="str">
        <f>IFERROR(__xludf.DUMMYFUNCTION("IF(IF(U$1="""","""",REGEXMATCH(LOWER($E622),XLOOKUP(U$1,Metadata!$A$2:$A1000,Metadata!$B$2:$B1000))),U$1,"""")"),"")</f>
        <v/>
      </c>
      <c r="V622" s="33" t="str">
        <f>IFERROR(__xludf.DUMMYFUNCTION("IF(IF(V$1="""","""",REGEXMATCH(LOWER($E622),XLOOKUP(V$1,Metadata!$A$2:$A1000,Metadata!$B$2:$B1000))),V$1,"""")"),"")</f>
        <v/>
      </c>
      <c r="W622" s="33" t="str">
        <f>IFERROR(__xludf.DUMMYFUNCTION("IF(IF(W$1="""","""",REGEXMATCH(LOWER($E622),XLOOKUP(W$1,Metadata!$A$2:$A1000,Metadata!$B$2:$B1000))),W$1,"""")"),"")</f>
        <v/>
      </c>
      <c r="X622" s="33" t="str">
        <f>IFERROR(__xludf.DUMMYFUNCTION("IF(IF(X$1="""","""",REGEXMATCH(LOWER($E622),XLOOKUP(X$1,Metadata!$A$2:$A1000,Metadata!$B$2:$B1000))),X$1,"""")"),"")</f>
        <v/>
      </c>
      <c r="Y622" s="33" t="str">
        <f>IFERROR(__xludf.DUMMYFUNCTION("IF(IF(Y$1="""","""",REGEXMATCH(LOWER($E622),XLOOKUP(Y$1,Metadata!$A$2:$A1000,Metadata!$B$2:$B1000))),Y$1,"""")"),"")</f>
        <v/>
      </c>
      <c r="Z622" s="33" t="str">
        <f>IFERROR(__xludf.DUMMYFUNCTION("IF(IF(Z$1="""","""",REGEXMATCH(LOWER($E622),XLOOKUP(Z$1,Metadata!$A$2:$A1000,Metadata!$B$2:$B1000))),Z$1,"""")"),"")</f>
        <v/>
      </c>
    </row>
    <row r="623">
      <c r="A623" s="33"/>
      <c r="B623" s="33"/>
      <c r="C623" s="33"/>
      <c r="D623" s="33"/>
      <c r="E623" s="33"/>
      <c r="F623" s="33"/>
      <c r="G623" s="33"/>
      <c r="H623" s="33"/>
      <c r="I623" s="33"/>
      <c r="J623" s="33"/>
      <c r="K623" s="33"/>
      <c r="L623" s="33" t="str">
        <f>IFERROR(__xludf.DUMMYFUNCTION("IF(IF(L$1="""","""",REGEXMATCH(LOWER($E623),XLOOKUP(L$1,Metadata!$A$2:$A1000,Metadata!$B$2:$B1000))),L$1,"""")"),"")</f>
        <v/>
      </c>
      <c r="M623" s="33" t="str">
        <f>IFERROR(__xludf.DUMMYFUNCTION("IF(IF(M$1="""","""",REGEXMATCH(LOWER($E623),XLOOKUP(M$1,Metadata!$A$2:$A1000,Metadata!$B$2:$B1000))),M$1,"""")"),"")</f>
        <v/>
      </c>
      <c r="N623" s="33" t="str">
        <f>IFERROR(__xludf.DUMMYFUNCTION("IF(IF(N$1="""","""",REGEXMATCH(LOWER($E623),XLOOKUP(N$1,Metadata!$A$2:$A1000,Metadata!$B$2:$B1000))),N$1,"""")"),"")</f>
        <v/>
      </c>
      <c r="O623" s="33" t="str">
        <f>IFERROR(__xludf.DUMMYFUNCTION("IF(IF(O$1="""","""",REGEXMATCH(LOWER($E623),XLOOKUP(O$1,Metadata!$A$2:$A1000,Metadata!$B$2:$B1000))),O$1,"""")"),"")</f>
        <v/>
      </c>
      <c r="P623" s="33" t="str">
        <f>IFERROR(__xludf.DUMMYFUNCTION("IF(IF(P$1="""","""",REGEXMATCH(LOWER($E623),XLOOKUP(P$1,Metadata!$A$2:$A1000,Metadata!$B$2:$B1000))),P$1,"""")"),"")</f>
        <v/>
      </c>
      <c r="Q623" s="33" t="str">
        <f>IFERROR(__xludf.DUMMYFUNCTION("IF(IF(Q$1="""","""",REGEXMATCH(LOWER($E623),XLOOKUP(Q$1,Metadata!$A$2:$A1000,Metadata!$B$2:$B1000))),Q$1,"""")"),"")</f>
        <v/>
      </c>
      <c r="R623" s="33" t="str">
        <f>IFERROR(__xludf.DUMMYFUNCTION("IF(IF(R$1="""","""",REGEXMATCH(LOWER($E623),XLOOKUP(R$1,Metadata!$A$2:$A1000,Metadata!$B$2:$B1000))),R$1,"""")"),"")</f>
        <v/>
      </c>
      <c r="S623" s="33" t="str">
        <f>IFERROR(__xludf.DUMMYFUNCTION("IF(IF(S$1="""","""",REGEXMATCH(LOWER($E623),XLOOKUP(S$1,Metadata!$A$2:$A1000,Metadata!$B$2:$B1000))),S$1,"""")"),"")</f>
        <v/>
      </c>
      <c r="T623" s="33" t="str">
        <f>IFERROR(__xludf.DUMMYFUNCTION("IF(IF(T$1="""","""",REGEXMATCH(LOWER($E623),XLOOKUP(T$1,Metadata!$A$2:$A1000,Metadata!$B$2:$B1000))),T$1,"""")"),"")</f>
        <v/>
      </c>
      <c r="U623" s="33" t="str">
        <f>IFERROR(__xludf.DUMMYFUNCTION("IF(IF(U$1="""","""",REGEXMATCH(LOWER($E623),XLOOKUP(U$1,Metadata!$A$2:$A1000,Metadata!$B$2:$B1000))),U$1,"""")"),"")</f>
        <v/>
      </c>
      <c r="V623" s="33" t="str">
        <f>IFERROR(__xludf.DUMMYFUNCTION("IF(IF(V$1="""","""",REGEXMATCH(LOWER($E623),XLOOKUP(V$1,Metadata!$A$2:$A1000,Metadata!$B$2:$B1000))),V$1,"""")"),"")</f>
        <v/>
      </c>
      <c r="W623" s="33" t="str">
        <f>IFERROR(__xludf.DUMMYFUNCTION("IF(IF(W$1="""","""",REGEXMATCH(LOWER($E623),XLOOKUP(W$1,Metadata!$A$2:$A1000,Metadata!$B$2:$B1000))),W$1,"""")"),"")</f>
        <v/>
      </c>
      <c r="X623" s="33" t="str">
        <f>IFERROR(__xludf.DUMMYFUNCTION("IF(IF(X$1="""","""",REGEXMATCH(LOWER($E623),XLOOKUP(X$1,Metadata!$A$2:$A1000,Metadata!$B$2:$B1000))),X$1,"""")"),"")</f>
        <v/>
      </c>
      <c r="Y623" s="33" t="str">
        <f>IFERROR(__xludf.DUMMYFUNCTION("IF(IF(Y$1="""","""",REGEXMATCH(LOWER($E623),XLOOKUP(Y$1,Metadata!$A$2:$A1000,Metadata!$B$2:$B1000))),Y$1,"""")"),"")</f>
        <v/>
      </c>
      <c r="Z623" s="33" t="str">
        <f>IFERROR(__xludf.DUMMYFUNCTION("IF(IF(Z$1="""","""",REGEXMATCH(LOWER($E623),XLOOKUP(Z$1,Metadata!$A$2:$A1000,Metadata!$B$2:$B1000))),Z$1,"""")"),"")</f>
        <v/>
      </c>
    </row>
    <row r="624">
      <c r="A624" s="33"/>
      <c r="B624" s="33"/>
      <c r="C624" s="33"/>
      <c r="D624" s="33"/>
      <c r="E624" s="33"/>
      <c r="F624" s="33"/>
      <c r="G624" s="33"/>
      <c r="H624" s="33"/>
      <c r="I624" s="33"/>
      <c r="J624" s="33"/>
      <c r="K624" s="33"/>
      <c r="L624" s="33" t="str">
        <f>IFERROR(__xludf.DUMMYFUNCTION("IF(IF(L$1="""","""",REGEXMATCH(LOWER($E624),XLOOKUP(L$1,Metadata!$A$2:$A1000,Metadata!$B$2:$B1000))),L$1,"""")"),"")</f>
        <v/>
      </c>
      <c r="M624" s="33" t="str">
        <f>IFERROR(__xludf.DUMMYFUNCTION("IF(IF(M$1="""","""",REGEXMATCH(LOWER($E624),XLOOKUP(M$1,Metadata!$A$2:$A1000,Metadata!$B$2:$B1000))),M$1,"""")"),"")</f>
        <v/>
      </c>
      <c r="N624" s="33" t="str">
        <f>IFERROR(__xludf.DUMMYFUNCTION("IF(IF(N$1="""","""",REGEXMATCH(LOWER($E624),XLOOKUP(N$1,Metadata!$A$2:$A1000,Metadata!$B$2:$B1000))),N$1,"""")"),"")</f>
        <v/>
      </c>
      <c r="O624" s="33" t="str">
        <f>IFERROR(__xludf.DUMMYFUNCTION("IF(IF(O$1="""","""",REGEXMATCH(LOWER($E624),XLOOKUP(O$1,Metadata!$A$2:$A1000,Metadata!$B$2:$B1000))),O$1,"""")"),"")</f>
        <v/>
      </c>
      <c r="P624" s="33" t="str">
        <f>IFERROR(__xludf.DUMMYFUNCTION("IF(IF(P$1="""","""",REGEXMATCH(LOWER($E624),XLOOKUP(P$1,Metadata!$A$2:$A1000,Metadata!$B$2:$B1000))),P$1,"""")"),"")</f>
        <v/>
      </c>
      <c r="Q624" s="33" t="str">
        <f>IFERROR(__xludf.DUMMYFUNCTION("IF(IF(Q$1="""","""",REGEXMATCH(LOWER($E624),XLOOKUP(Q$1,Metadata!$A$2:$A1000,Metadata!$B$2:$B1000))),Q$1,"""")"),"")</f>
        <v/>
      </c>
      <c r="R624" s="33" t="str">
        <f>IFERROR(__xludf.DUMMYFUNCTION("IF(IF(R$1="""","""",REGEXMATCH(LOWER($E624),XLOOKUP(R$1,Metadata!$A$2:$A1000,Metadata!$B$2:$B1000))),R$1,"""")"),"")</f>
        <v/>
      </c>
      <c r="S624" s="33" t="str">
        <f>IFERROR(__xludf.DUMMYFUNCTION("IF(IF(S$1="""","""",REGEXMATCH(LOWER($E624),XLOOKUP(S$1,Metadata!$A$2:$A1000,Metadata!$B$2:$B1000))),S$1,"""")"),"")</f>
        <v/>
      </c>
      <c r="T624" s="33" t="str">
        <f>IFERROR(__xludf.DUMMYFUNCTION("IF(IF(T$1="""","""",REGEXMATCH(LOWER($E624),XLOOKUP(T$1,Metadata!$A$2:$A1000,Metadata!$B$2:$B1000))),T$1,"""")"),"")</f>
        <v/>
      </c>
      <c r="U624" s="33" t="str">
        <f>IFERROR(__xludf.DUMMYFUNCTION("IF(IF(U$1="""","""",REGEXMATCH(LOWER($E624),XLOOKUP(U$1,Metadata!$A$2:$A1000,Metadata!$B$2:$B1000))),U$1,"""")"),"")</f>
        <v/>
      </c>
      <c r="V624" s="33" t="str">
        <f>IFERROR(__xludf.DUMMYFUNCTION("IF(IF(V$1="""","""",REGEXMATCH(LOWER($E624),XLOOKUP(V$1,Metadata!$A$2:$A1000,Metadata!$B$2:$B1000))),V$1,"""")"),"")</f>
        <v/>
      </c>
      <c r="W624" s="33" t="str">
        <f>IFERROR(__xludf.DUMMYFUNCTION("IF(IF(W$1="""","""",REGEXMATCH(LOWER($E624),XLOOKUP(W$1,Metadata!$A$2:$A1000,Metadata!$B$2:$B1000))),W$1,"""")"),"")</f>
        <v/>
      </c>
      <c r="X624" s="33" t="str">
        <f>IFERROR(__xludf.DUMMYFUNCTION("IF(IF(X$1="""","""",REGEXMATCH(LOWER($E624),XLOOKUP(X$1,Metadata!$A$2:$A1000,Metadata!$B$2:$B1000))),X$1,"""")"),"")</f>
        <v/>
      </c>
      <c r="Y624" s="33" t="str">
        <f>IFERROR(__xludf.DUMMYFUNCTION("IF(IF(Y$1="""","""",REGEXMATCH(LOWER($E624),XLOOKUP(Y$1,Metadata!$A$2:$A1000,Metadata!$B$2:$B1000))),Y$1,"""")"),"")</f>
        <v/>
      </c>
      <c r="Z624" s="33" t="str">
        <f>IFERROR(__xludf.DUMMYFUNCTION("IF(IF(Z$1="""","""",REGEXMATCH(LOWER($E624),XLOOKUP(Z$1,Metadata!$A$2:$A1000,Metadata!$B$2:$B1000))),Z$1,"""")"),"")</f>
        <v/>
      </c>
    </row>
    <row r="625">
      <c r="A625" s="33"/>
      <c r="B625" s="33"/>
      <c r="C625" s="33"/>
      <c r="D625" s="33"/>
      <c r="E625" s="33"/>
      <c r="F625" s="33"/>
      <c r="G625" s="33"/>
      <c r="H625" s="33"/>
      <c r="I625" s="33"/>
      <c r="J625" s="33"/>
      <c r="K625" s="33"/>
      <c r="L625" s="33" t="str">
        <f>IFERROR(__xludf.DUMMYFUNCTION("IF(IF(L$1="""","""",REGEXMATCH(LOWER($E625),XLOOKUP(L$1,Metadata!$A$2:$A1000,Metadata!$B$2:$B1000))),L$1,"""")"),"")</f>
        <v/>
      </c>
      <c r="M625" s="33" t="str">
        <f>IFERROR(__xludf.DUMMYFUNCTION("IF(IF(M$1="""","""",REGEXMATCH(LOWER($E625),XLOOKUP(M$1,Metadata!$A$2:$A1000,Metadata!$B$2:$B1000))),M$1,"""")"),"")</f>
        <v/>
      </c>
      <c r="N625" s="33" t="str">
        <f>IFERROR(__xludf.DUMMYFUNCTION("IF(IF(N$1="""","""",REGEXMATCH(LOWER($E625),XLOOKUP(N$1,Metadata!$A$2:$A1000,Metadata!$B$2:$B1000))),N$1,"""")"),"")</f>
        <v/>
      </c>
      <c r="O625" s="33" t="str">
        <f>IFERROR(__xludf.DUMMYFUNCTION("IF(IF(O$1="""","""",REGEXMATCH(LOWER($E625),XLOOKUP(O$1,Metadata!$A$2:$A1000,Metadata!$B$2:$B1000))),O$1,"""")"),"")</f>
        <v/>
      </c>
      <c r="P625" s="33" t="str">
        <f>IFERROR(__xludf.DUMMYFUNCTION("IF(IF(P$1="""","""",REGEXMATCH(LOWER($E625),XLOOKUP(P$1,Metadata!$A$2:$A1000,Metadata!$B$2:$B1000))),P$1,"""")"),"")</f>
        <v/>
      </c>
      <c r="Q625" s="33" t="str">
        <f>IFERROR(__xludf.DUMMYFUNCTION("IF(IF(Q$1="""","""",REGEXMATCH(LOWER($E625),XLOOKUP(Q$1,Metadata!$A$2:$A1000,Metadata!$B$2:$B1000))),Q$1,"""")"),"")</f>
        <v/>
      </c>
      <c r="R625" s="33" t="str">
        <f>IFERROR(__xludf.DUMMYFUNCTION("IF(IF(R$1="""","""",REGEXMATCH(LOWER($E625),XLOOKUP(R$1,Metadata!$A$2:$A1000,Metadata!$B$2:$B1000))),R$1,"""")"),"")</f>
        <v/>
      </c>
      <c r="S625" s="33" t="str">
        <f>IFERROR(__xludf.DUMMYFUNCTION("IF(IF(S$1="""","""",REGEXMATCH(LOWER($E625),XLOOKUP(S$1,Metadata!$A$2:$A1000,Metadata!$B$2:$B1000))),S$1,"""")"),"")</f>
        <v/>
      </c>
      <c r="T625" s="33" t="str">
        <f>IFERROR(__xludf.DUMMYFUNCTION("IF(IF(T$1="""","""",REGEXMATCH(LOWER($E625),XLOOKUP(T$1,Metadata!$A$2:$A1000,Metadata!$B$2:$B1000))),T$1,"""")"),"")</f>
        <v/>
      </c>
      <c r="U625" s="33" t="str">
        <f>IFERROR(__xludf.DUMMYFUNCTION("IF(IF(U$1="""","""",REGEXMATCH(LOWER($E625),XLOOKUP(U$1,Metadata!$A$2:$A1000,Metadata!$B$2:$B1000))),U$1,"""")"),"")</f>
        <v/>
      </c>
      <c r="V625" s="33" t="str">
        <f>IFERROR(__xludf.DUMMYFUNCTION("IF(IF(V$1="""","""",REGEXMATCH(LOWER($E625),XLOOKUP(V$1,Metadata!$A$2:$A1000,Metadata!$B$2:$B1000))),V$1,"""")"),"")</f>
        <v/>
      </c>
      <c r="W625" s="33" t="str">
        <f>IFERROR(__xludf.DUMMYFUNCTION("IF(IF(W$1="""","""",REGEXMATCH(LOWER($E625),XLOOKUP(W$1,Metadata!$A$2:$A1000,Metadata!$B$2:$B1000))),W$1,"""")"),"")</f>
        <v/>
      </c>
      <c r="X625" s="33" t="str">
        <f>IFERROR(__xludf.DUMMYFUNCTION("IF(IF(X$1="""","""",REGEXMATCH(LOWER($E625),XLOOKUP(X$1,Metadata!$A$2:$A1000,Metadata!$B$2:$B1000))),X$1,"""")"),"")</f>
        <v/>
      </c>
      <c r="Y625" s="33" t="str">
        <f>IFERROR(__xludf.DUMMYFUNCTION("IF(IF(Y$1="""","""",REGEXMATCH(LOWER($E625),XLOOKUP(Y$1,Metadata!$A$2:$A1000,Metadata!$B$2:$B1000))),Y$1,"""")"),"")</f>
        <v/>
      </c>
      <c r="Z625" s="33" t="str">
        <f>IFERROR(__xludf.DUMMYFUNCTION("IF(IF(Z$1="""","""",REGEXMATCH(LOWER($E625),XLOOKUP(Z$1,Metadata!$A$2:$A1000,Metadata!$B$2:$B1000))),Z$1,"""")"),"")</f>
        <v/>
      </c>
    </row>
    <row r="626">
      <c r="A626" s="33"/>
      <c r="B626" s="33"/>
      <c r="C626" s="33"/>
      <c r="D626" s="33"/>
      <c r="E626" s="33"/>
      <c r="F626" s="33"/>
      <c r="G626" s="33"/>
      <c r="H626" s="33"/>
      <c r="I626" s="33"/>
      <c r="J626" s="33"/>
      <c r="K626" s="33"/>
      <c r="L626" s="33" t="str">
        <f>IFERROR(__xludf.DUMMYFUNCTION("IF(IF(L$1="""","""",REGEXMATCH(LOWER($E626),XLOOKUP(L$1,Metadata!$A$2:$A1000,Metadata!$B$2:$B1000))),L$1,"""")"),"")</f>
        <v/>
      </c>
      <c r="M626" s="33" t="str">
        <f>IFERROR(__xludf.DUMMYFUNCTION("IF(IF(M$1="""","""",REGEXMATCH(LOWER($E626),XLOOKUP(M$1,Metadata!$A$2:$A1000,Metadata!$B$2:$B1000))),M$1,"""")"),"")</f>
        <v/>
      </c>
      <c r="N626" s="33" t="str">
        <f>IFERROR(__xludf.DUMMYFUNCTION("IF(IF(N$1="""","""",REGEXMATCH(LOWER($E626),XLOOKUP(N$1,Metadata!$A$2:$A1000,Metadata!$B$2:$B1000))),N$1,"""")"),"")</f>
        <v/>
      </c>
      <c r="O626" s="33" t="str">
        <f>IFERROR(__xludf.DUMMYFUNCTION("IF(IF(O$1="""","""",REGEXMATCH(LOWER($E626),XLOOKUP(O$1,Metadata!$A$2:$A1000,Metadata!$B$2:$B1000))),O$1,"""")"),"")</f>
        <v/>
      </c>
      <c r="P626" s="33" t="str">
        <f>IFERROR(__xludf.DUMMYFUNCTION("IF(IF(P$1="""","""",REGEXMATCH(LOWER($E626),XLOOKUP(P$1,Metadata!$A$2:$A1000,Metadata!$B$2:$B1000))),P$1,"""")"),"")</f>
        <v/>
      </c>
      <c r="Q626" s="33" t="str">
        <f>IFERROR(__xludf.DUMMYFUNCTION("IF(IF(Q$1="""","""",REGEXMATCH(LOWER($E626),XLOOKUP(Q$1,Metadata!$A$2:$A1000,Metadata!$B$2:$B1000))),Q$1,"""")"),"")</f>
        <v/>
      </c>
      <c r="R626" s="33" t="str">
        <f>IFERROR(__xludf.DUMMYFUNCTION("IF(IF(R$1="""","""",REGEXMATCH(LOWER($E626),XLOOKUP(R$1,Metadata!$A$2:$A1000,Metadata!$B$2:$B1000))),R$1,"""")"),"")</f>
        <v/>
      </c>
      <c r="S626" s="33" t="str">
        <f>IFERROR(__xludf.DUMMYFUNCTION("IF(IF(S$1="""","""",REGEXMATCH(LOWER($E626),XLOOKUP(S$1,Metadata!$A$2:$A1000,Metadata!$B$2:$B1000))),S$1,"""")"),"")</f>
        <v/>
      </c>
      <c r="T626" s="33" t="str">
        <f>IFERROR(__xludf.DUMMYFUNCTION("IF(IF(T$1="""","""",REGEXMATCH(LOWER($E626),XLOOKUP(T$1,Metadata!$A$2:$A1000,Metadata!$B$2:$B1000))),T$1,"""")"),"")</f>
        <v/>
      </c>
      <c r="U626" s="33" t="str">
        <f>IFERROR(__xludf.DUMMYFUNCTION("IF(IF(U$1="""","""",REGEXMATCH(LOWER($E626),XLOOKUP(U$1,Metadata!$A$2:$A1000,Metadata!$B$2:$B1000))),U$1,"""")"),"")</f>
        <v/>
      </c>
      <c r="V626" s="33" t="str">
        <f>IFERROR(__xludf.DUMMYFUNCTION("IF(IF(V$1="""","""",REGEXMATCH(LOWER($E626),XLOOKUP(V$1,Metadata!$A$2:$A1000,Metadata!$B$2:$B1000))),V$1,"""")"),"")</f>
        <v/>
      </c>
      <c r="W626" s="33" t="str">
        <f>IFERROR(__xludf.DUMMYFUNCTION("IF(IF(W$1="""","""",REGEXMATCH(LOWER($E626),XLOOKUP(W$1,Metadata!$A$2:$A1000,Metadata!$B$2:$B1000))),W$1,"""")"),"")</f>
        <v/>
      </c>
      <c r="X626" s="33" t="str">
        <f>IFERROR(__xludf.DUMMYFUNCTION("IF(IF(X$1="""","""",REGEXMATCH(LOWER($E626),XLOOKUP(X$1,Metadata!$A$2:$A1000,Metadata!$B$2:$B1000))),X$1,"""")"),"")</f>
        <v/>
      </c>
      <c r="Y626" s="33" t="str">
        <f>IFERROR(__xludf.DUMMYFUNCTION("IF(IF(Y$1="""","""",REGEXMATCH(LOWER($E626),XLOOKUP(Y$1,Metadata!$A$2:$A1000,Metadata!$B$2:$B1000))),Y$1,"""")"),"")</f>
        <v/>
      </c>
      <c r="Z626" s="33" t="str">
        <f>IFERROR(__xludf.DUMMYFUNCTION("IF(IF(Z$1="""","""",REGEXMATCH(LOWER($E626),XLOOKUP(Z$1,Metadata!$A$2:$A1000,Metadata!$B$2:$B1000))),Z$1,"""")"),"")</f>
        <v/>
      </c>
    </row>
    <row r="627">
      <c r="A627" s="33"/>
      <c r="B627" s="33"/>
      <c r="C627" s="33"/>
      <c r="D627" s="33"/>
      <c r="E627" s="33"/>
      <c r="F627" s="33"/>
      <c r="G627" s="33"/>
      <c r="H627" s="33"/>
      <c r="I627" s="33"/>
      <c r="J627" s="33"/>
      <c r="K627" s="33"/>
      <c r="L627" s="33" t="str">
        <f>IFERROR(__xludf.DUMMYFUNCTION("IF(IF(L$1="""","""",REGEXMATCH(LOWER($E627),XLOOKUP(L$1,Metadata!$A$2:$A1000,Metadata!$B$2:$B1000))),L$1,"""")"),"")</f>
        <v/>
      </c>
      <c r="M627" s="33" t="str">
        <f>IFERROR(__xludf.DUMMYFUNCTION("IF(IF(M$1="""","""",REGEXMATCH(LOWER($E627),XLOOKUP(M$1,Metadata!$A$2:$A1000,Metadata!$B$2:$B1000))),M$1,"""")"),"")</f>
        <v/>
      </c>
      <c r="N627" s="33" t="str">
        <f>IFERROR(__xludf.DUMMYFUNCTION("IF(IF(N$1="""","""",REGEXMATCH(LOWER($E627),XLOOKUP(N$1,Metadata!$A$2:$A1000,Metadata!$B$2:$B1000))),N$1,"""")"),"")</f>
        <v/>
      </c>
      <c r="O627" s="33" t="str">
        <f>IFERROR(__xludf.DUMMYFUNCTION("IF(IF(O$1="""","""",REGEXMATCH(LOWER($E627),XLOOKUP(O$1,Metadata!$A$2:$A1000,Metadata!$B$2:$B1000))),O$1,"""")"),"")</f>
        <v/>
      </c>
      <c r="P627" s="33" t="str">
        <f>IFERROR(__xludf.DUMMYFUNCTION("IF(IF(P$1="""","""",REGEXMATCH(LOWER($E627),XLOOKUP(P$1,Metadata!$A$2:$A1000,Metadata!$B$2:$B1000))),P$1,"""")"),"")</f>
        <v/>
      </c>
      <c r="Q627" s="33" t="str">
        <f>IFERROR(__xludf.DUMMYFUNCTION("IF(IF(Q$1="""","""",REGEXMATCH(LOWER($E627),XLOOKUP(Q$1,Metadata!$A$2:$A1000,Metadata!$B$2:$B1000))),Q$1,"""")"),"")</f>
        <v/>
      </c>
      <c r="R627" s="33" t="str">
        <f>IFERROR(__xludf.DUMMYFUNCTION("IF(IF(R$1="""","""",REGEXMATCH(LOWER($E627),XLOOKUP(R$1,Metadata!$A$2:$A1000,Metadata!$B$2:$B1000))),R$1,"""")"),"")</f>
        <v/>
      </c>
      <c r="S627" s="33" t="str">
        <f>IFERROR(__xludf.DUMMYFUNCTION("IF(IF(S$1="""","""",REGEXMATCH(LOWER($E627),XLOOKUP(S$1,Metadata!$A$2:$A1000,Metadata!$B$2:$B1000))),S$1,"""")"),"")</f>
        <v/>
      </c>
      <c r="T627" s="33" t="str">
        <f>IFERROR(__xludf.DUMMYFUNCTION("IF(IF(T$1="""","""",REGEXMATCH(LOWER($E627),XLOOKUP(T$1,Metadata!$A$2:$A1000,Metadata!$B$2:$B1000))),T$1,"""")"),"")</f>
        <v/>
      </c>
      <c r="U627" s="33" t="str">
        <f>IFERROR(__xludf.DUMMYFUNCTION("IF(IF(U$1="""","""",REGEXMATCH(LOWER($E627),XLOOKUP(U$1,Metadata!$A$2:$A1000,Metadata!$B$2:$B1000))),U$1,"""")"),"")</f>
        <v/>
      </c>
      <c r="V627" s="33" t="str">
        <f>IFERROR(__xludf.DUMMYFUNCTION("IF(IF(V$1="""","""",REGEXMATCH(LOWER($E627),XLOOKUP(V$1,Metadata!$A$2:$A1000,Metadata!$B$2:$B1000))),V$1,"""")"),"")</f>
        <v/>
      </c>
      <c r="W627" s="33" t="str">
        <f>IFERROR(__xludf.DUMMYFUNCTION("IF(IF(W$1="""","""",REGEXMATCH(LOWER($E627),XLOOKUP(W$1,Metadata!$A$2:$A1000,Metadata!$B$2:$B1000))),W$1,"""")"),"")</f>
        <v/>
      </c>
      <c r="X627" s="33" t="str">
        <f>IFERROR(__xludf.DUMMYFUNCTION("IF(IF(X$1="""","""",REGEXMATCH(LOWER($E627),XLOOKUP(X$1,Metadata!$A$2:$A1000,Metadata!$B$2:$B1000))),X$1,"""")"),"")</f>
        <v/>
      </c>
      <c r="Y627" s="33" t="str">
        <f>IFERROR(__xludf.DUMMYFUNCTION("IF(IF(Y$1="""","""",REGEXMATCH(LOWER($E627),XLOOKUP(Y$1,Metadata!$A$2:$A1000,Metadata!$B$2:$B1000))),Y$1,"""")"),"")</f>
        <v/>
      </c>
      <c r="Z627" s="33" t="str">
        <f>IFERROR(__xludf.DUMMYFUNCTION("IF(IF(Z$1="""","""",REGEXMATCH(LOWER($E627),XLOOKUP(Z$1,Metadata!$A$2:$A1000,Metadata!$B$2:$B1000))),Z$1,"""")"),"")</f>
        <v/>
      </c>
    </row>
    <row r="628">
      <c r="A628" s="33"/>
      <c r="B628" s="33"/>
      <c r="C628" s="33"/>
      <c r="D628" s="33"/>
      <c r="E628" s="33"/>
      <c r="F628" s="33"/>
      <c r="G628" s="33"/>
      <c r="H628" s="33"/>
      <c r="I628" s="33"/>
      <c r="J628" s="33"/>
      <c r="K628" s="33"/>
      <c r="L628" s="33" t="str">
        <f>IFERROR(__xludf.DUMMYFUNCTION("IF(IF(L$1="""","""",REGEXMATCH(LOWER($E628),XLOOKUP(L$1,Metadata!$A$2:$A1000,Metadata!$B$2:$B1000))),L$1,"""")"),"")</f>
        <v/>
      </c>
      <c r="M628" s="33" t="str">
        <f>IFERROR(__xludf.DUMMYFUNCTION("IF(IF(M$1="""","""",REGEXMATCH(LOWER($E628),XLOOKUP(M$1,Metadata!$A$2:$A1000,Metadata!$B$2:$B1000))),M$1,"""")"),"")</f>
        <v/>
      </c>
      <c r="N628" s="33" t="str">
        <f>IFERROR(__xludf.DUMMYFUNCTION("IF(IF(N$1="""","""",REGEXMATCH(LOWER($E628),XLOOKUP(N$1,Metadata!$A$2:$A1000,Metadata!$B$2:$B1000))),N$1,"""")"),"")</f>
        <v/>
      </c>
      <c r="O628" s="33" t="str">
        <f>IFERROR(__xludf.DUMMYFUNCTION("IF(IF(O$1="""","""",REGEXMATCH(LOWER($E628),XLOOKUP(O$1,Metadata!$A$2:$A1000,Metadata!$B$2:$B1000))),O$1,"""")"),"")</f>
        <v/>
      </c>
      <c r="P628" s="33" t="str">
        <f>IFERROR(__xludf.DUMMYFUNCTION("IF(IF(P$1="""","""",REGEXMATCH(LOWER($E628),XLOOKUP(P$1,Metadata!$A$2:$A1000,Metadata!$B$2:$B1000))),P$1,"""")"),"")</f>
        <v/>
      </c>
      <c r="Q628" s="33" t="str">
        <f>IFERROR(__xludf.DUMMYFUNCTION("IF(IF(Q$1="""","""",REGEXMATCH(LOWER($E628),XLOOKUP(Q$1,Metadata!$A$2:$A1000,Metadata!$B$2:$B1000))),Q$1,"""")"),"")</f>
        <v/>
      </c>
      <c r="R628" s="33" t="str">
        <f>IFERROR(__xludf.DUMMYFUNCTION("IF(IF(R$1="""","""",REGEXMATCH(LOWER($E628),XLOOKUP(R$1,Metadata!$A$2:$A1000,Metadata!$B$2:$B1000))),R$1,"""")"),"")</f>
        <v/>
      </c>
      <c r="S628" s="33" t="str">
        <f>IFERROR(__xludf.DUMMYFUNCTION("IF(IF(S$1="""","""",REGEXMATCH(LOWER($E628),XLOOKUP(S$1,Metadata!$A$2:$A1000,Metadata!$B$2:$B1000))),S$1,"""")"),"")</f>
        <v/>
      </c>
      <c r="T628" s="33" t="str">
        <f>IFERROR(__xludf.DUMMYFUNCTION("IF(IF(T$1="""","""",REGEXMATCH(LOWER($E628),XLOOKUP(T$1,Metadata!$A$2:$A1000,Metadata!$B$2:$B1000))),T$1,"""")"),"")</f>
        <v/>
      </c>
      <c r="U628" s="33" t="str">
        <f>IFERROR(__xludf.DUMMYFUNCTION("IF(IF(U$1="""","""",REGEXMATCH(LOWER($E628),XLOOKUP(U$1,Metadata!$A$2:$A1000,Metadata!$B$2:$B1000))),U$1,"""")"),"")</f>
        <v/>
      </c>
      <c r="V628" s="33" t="str">
        <f>IFERROR(__xludf.DUMMYFUNCTION("IF(IF(V$1="""","""",REGEXMATCH(LOWER($E628),XLOOKUP(V$1,Metadata!$A$2:$A1000,Metadata!$B$2:$B1000))),V$1,"""")"),"")</f>
        <v/>
      </c>
      <c r="W628" s="33" t="str">
        <f>IFERROR(__xludf.DUMMYFUNCTION("IF(IF(W$1="""","""",REGEXMATCH(LOWER($E628),XLOOKUP(W$1,Metadata!$A$2:$A1000,Metadata!$B$2:$B1000))),W$1,"""")"),"")</f>
        <v/>
      </c>
      <c r="X628" s="33" t="str">
        <f>IFERROR(__xludf.DUMMYFUNCTION("IF(IF(X$1="""","""",REGEXMATCH(LOWER($E628),XLOOKUP(X$1,Metadata!$A$2:$A1000,Metadata!$B$2:$B1000))),X$1,"""")"),"")</f>
        <v/>
      </c>
      <c r="Y628" s="33" t="str">
        <f>IFERROR(__xludf.DUMMYFUNCTION("IF(IF(Y$1="""","""",REGEXMATCH(LOWER($E628),XLOOKUP(Y$1,Metadata!$A$2:$A1000,Metadata!$B$2:$B1000))),Y$1,"""")"),"")</f>
        <v/>
      </c>
      <c r="Z628" s="33" t="str">
        <f>IFERROR(__xludf.DUMMYFUNCTION("IF(IF(Z$1="""","""",REGEXMATCH(LOWER($E628),XLOOKUP(Z$1,Metadata!$A$2:$A1000,Metadata!$B$2:$B1000))),Z$1,"""")"),"")</f>
        <v/>
      </c>
    </row>
    <row r="629">
      <c r="A629" s="33"/>
      <c r="B629" s="33"/>
      <c r="C629" s="33"/>
      <c r="D629" s="33"/>
      <c r="E629" s="33"/>
      <c r="F629" s="33"/>
      <c r="G629" s="33"/>
      <c r="H629" s="33"/>
      <c r="I629" s="33"/>
      <c r="J629" s="33"/>
      <c r="K629" s="33"/>
      <c r="L629" s="33" t="str">
        <f>IFERROR(__xludf.DUMMYFUNCTION("IF(IF(L$1="""","""",REGEXMATCH(LOWER($E629),XLOOKUP(L$1,Metadata!$A$2:$A1000,Metadata!$B$2:$B1000))),L$1,"""")"),"")</f>
        <v/>
      </c>
      <c r="M629" s="33" t="str">
        <f>IFERROR(__xludf.DUMMYFUNCTION("IF(IF(M$1="""","""",REGEXMATCH(LOWER($E629),XLOOKUP(M$1,Metadata!$A$2:$A1000,Metadata!$B$2:$B1000))),M$1,"""")"),"")</f>
        <v/>
      </c>
      <c r="N629" s="33" t="str">
        <f>IFERROR(__xludf.DUMMYFUNCTION("IF(IF(N$1="""","""",REGEXMATCH(LOWER($E629),XLOOKUP(N$1,Metadata!$A$2:$A1000,Metadata!$B$2:$B1000))),N$1,"""")"),"")</f>
        <v/>
      </c>
      <c r="O629" s="33" t="str">
        <f>IFERROR(__xludf.DUMMYFUNCTION("IF(IF(O$1="""","""",REGEXMATCH(LOWER($E629),XLOOKUP(O$1,Metadata!$A$2:$A1000,Metadata!$B$2:$B1000))),O$1,"""")"),"")</f>
        <v/>
      </c>
      <c r="P629" s="33" t="str">
        <f>IFERROR(__xludf.DUMMYFUNCTION("IF(IF(P$1="""","""",REGEXMATCH(LOWER($E629),XLOOKUP(P$1,Metadata!$A$2:$A1000,Metadata!$B$2:$B1000))),P$1,"""")"),"")</f>
        <v/>
      </c>
      <c r="Q629" s="33" t="str">
        <f>IFERROR(__xludf.DUMMYFUNCTION("IF(IF(Q$1="""","""",REGEXMATCH(LOWER($E629),XLOOKUP(Q$1,Metadata!$A$2:$A1000,Metadata!$B$2:$B1000))),Q$1,"""")"),"")</f>
        <v/>
      </c>
      <c r="R629" s="33" t="str">
        <f>IFERROR(__xludf.DUMMYFUNCTION("IF(IF(R$1="""","""",REGEXMATCH(LOWER($E629),XLOOKUP(R$1,Metadata!$A$2:$A1000,Metadata!$B$2:$B1000))),R$1,"""")"),"")</f>
        <v/>
      </c>
      <c r="S629" s="33" t="str">
        <f>IFERROR(__xludf.DUMMYFUNCTION("IF(IF(S$1="""","""",REGEXMATCH(LOWER($E629),XLOOKUP(S$1,Metadata!$A$2:$A1000,Metadata!$B$2:$B1000))),S$1,"""")"),"")</f>
        <v/>
      </c>
      <c r="T629" s="33" t="str">
        <f>IFERROR(__xludf.DUMMYFUNCTION("IF(IF(T$1="""","""",REGEXMATCH(LOWER($E629),XLOOKUP(T$1,Metadata!$A$2:$A1000,Metadata!$B$2:$B1000))),T$1,"""")"),"")</f>
        <v/>
      </c>
      <c r="U629" s="33" t="str">
        <f>IFERROR(__xludf.DUMMYFUNCTION("IF(IF(U$1="""","""",REGEXMATCH(LOWER($E629),XLOOKUP(U$1,Metadata!$A$2:$A1000,Metadata!$B$2:$B1000))),U$1,"""")"),"")</f>
        <v/>
      </c>
      <c r="V629" s="33" t="str">
        <f>IFERROR(__xludf.DUMMYFUNCTION("IF(IF(V$1="""","""",REGEXMATCH(LOWER($E629),XLOOKUP(V$1,Metadata!$A$2:$A1000,Metadata!$B$2:$B1000))),V$1,"""")"),"")</f>
        <v/>
      </c>
      <c r="W629" s="33" t="str">
        <f>IFERROR(__xludf.DUMMYFUNCTION("IF(IF(W$1="""","""",REGEXMATCH(LOWER($E629),XLOOKUP(W$1,Metadata!$A$2:$A1000,Metadata!$B$2:$B1000))),W$1,"""")"),"")</f>
        <v/>
      </c>
      <c r="X629" s="33" t="str">
        <f>IFERROR(__xludf.DUMMYFUNCTION("IF(IF(X$1="""","""",REGEXMATCH(LOWER($E629),XLOOKUP(X$1,Metadata!$A$2:$A1000,Metadata!$B$2:$B1000))),X$1,"""")"),"")</f>
        <v/>
      </c>
      <c r="Y629" s="33" t="str">
        <f>IFERROR(__xludf.DUMMYFUNCTION("IF(IF(Y$1="""","""",REGEXMATCH(LOWER($E629),XLOOKUP(Y$1,Metadata!$A$2:$A1000,Metadata!$B$2:$B1000))),Y$1,"""")"),"")</f>
        <v/>
      </c>
      <c r="Z629" s="33" t="str">
        <f>IFERROR(__xludf.DUMMYFUNCTION("IF(IF(Z$1="""","""",REGEXMATCH(LOWER($E629),XLOOKUP(Z$1,Metadata!$A$2:$A1000,Metadata!$B$2:$B1000))),Z$1,"""")"),"")</f>
        <v/>
      </c>
    </row>
    <row r="630">
      <c r="A630" s="33"/>
      <c r="B630" s="33"/>
      <c r="C630" s="33"/>
      <c r="D630" s="33"/>
      <c r="E630" s="33"/>
      <c r="F630" s="33"/>
      <c r="G630" s="33"/>
      <c r="H630" s="33"/>
      <c r="I630" s="33"/>
      <c r="J630" s="33"/>
      <c r="K630" s="33"/>
      <c r="L630" s="33" t="str">
        <f>IFERROR(__xludf.DUMMYFUNCTION("IF(IF(L$1="""","""",REGEXMATCH(LOWER($E630),XLOOKUP(L$1,Metadata!$A$2:$A1000,Metadata!$B$2:$B1000))),L$1,"""")"),"")</f>
        <v/>
      </c>
      <c r="M630" s="33" t="str">
        <f>IFERROR(__xludf.DUMMYFUNCTION("IF(IF(M$1="""","""",REGEXMATCH(LOWER($E630),XLOOKUP(M$1,Metadata!$A$2:$A1000,Metadata!$B$2:$B1000))),M$1,"""")"),"")</f>
        <v/>
      </c>
      <c r="N630" s="33" t="str">
        <f>IFERROR(__xludf.DUMMYFUNCTION("IF(IF(N$1="""","""",REGEXMATCH(LOWER($E630),XLOOKUP(N$1,Metadata!$A$2:$A1000,Metadata!$B$2:$B1000))),N$1,"""")"),"")</f>
        <v/>
      </c>
      <c r="O630" s="33" t="str">
        <f>IFERROR(__xludf.DUMMYFUNCTION("IF(IF(O$1="""","""",REGEXMATCH(LOWER($E630),XLOOKUP(O$1,Metadata!$A$2:$A1000,Metadata!$B$2:$B1000))),O$1,"""")"),"")</f>
        <v/>
      </c>
      <c r="P630" s="33" t="str">
        <f>IFERROR(__xludf.DUMMYFUNCTION("IF(IF(P$1="""","""",REGEXMATCH(LOWER($E630),XLOOKUP(P$1,Metadata!$A$2:$A1000,Metadata!$B$2:$B1000))),P$1,"""")"),"")</f>
        <v/>
      </c>
      <c r="Q630" s="33" t="str">
        <f>IFERROR(__xludf.DUMMYFUNCTION("IF(IF(Q$1="""","""",REGEXMATCH(LOWER($E630),XLOOKUP(Q$1,Metadata!$A$2:$A1000,Metadata!$B$2:$B1000))),Q$1,"""")"),"")</f>
        <v/>
      </c>
      <c r="R630" s="33" t="str">
        <f>IFERROR(__xludf.DUMMYFUNCTION("IF(IF(R$1="""","""",REGEXMATCH(LOWER($E630),XLOOKUP(R$1,Metadata!$A$2:$A1000,Metadata!$B$2:$B1000))),R$1,"""")"),"")</f>
        <v/>
      </c>
      <c r="S630" s="33" t="str">
        <f>IFERROR(__xludf.DUMMYFUNCTION("IF(IF(S$1="""","""",REGEXMATCH(LOWER($E630),XLOOKUP(S$1,Metadata!$A$2:$A1000,Metadata!$B$2:$B1000))),S$1,"""")"),"")</f>
        <v/>
      </c>
      <c r="T630" s="33" t="str">
        <f>IFERROR(__xludf.DUMMYFUNCTION("IF(IF(T$1="""","""",REGEXMATCH(LOWER($E630),XLOOKUP(T$1,Metadata!$A$2:$A1000,Metadata!$B$2:$B1000))),T$1,"""")"),"")</f>
        <v/>
      </c>
      <c r="U630" s="33" t="str">
        <f>IFERROR(__xludf.DUMMYFUNCTION("IF(IF(U$1="""","""",REGEXMATCH(LOWER($E630),XLOOKUP(U$1,Metadata!$A$2:$A1000,Metadata!$B$2:$B1000))),U$1,"""")"),"")</f>
        <v/>
      </c>
      <c r="V630" s="33" t="str">
        <f>IFERROR(__xludf.DUMMYFUNCTION("IF(IF(V$1="""","""",REGEXMATCH(LOWER($E630),XLOOKUP(V$1,Metadata!$A$2:$A1000,Metadata!$B$2:$B1000))),V$1,"""")"),"")</f>
        <v/>
      </c>
      <c r="W630" s="33" t="str">
        <f>IFERROR(__xludf.DUMMYFUNCTION("IF(IF(W$1="""","""",REGEXMATCH(LOWER($E630),XLOOKUP(W$1,Metadata!$A$2:$A1000,Metadata!$B$2:$B1000))),W$1,"""")"),"")</f>
        <v/>
      </c>
      <c r="X630" s="33" t="str">
        <f>IFERROR(__xludf.DUMMYFUNCTION("IF(IF(X$1="""","""",REGEXMATCH(LOWER($E630),XLOOKUP(X$1,Metadata!$A$2:$A1000,Metadata!$B$2:$B1000))),X$1,"""")"),"")</f>
        <v/>
      </c>
      <c r="Y630" s="33" t="str">
        <f>IFERROR(__xludf.DUMMYFUNCTION("IF(IF(Y$1="""","""",REGEXMATCH(LOWER($E630),XLOOKUP(Y$1,Metadata!$A$2:$A1000,Metadata!$B$2:$B1000))),Y$1,"""")"),"")</f>
        <v/>
      </c>
      <c r="Z630" s="33" t="str">
        <f>IFERROR(__xludf.DUMMYFUNCTION("IF(IF(Z$1="""","""",REGEXMATCH(LOWER($E630),XLOOKUP(Z$1,Metadata!$A$2:$A1000,Metadata!$B$2:$B1000))),Z$1,"""")"),"")</f>
        <v/>
      </c>
    </row>
    <row r="631">
      <c r="A631" s="33"/>
      <c r="B631" s="33"/>
      <c r="C631" s="33"/>
      <c r="D631" s="33"/>
      <c r="E631" s="33"/>
      <c r="F631" s="33"/>
      <c r="G631" s="33"/>
      <c r="H631" s="33"/>
      <c r="I631" s="33"/>
      <c r="J631" s="33"/>
      <c r="K631" s="33"/>
      <c r="L631" s="33" t="str">
        <f>IFERROR(__xludf.DUMMYFUNCTION("IF(IF(L$1="""","""",REGEXMATCH(LOWER($E631),XLOOKUP(L$1,Metadata!$A$2:$A1000,Metadata!$B$2:$B1000))),L$1,"""")"),"")</f>
        <v/>
      </c>
      <c r="M631" s="33" t="str">
        <f>IFERROR(__xludf.DUMMYFUNCTION("IF(IF(M$1="""","""",REGEXMATCH(LOWER($E631),XLOOKUP(M$1,Metadata!$A$2:$A1000,Metadata!$B$2:$B1000))),M$1,"""")"),"")</f>
        <v/>
      </c>
      <c r="N631" s="33" t="str">
        <f>IFERROR(__xludf.DUMMYFUNCTION("IF(IF(N$1="""","""",REGEXMATCH(LOWER($E631),XLOOKUP(N$1,Metadata!$A$2:$A1000,Metadata!$B$2:$B1000))),N$1,"""")"),"")</f>
        <v/>
      </c>
      <c r="O631" s="33" t="str">
        <f>IFERROR(__xludf.DUMMYFUNCTION("IF(IF(O$1="""","""",REGEXMATCH(LOWER($E631),XLOOKUP(O$1,Metadata!$A$2:$A1000,Metadata!$B$2:$B1000))),O$1,"""")"),"")</f>
        <v/>
      </c>
      <c r="P631" s="33" t="str">
        <f>IFERROR(__xludf.DUMMYFUNCTION("IF(IF(P$1="""","""",REGEXMATCH(LOWER($E631),XLOOKUP(P$1,Metadata!$A$2:$A1000,Metadata!$B$2:$B1000))),P$1,"""")"),"")</f>
        <v/>
      </c>
      <c r="Q631" s="33" t="str">
        <f>IFERROR(__xludf.DUMMYFUNCTION("IF(IF(Q$1="""","""",REGEXMATCH(LOWER($E631),XLOOKUP(Q$1,Metadata!$A$2:$A1000,Metadata!$B$2:$B1000))),Q$1,"""")"),"")</f>
        <v/>
      </c>
      <c r="R631" s="33" t="str">
        <f>IFERROR(__xludf.DUMMYFUNCTION("IF(IF(R$1="""","""",REGEXMATCH(LOWER($E631),XLOOKUP(R$1,Metadata!$A$2:$A1000,Metadata!$B$2:$B1000))),R$1,"""")"),"")</f>
        <v/>
      </c>
      <c r="S631" s="33" t="str">
        <f>IFERROR(__xludf.DUMMYFUNCTION("IF(IF(S$1="""","""",REGEXMATCH(LOWER($E631),XLOOKUP(S$1,Metadata!$A$2:$A1000,Metadata!$B$2:$B1000))),S$1,"""")"),"")</f>
        <v/>
      </c>
      <c r="T631" s="33" t="str">
        <f>IFERROR(__xludf.DUMMYFUNCTION("IF(IF(T$1="""","""",REGEXMATCH(LOWER($E631),XLOOKUP(T$1,Metadata!$A$2:$A1000,Metadata!$B$2:$B1000))),T$1,"""")"),"")</f>
        <v/>
      </c>
      <c r="U631" s="33" t="str">
        <f>IFERROR(__xludf.DUMMYFUNCTION("IF(IF(U$1="""","""",REGEXMATCH(LOWER($E631),XLOOKUP(U$1,Metadata!$A$2:$A1000,Metadata!$B$2:$B1000))),U$1,"""")"),"")</f>
        <v/>
      </c>
      <c r="V631" s="33" t="str">
        <f>IFERROR(__xludf.DUMMYFUNCTION("IF(IF(V$1="""","""",REGEXMATCH(LOWER($E631),XLOOKUP(V$1,Metadata!$A$2:$A1000,Metadata!$B$2:$B1000))),V$1,"""")"),"")</f>
        <v/>
      </c>
      <c r="W631" s="33" t="str">
        <f>IFERROR(__xludf.DUMMYFUNCTION("IF(IF(W$1="""","""",REGEXMATCH(LOWER($E631),XLOOKUP(W$1,Metadata!$A$2:$A1000,Metadata!$B$2:$B1000))),W$1,"""")"),"")</f>
        <v/>
      </c>
      <c r="X631" s="33" t="str">
        <f>IFERROR(__xludf.DUMMYFUNCTION("IF(IF(X$1="""","""",REGEXMATCH(LOWER($E631),XLOOKUP(X$1,Metadata!$A$2:$A1000,Metadata!$B$2:$B1000))),X$1,"""")"),"")</f>
        <v/>
      </c>
      <c r="Y631" s="33" t="str">
        <f>IFERROR(__xludf.DUMMYFUNCTION("IF(IF(Y$1="""","""",REGEXMATCH(LOWER($E631),XLOOKUP(Y$1,Metadata!$A$2:$A1000,Metadata!$B$2:$B1000))),Y$1,"""")"),"")</f>
        <v/>
      </c>
      <c r="Z631" s="33" t="str">
        <f>IFERROR(__xludf.DUMMYFUNCTION("IF(IF(Z$1="""","""",REGEXMATCH(LOWER($E631),XLOOKUP(Z$1,Metadata!$A$2:$A1000,Metadata!$B$2:$B1000))),Z$1,"""")"),"")</f>
        <v/>
      </c>
    </row>
    <row r="632">
      <c r="A632" s="33"/>
      <c r="B632" s="33"/>
      <c r="C632" s="33"/>
      <c r="D632" s="33"/>
      <c r="E632" s="33"/>
      <c r="F632" s="33"/>
      <c r="G632" s="33"/>
      <c r="H632" s="33"/>
      <c r="I632" s="33"/>
      <c r="J632" s="33"/>
      <c r="K632" s="33"/>
      <c r="L632" s="33" t="str">
        <f>IFERROR(__xludf.DUMMYFUNCTION("IF(IF(L$1="""","""",REGEXMATCH(LOWER($E632),XLOOKUP(L$1,Metadata!$A$2:$A1000,Metadata!$B$2:$B1000))),L$1,"""")"),"")</f>
        <v/>
      </c>
      <c r="M632" s="33" t="str">
        <f>IFERROR(__xludf.DUMMYFUNCTION("IF(IF(M$1="""","""",REGEXMATCH(LOWER($E632),XLOOKUP(M$1,Metadata!$A$2:$A1000,Metadata!$B$2:$B1000))),M$1,"""")"),"")</f>
        <v/>
      </c>
      <c r="N632" s="33" t="str">
        <f>IFERROR(__xludf.DUMMYFUNCTION("IF(IF(N$1="""","""",REGEXMATCH(LOWER($E632),XLOOKUP(N$1,Metadata!$A$2:$A1000,Metadata!$B$2:$B1000))),N$1,"""")"),"")</f>
        <v/>
      </c>
      <c r="O632" s="33" t="str">
        <f>IFERROR(__xludf.DUMMYFUNCTION("IF(IF(O$1="""","""",REGEXMATCH(LOWER($E632),XLOOKUP(O$1,Metadata!$A$2:$A1000,Metadata!$B$2:$B1000))),O$1,"""")"),"")</f>
        <v/>
      </c>
      <c r="P632" s="33" t="str">
        <f>IFERROR(__xludf.DUMMYFUNCTION("IF(IF(P$1="""","""",REGEXMATCH(LOWER($E632),XLOOKUP(P$1,Metadata!$A$2:$A1000,Metadata!$B$2:$B1000))),P$1,"""")"),"")</f>
        <v/>
      </c>
      <c r="Q632" s="33" t="str">
        <f>IFERROR(__xludf.DUMMYFUNCTION("IF(IF(Q$1="""","""",REGEXMATCH(LOWER($E632),XLOOKUP(Q$1,Metadata!$A$2:$A1000,Metadata!$B$2:$B1000))),Q$1,"""")"),"")</f>
        <v/>
      </c>
      <c r="R632" s="33" t="str">
        <f>IFERROR(__xludf.DUMMYFUNCTION("IF(IF(R$1="""","""",REGEXMATCH(LOWER($E632),XLOOKUP(R$1,Metadata!$A$2:$A1000,Metadata!$B$2:$B1000))),R$1,"""")"),"")</f>
        <v/>
      </c>
      <c r="S632" s="33" t="str">
        <f>IFERROR(__xludf.DUMMYFUNCTION("IF(IF(S$1="""","""",REGEXMATCH(LOWER($E632),XLOOKUP(S$1,Metadata!$A$2:$A1000,Metadata!$B$2:$B1000))),S$1,"""")"),"")</f>
        <v/>
      </c>
      <c r="T632" s="33" t="str">
        <f>IFERROR(__xludf.DUMMYFUNCTION("IF(IF(T$1="""","""",REGEXMATCH(LOWER($E632),XLOOKUP(T$1,Metadata!$A$2:$A1000,Metadata!$B$2:$B1000))),T$1,"""")"),"")</f>
        <v/>
      </c>
      <c r="U632" s="33" t="str">
        <f>IFERROR(__xludf.DUMMYFUNCTION("IF(IF(U$1="""","""",REGEXMATCH(LOWER($E632),XLOOKUP(U$1,Metadata!$A$2:$A1000,Metadata!$B$2:$B1000))),U$1,"""")"),"")</f>
        <v/>
      </c>
      <c r="V632" s="33" t="str">
        <f>IFERROR(__xludf.DUMMYFUNCTION("IF(IF(V$1="""","""",REGEXMATCH(LOWER($E632),XLOOKUP(V$1,Metadata!$A$2:$A1000,Metadata!$B$2:$B1000))),V$1,"""")"),"")</f>
        <v/>
      </c>
      <c r="W632" s="33" t="str">
        <f>IFERROR(__xludf.DUMMYFUNCTION("IF(IF(W$1="""","""",REGEXMATCH(LOWER($E632),XLOOKUP(W$1,Metadata!$A$2:$A1000,Metadata!$B$2:$B1000))),W$1,"""")"),"")</f>
        <v/>
      </c>
      <c r="X632" s="33" t="str">
        <f>IFERROR(__xludf.DUMMYFUNCTION("IF(IF(X$1="""","""",REGEXMATCH(LOWER($E632),XLOOKUP(X$1,Metadata!$A$2:$A1000,Metadata!$B$2:$B1000))),X$1,"""")"),"")</f>
        <v/>
      </c>
      <c r="Y632" s="33" t="str">
        <f>IFERROR(__xludf.DUMMYFUNCTION("IF(IF(Y$1="""","""",REGEXMATCH(LOWER($E632),XLOOKUP(Y$1,Metadata!$A$2:$A1000,Metadata!$B$2:$B1000))),Y$1,"""")"),"")</f>
        <v/>
      </c>
      <c r="Z632" s="33" t="str">
        <f>IFERROR(__xludf.DUMMYFUNCTION("IF(IF(Z$1="""","""",REGEXMATCH(LOWER($E632),XLOOKUP(Z$1,Metadata!$A$2:$A1000,Metadata!$B$2:$B1000))),Z$1,"""")"),"")</f>
        <v/>
      </c>
    </row>
    <row r="633">
      <c r="A633" s="33"/>
      <c r="B633" s="33"/>
      <c r="C633" s="33"/>
      <c r="D633" s="33"/>
      <c r="E633" s="33"/>
      <c r="F633" s="33"/>
      <c r="G633" s="33"/>
      <c r="H633" s="33"/>
      <c r="I633" s="33"/>
      <c r="J633" s="33"/>
      <c r="K633" s="33"/>
      <c r="L633" s="33" t="str">
        <f>IFERROR(__xludf.DUMMYFUNCTION("IF(IF(L$1="""","""",REGEXMATCH(LOWER($E633),XLOOKUP(L$1,Metadata!$A$2:$A1000,Metadata!$B$2:$B1000))),L$1,"""")"),"")</f>
        <v/>
      </c>
      <c r="M633" s="33" t="str">
        <f>IFERROR(__xludf.DUMMYFUNCTION("IF(IF(M$1="""","""",REGEXMATCH(LOWER($E633),XLOOKUP(M$1,Metadata!$A$2:$A1000,Metadata!$B$2:$B1000))),M$1,"""")"),"")</f>
        <v/>
      </c>
      <c r="N633" s="33" t="str">
        <f>IFERROR(__xludf.DUMMYFUNCTION("IF(IF(N$1="""","""",REGEXMATCH(LOWER($E633),XLOOKUP(N$1,Metadata!$A$2:$A1000,Metadata!$B$2:$B1000))),N$1,"""")"),"")</f>
        <v/>
      </c>
      <c r="O633" s="33" t="str">
        <f>IFERROR(__xludf.DUMMYFUNCTION("IF(IF(O$1="""","""",REGEXMATCH(LOWER($E633),XLOOKUP(O$1,Metadata!$A$2:$A1000,Metadata!$B$2:$B1000))),O$1,"""")"),"")</f>
        <v/>
      </c>
      <c r="P633" s="33" t="str">
        <f>IFERROR(__xludf.DUMMYFUNCTION("IF(IF(P$1="""","""",REGEXMATCH(LOWER($E633),XLOOKUP(P$1,Metadata!$A$2:$A1000,Metadata!$B$2:$B1000))),P$1,"""")"),"")</f>
        <v/>
      </c>
      <c r="Q633" s="33" t="str">
        <f>IFERROR(__xludf.DUMMYFUNCTION("IF(IF(Q$1="""","""",REGEXMATCH(LOWER($E633),XLOOKUP(Q$1,Metadata!$A$2:$A1000,Metadata!$B$2:$B1000))),Q$1,"""")"),"")</f>
        <v/>
      </c>
      <c r="R633" s="33" t="str">
        <f>IFERROR(__xludf.DUMMYFUNCTION("IF(IF(R$1="""","""",REGEXMATCH(LOWER($E633),XLOOKUP(R$1,Metadata!$A$2:$A1000,Metadata!$B$2:$B1000))),R$1,"""")"),"")</f>
        <v/>
      </c>
      <c r="S633" s="33" t="str">
        <f>IFERROR(__xludf.DUMMYFUNCTION("IF(IF(S$1="""","""",REGEXMATCH(LOWER($E633),XLOOKUP(S$1,Metadata!$A$2:$A1000,Metadata!$B$2:$B1000))),S$1,"""")"),"")</f>
        <v/>
      </c>
      <c r="T633" s="33" t="str">
        <f>IFERROR(__xludf.DUMMYFUNCTION("IF(IF(T$1="""","""",REGEXMATCH(LOWER($E633),XLOOKUP(T$1,Metadata!$A$2:$A1000,Metadata!$B$2:$B1000))),T$1,"""")"),"")</f>
        <v/>
      </c>
      <c r="U633" s="33" t="str">
        <f>IFERROR(__xludf.DUMMYFUNCTION("IF(IF(U$1="""","""",REGEXMATCH(LOWER($E633),XLOOKUP(U$1,Metadata!$A$2:$A1000,Metadata!$B$2:$B1000))),U$1,"""")"),"")</f>
        <v/>
      </c>
      <c r="V633" s="33" t="str">
        <f>IFERROR(__xludf.DUMMYFUNCTION("IF(IF(V$1="""","""",REGEXMATCH(LOWER($E633),XLOOKUP(V$1,Metadata!$A$2:$A1000,Metadata!$B$2:$B1000))),V$1,"""")"),"")</f>
        <v/>
      </c>
      <c r="W633" s="33" t="str">
        <f>IFERROR(__xludf.DUMMYFUNCTION("IF(IF(W$1="""","""",REGEXMATCH(LOWER($E633),XLOOKUP(W$1,Metadata!$A$2:$A1000,Metadata!$B$2:$B1000))),W$1,"""")"),"")</f>
        <v/>
      </c>
      <c r="X633" s="33" t="str">
        <f>IFERROR(__xludf.DUMMYFUNCTION("IF(IF(X$1="""","""",REGEXMATCH(LOWER($E633),XLOOKUP(X$1,Metadata!$A$2:$A1000,Metadata!$B$2:$B1000))),X$1,"""")"),"")</f>
        <v/>
      </c>
      <c r="Y633" s="33" t="str">
        <f>IFERROR(__xludf.DUMMYFUNCTION("IF(IF(Y$1="""","""",REGEXMATCH(LOWER($E633),XLOOKUP(Y$1,Metadata!$A$2:$A1000,Metadata!$B$2:$B1000))),Y$1,"""")"),"")</f>
        <v/>
      </c>
      <c r="Z633" s="33" t="str">
        <f>IFERROR(__xludf.DUMMYFUNCTION("IF(IF(Z$1="""","""",REGEXMATCH(LOWER($E633),XLOOKUP(Z$1,Metadata!$A$2:$A1000,Metadata!$B$2:$B1000))),Z$1,"""")"),"")</f>
        <v/>
      </c>
    </row>
    <row r="634">
      <c r="A634" s="33"/>
      <c r="B634" s="33"/>
      <c r="C634" s="33"/>
      <c r="D634" s="33"/>
      <c r="E634" s="33"/>
      <c r="F634" s="33"/>
      <c r="G634" s="33"/>
      <c r="H634" s="33"/>
      <c r="I634" s="33"/>
      <c r="J634" s="33"/>
      <c r="K634" s="33"/>
      <c r="L634" s="33" t="str">
        <f>IFERROR(__xludf.DUMMYFUNCTION("IF(IF(L$1="""","""",REGEXMATCH(LOWER($E634),XLOOKUP(L$1,Metadata!$A$2:$A1000,Metadata!$B$2:$B1000))),L$1,"""")"),"")</f>
        <v/>
      </c>
      <c r="M634" s="33" t="str">
        <f>IFERROR(__xludf.DUMMYFUNCTION("IF(IF(M$1="""","""",REGEXMATCH(LOWER($E634),XLOOKUP(M$1,Metadata!$A$2:$A1000,Metadata!$B$2:$B1000))),M$1,"""")"),"")</f>
        <v/>
      </c>
      <c r="N634" s="33" t="str">
        <f>IFERROR(__xludf.DUMMYFUNCTION("IF(IF(N$1="""","""",REGEXMATCH(LOWER($E634),XLOOKUP(N$1,Metadata!$A$2:$A1000,Metadata!$B$2:$B1000))),N$1,"""")"),"")</f>
        <v/>
      </c>
      <c r="O634" s="33" t="str">
        <f>IFERROR(__xludf.DUMMYFUNCTION("IF(IF(O$1="""","""",REGEXMATCH(LOWER($E634),XLOOKUP(O$1,Metadata!$A$2:$A1000,Metadata!$B$2:$B1000))),O$1,"""")"),"")</f>
        <v/>
      </c>
      <c r="P634" s="33" t="str">
        <f>IFERROR(__xludf.DUMMYFUNCTION("IF(IF(P$1="""","""",REGEXMATCH(LOWER($E634),XLOOKUP(P$1,Metadata!$A$2:$A1000,Metadata!$B$2:$B1000))),P$1,"""")"),"")</f>
        <v/>
      </c>
      <c r="Q634" s="33" t="str">
        <f>IFERROR(__xludf.DUMMYFUNCTION("IF(IF(Q$1="""","""",REGEXMATCH(LOWER($E634),XLOOKUP(Q$1,Metadata!$A$2:$A1000,Metadata!$B$2:$B1000))),Q$1,"""")"),"")</f>
        <v/>
      </c>
      <c r="R634" s="33" t="str">
        <f>IFERROR(__xludf.DUMMYFUNCTION("IF(IF(R$1="""","""",REGEXMATCH(LOWER($E634),XLOOKUP(R$1,Metadata!$A$2:$A1000,Metadata!$B$2:$B1000))),R$1,"""")"),"")</f>
        <v/>
      </c>
      <c r="S634" s="33" t="str">
        <f>IFERROR(__xludf.DUMMYFUNCTION("IF(IF(S$1="""","""",REGEXMATCH(LOWER($E634),XLOOKUP(S$1,Metadata!$A$2:$A1000,Metadata!$B$2:$B1000))),S$1,"""")"),"")</f>
        <v/>
      </c>
      <c r="T634" s="33" t="str">
        <f>IFERROR(__xludf.DUMMYFUNCTION("IF(IF(T$1="""","""",REGEXMATCH(LOWER($E634),XLOOKUP(T$1,Metadata!$A$2:$A1000,Metadata!$B$2:$B1000))),T$1,"""")"),"")</f>
        <v/>
      </c>
      <c r="U634" s="33" t="str">
        <f>IFERROR(__xludf.DUMMYFUNCTION("IF(IF(U$1="""","""",REGEXMATCH(LOWER($E634),XLOOKUP(U$1,Metadata!$A$2:$A1000,Metadata!$B$2:$B1000))),U$1,"""")"),"")</f>
        <v/>
      </c>
      <c r="V634" s="33" t="str">
        <f>IFERROR(__xludf.DUMMYFUNCTION("IF(IF(V$1="""","""",REGEXMATCH(LOWER($E634),XLOOKUP(V$1,Metadata!$A$2:$A1000,Metadata!$B$2:$B1000))),V$1,"""")"),"")</f>
        <v/>
      </c>
      <c r="W634" s="33" t="str">
        <f>IFERROR(__xludf.DUMMYFUNCTION("IF(IF(W$1="""","""",REGEXMATCH(LOWER($E634),XLOOKUP(W$1,Metadata!$A$2:$A1000,Metadata!$B$2:$B1000))),W$1,"""")"),"")</f>
        <v/>
      </c>
      <c r="X634" s="33" t="str">
        <f>IFERROR(__xludf.DUMMYFUNCTION("IF(IF(X$1="""","""",REGEXMATCH(LOWER($E634),XLOOKUP(X$1,Metadata!$A$2:$A1000,Metadata!$B$2:$B1000))),X$1,"""")"),"")</f>
        <v/>
      </c>
      <c r="Y634" s="33" t="str">
        <f>IFERROR(__xludf.DUMMYFUNCTION("IF(IF(Y$1="""","""",REGEXMATCH(LOWER($E634),XLOOKUP(Y$1,Metadata!$A$2:$A1000,Metadata!$B$2:$B1000))),Y$1,"""")"),"")</f>
        <v/>
      </c>
      <c r="Z634" s="33" t="str">
        <f>IFERROR(__xludf.DUMMYFUNCTION("IF(IF(Z$1="""","""",REGEXMATCH(LOWER($E634),XLOOKUP(Z$1,Metadata!$A$2:$A1000,Metadata!$B$2:$B1000))),Z$1,"""")"),"")</f>
        <v/>
      </c>
    </row>
    <row r="635">
      <c r="A635" s="33"/>
      <c r="B635" s="33"/>
      <c r="C635" s="33"/>
      <c r="D635" s="33"/>
      <c r="E635" s="33"/>
      <c r="F635" s="33"/>
      <c r="G635" s="33"/>
      <c r="H635" s="33"/>
      <c r="I635" s="33"/>
      <c r="J635" s="33"/>
      <c r="K635" s="33"/>
      <c r="L635" s="33" t="str">
        <f>IFERROR(__xludf.DUMMYFUNCTION("IF(IF(L$1="""","""",REGEXMATCH(LOWER($E635),XLOOKUP(L$1,Metadata!$A$2:$A1000,Metadata!$B$2:$B1000))),L$1,"""")"),"")</f>
        <v/>
      </c>
      <c r="M635" s="33" t="str">
        <f>IFERROR(__xludf.DUMMYFUNCTION("IF(IF(M$1="""","""",REGEXMATCH(LOWER($E635),XLOOKUP(M$1,Metadata!$A$2:$A1000,Metadata!$B$2:$B1000))),M$1,"""")"),"")</f>
        <v/>
      </c>
      <c r="N635" s="33" t="str">
        <f>IFERROR(__xludf.DUMMYFUNCTION("IF(IF(N$1="""","""",REGEXMATCH(LOWER($E635),XLOOKUP(N$1,Metadata!$A$2:$A1000,Metadata!$B$2:$B1000))),N$1,"""")"),"")</f>
        <v/>
      </c>
      <c r="O635" s="33" t="str">
        <f>IFERROR(__xludf.DUMMYFUNCTION("IF(IF(O$1="""","""",REGEXMATCH(LOWER($E635),XLOOKUP(O$1,Metadata!$A$2:$A1000,Metadata!$B$2:$B1000))),O$1,"""")"),"")</f>
        <v/>
      </c>
      <c r="P635" s="33" t="str">
        <f>IFERROR(__xludf.DUMMYFUNCTION("IF(IF(P$1="""","""",REGEXMATCH(LOWER($E635),XLOOKUP(P$1,Metadata!$A$2:$A1000,Metadata!$B$2:$B1000))),P$1,"""")"),"")</f>
        <v/>
      </c>
      <c r="Q635" s="33" t="str">
        <f>IFERROR(__xludf.DUMMYFUNCTION("IF(IF(Q$1="""","""",REGEXMATCH(LOWER($E635),XLOOKUP(Q$1,Metadata!$A$2:$A1000,Metadata!$B$2:$B1000))),Q$1,"""")"),"")</f>
        <v/>
      </c>
      <c r="R635" s="33" t="str">
        <f>IFERROR(__xludf.DUMMYFUNCTION("IF(IF(R$1="""","""",REGEXMATCH(LOWER($E635),XLOOKUP(R$1,Metadata!$A$2:$A1000,Metadata!$B$2:$B1000))),R$1,"""")"),"")</f>
        <v/>
      </c>
      <c r="S635" s="33" t="str">
        <f>IFERROR(__xludf.DUMMYFUNCTION("IF(IF(S$1="""","""",REGEXMATCH(LOWER($E635),XLOOKUP(S$1,Metadata!$A$2:$A1000,Metadata!$B$2:$B1000))),S$1,"""")"),"")</f>
        <v/>
      </c>
      <c r="T635" s="33" t="str">
        <f>IFERROR(__xludf.DUMMYFUNCTION("IF(IF(T$1="""","""",REGEXMATCH(LOWER($E635),XLOOKUP(T$1,Metadata!$A$2:$A1000,Metadata!$B$2:$B1000))),T$1,"""")"),"")</f>
        <v/>
      </c>
      <c r="U635" s="33" t="str">
        <f>IFERROR(__xludf.DUMMYFUNCTION("IF(IF(U$1="""","""",REGEXMATCH(LOWER($E635),XLOOKUP(U$1,Metadata!$A$2:$A1000,Metadata!$B$2:$B1000))),U$1,"""")"),"")</f>
        <v/>
      </c>
      <c r="V635" s="33" t="str">
        <f>IFERROR(__xludf.DUMMYFUNCTION("IF(IF(V$1="""","""",REGEXMATCH(LOWER($E635),XLOOKUP(V$1,Metadata!$A$2:$A1000,Metadata!$B$2:$B1000))),V$1,"""")"),"")</f>
        <v/>
      </c>
      <c r="W635" s="33" t="str">
        <f>IFERROR(__xludf.DUMMYFUNCTION("IF(IF(W$1="""","""",REGEXMATCH(LOWER($E635),XLOOKUP(W$1,Metadata!$A$2:$A1000,Metadata!$B$2:$B1000))),W$1,"""")"),"")</f>
        <v/>
      </c>
      <c r="X635" s="33" t="str">
        <f>IFERROR(__xludf.DUMMYFUNCTION("IF(IF(X$1="""","""",REGEXMATCH(LOWER($E635),XLOOKUP(X$1,Metadata!$A$2:$A1000,Metadata!$B$2:$B1000))),X$1,"""")"),"")</f>
        <v/>
      </c>
      <c r="Y635" s="33" t="str">
        <f>IFERROR(__xludf.DUMMYFUNCTION("IF(IF(Y$1="""","""",REGEXMATCH(LOWER($E635),XLOOKUP(Y$1,Metadata!$A$2:$A1000,Metadata!$B$2:$B1000))),Y$1,"""")"),"")</f>
        <v/>
      </c>
      <c r="Z635" s="33" t="str">
        <f>IFERROR(__xludf.DUMMYFUNCTION("IF(IF(Z$1="""","""",REGEXMATCH(LOWER($E635),XLOOKUP(Z$1,Metadata!$A$2:$A1000,Metadata!$B$2:$B1000))),Z$1,"""")"),"")</f>
        <v/>
      </c>
    </row>
    <row r="636">
      <c r="A636" s="33"/>
      <c r="B636" s="33"/>
      <c r="C636" s="33"/>
      <c r="D636" s="33"/>
      <c r="E636" s="33"/>
      <c r="F636" s="33"/>
      <c r="G636" s="33"/>
      <c r="H636" s="33"/>
      <c r="I636" s="33"/>
      <c r="J636" s="33"/>
      <c r="K636" s="33"/>
      <c r="L636" s="33" t="str">
        <f>IFERROR(__xludf.DUMMYFUNCTION("IF(IF(L$1="""","""",REGEXMATCH(LOWER($E636),XLOOKUP(L$1,Metadata!$A$2:$A1000,Metadata!$B$2:$B1000))),L$1,"""")"),"")</f>
        <v/>
      </c>
      <c r="M636" s="33" t="str">
        <f>IFERROR(__xludf.DUMMYFUNCTION("IF(IF(M$1="""","""",REGEXMATCH(LOWER($E636),XLOOKUP(M$1,Metadata!$A$2:$A1000,Metadata!$B$2:$B1000))),M$1,"""")"),"")</f>
        <v/>
      </c>
      <c r="N636" s="33" t="str">
        <f>IFERROR(__xludf.DUMMYFUNCTION("IF(IF(N$1="""","""",REGEXMATCH(LOWER($E636),XLOOKUP(N$1,Metadata!$A$2:$A1000,Metadata!$B$2:$B1000))),N$1,"""")"),"")</f>
        <v/>
      </c>
      <c r="O636" s="33" t="str">
        <f>IFERROR(__xludf.DUMMYFUNCTION("IF(IF(O$1="""","""",REGEXMATCH(LOWER($E636),XLOOKUP(O$1,Metadata!$A$2:$A1000,Metadata!$B$2:$B1000))),O$1,"""")"),"")</f>
        <v/>
      </c>
      <c r="P636" s="33" t="str">
        <f>IFERROR(__xludf.DUMMYFUNCTION("IF(IF(P$1="""","""",REGEXMATCH(LOWER($E636),XLOOKUP(P$1,Metadata!$A$2:$A1000,Metadata!$B$2:$B1000))),P$1,"""")"),"")</f>
        <v/>
      </c>
      <c r="Q636" s="33" t="str">
        <f>IFERROR(__xludf.DUMMYFUNCTION("IF(IF(Q$1="""","""",REGEXMATCH(LOWER($E636),XLOOKUP(Q$1,Metadata!$A$2:$A1000,Metadata!$B$2:$B1000))),Q$1,"""")"),"")</f>
        <v/>
      </c>
      <c r="R636" s="33" t="str">
        <f>IFERROR(__xludf.DUMMYFUNCTION("IF(IF(R$1="""","""",REGEXMATCH(LOWER($E636),XLOOKUP(R$1,Metadata!$A$2:$A1000,Metadata!$B$2:$B1000))),R$1,"""")"),"")</f>
        <v/>
      </c>
      <c r="S636" s="33" t="str">
        <f>IFERROR(__xludf.DUMMYFUNCTION("IF(IF(S$1="""","""",REGEXMATCH(LOWER($E636),XLOOKUP(S$1,Metadata!$A$2:$A1000,Metadata!$B$2:$B1000))),S$1,"""")"),"")</f>
        <v/>
      </c>
      <c r="T636" s="33" t="str">
        <f>IFERROR(__xludf.DUMMYFUNCTION("IF(IF(T$1="""","""",REGEXMATCH(LOWER($E636),XLOOKUP(T$1,Metadata!$A$2:$A1000,Metadata!$B$2:$B1000))),T$1,"""")"),"")</f>
        <v/>
      </c>
      <c r="U636" s="33" t="str">
        <f>IFERROR(__xludf.DUMMYFUNCTION("IF(IF(U$1="""","""",REGEXMATCH(LOWER($E636),XLOOKUP(U$1,Metadata!$A$2:$A1000,Metadata!$B$2:$B1000))),U$1,"""")"),"")</f>
        <v/>
      </c>
      <c r="V636" s="33" t="str">
        <f>IFERROR(__xludf.DUMMYFUNCTION("IF(IF(V$1="""","""",REGEXMATCH(LOWER($E636),XLOOKUP(V$1,Metadata!$A$2:$A1000,Metadata!$B$2:$B1000))),V$1,"""")"),"")</f>
        <v/>
      </c>
      <c r="W636" s="33" t="str">
        <f>IFERROR(__xludf.DUMMYFUNCTION("IF(IF(W$1="""","""",REGEXMATCH(LOWER($E636),XLOOKUP(W$1,Metadata!$A$2:$A1000,Metadata!$B$2:$B1000))),W$1,"""")"),"")</f>
        <v/>
      </c>
      <c r="X636" s="33" t="str">
        <f>IFERROR(__xludf.DUMMYFUNCTION("IF(IF(X$1="""","""",REGEXMATCH(LOWER($E636),XLOOKUP(X$1,Metadata!$A$2:$A1000,Metadata!$B$2:$B1000))),X$1,"""")"),"")</f>
        <v/>
      </c>
      <c r="Y636" s="33" t="str">
        <f>IFERROR(__xludf.DUMMYFUNCTION("IF(IF(Y$1="""","""",REGEXMATCH(LOWER($E636),XLOOKUP(Y$1,Metadata!$A$2:$A1000,Metadata!$B$2:$B1000))),Y$1,"""")"),"")</f>
        <v/>
      </c>
      <c r="Z636" s="33" t="str">
        <f>IFERROR(__xludf.DUMMYFUNCTION("IF(IF(Z$1="""","""",REGEXMATCH(LOWER($E636),XLOOKUP(Z$1,Metadata!$A$2:$A1000,Metadata!$B$2:$B1000))),Z$1,"""")"),"")</f>
        <v/>
      </c>
    </row>
    <row r="637">
      <c r="A637" s="33"/>
      <c r="B637" s="33"/>
      <c r="C637" s="33"/>
      <c r="D637" s="33"/>
      <c r="E637" s="33"/>
      <c r="F637" s="33"/>
      <c r="G637" s="33"/>
      <c r="H637" s="33"/>
      <c r="I637" s="33"/>
      <c r="J637" s="33"/>
      <c r="K637" s="33"/>
      <c r="L637" s="33" t="str">
        <f>IFERROR(__xludf.DUMMYFUNCTION("IF(IF(L$1="""","""",REGEXMATCH(LOWER($E637),XLOOKUP(L$1,Metadata!$A$2:$A1000,Metadata!$B$2:$B1000))),L$1,"""")"),"")</f>
        <v/>
      </c>
      <c r="M637" s="33" t="str">
        <f>IFERROR(__xludf.DUMMYFUNCTION("IF(IF(M$1="""","""",REGEXMATCH(LOWER($E637),XLOOKUP(M$1,Metadata!$A$2:$A1000,Metadata!$B$2:$B1000))),M$1,"""")"),"")</f>
        <v/>
      </c>
      <c r="N637" s="33" t="str">
        <f>IFERROR(__xludf.DUMMYFUNCTION("IF(IF(N$1="""","""",REGEXMATCH(LOWER($E637),XLOOKUP(N$1,Metadata!$A$2:$A1000,Metadata!$B$2:$B1000))),N$1,"""")"),"")</f>
        <v/>
      </c>
      <c r="O637" s="33" t="str">
        <f>IFERROR(__xludf.DUMMYFUNCTION("IF(IF(O$1="""","""",REGEXMATCH(LOWER($E637),XLOOKUP(O$1,Metadata!$A$2:$A1000,Metadata!$B$2:$B1000))),O$1,"""")"),"")</f>
        <v/>
      </c>
      <c r="P637" s="33" t="str">
        <f>IFERROR(__xludf.DUMMYFUNCTION("IF(IF(P$1="""","""",REGEXMATCH(LOWER($E637),XLOOKUP(P$1,Metadata!$A$2:$A1000,Metadata!$B$2:$B1000))),P$1,"""")"),"")</f>
        <v/>
      </c>
      <c r="Q637" s="33" t="str">
        <f>IFERROR(__xludf.DUMMYFUNCTION("IF(IF(Q$1="""","""",REGEXMATCH(LOWER($E637),XLOOKUP(Q$1,Metadata!$A$2:$A1000,Metadata!$B$2:$B1000))),Q$1,"""")"),"")</f>
        <v/>
      </c>
      <c r="R637" s="33" t="str">
        <f>IFERROR(__xludf.DUMMYFUNCTION("IF(IF(R$1="""","""",REGEXMATCH(LOWER($E637),XLOOKUP(R$1,Metadata!$A$2:$A1000,Metadata!$B$2:$B1000))),R$1,"""")"),"")</f>
        <v/>
      </c>
      <c r="S637" s="33" t="str">
        <f>IFERROR(__xludf.DUMMYFUNCTION("IF(IF(S$1="""","""",REGEXMATCH(LOWER($E637),XLOOKUP(S$1,Metadata!$A$2:$A1000,Metadata!$B$2:$B1000))),S$1,"""")"),"")</f>
        <v/>
      </c>
      <c r="T637" s="33" t="str">
        <f>IFERROR(__xludf.DUMMYFUNCTION("IF(IF(T$1="""","""",REGEXMATCH(LOWER($E637),XLOOKUP(T$1,Metadata!$A$2:$A1000,Metadata!$B$2:$B1000))),T$1,"""")"),"")</f>
        <v/>
      </c>
      <c r="U637" s="33" t="str">
        <f>IFERROR(__xludf.DUMMYFUNCTION("IF(IF(U$1="""","""",REGEXMATCH(LOWER($E637),XLOOKUP(U$1,Metadata!$A$2:$A1000,Metadata!$B$2:$B1000))),U$1,"""")"),"")</f>
        <v/>
      </c>
      <c r="V637" s="33" t="str">
        <f>IFERROR(__xludf.DUMMYFUNCTION("IF(IF(V$1="""","""",REGEXMATCH(LOWER($E637),XLOOKUP(V$1,Metadata!$A$2:$A1000,Metadata!$B$2:$B1000))),V$1,"""")"),"")</f>
        <v/>
      </c>
      <c r="W637" s="33" t="str">
        <f>IFERROR(__xludf.DUMMYFUNCTION("IF(IF(W$1="""","""",REGEXMATCH(LOWER($E637),XLOOKUP(W$1,Metadata!$A$2:$A1000,Metadata!$B$2:$B1000))),W$1,"""")"),"")</f>
        <v/>
      </c>
      <c r="X637" s="33" t="str">
        <f>IFERROR(__xludf.DUMMYFUNCTION("IF(IF(X$1="""","""",REGEXMATCH(LOWER($E637),XLOOKUP(X$1,Metadata!$A$2:$A1000,Metadata!$B$2:$B1000))),X$1,"""")"),"")</f>
        <v/>
      </c>
      <c r="Y637" s="33" t="str">
        <f>IFERROR(__xludf.DUMMYFUNCTION("IF(IF(Y$1="""","""",REGEXMATCH(LOWER($E637),XLOOKUP(Y$1,Metadata!$A$2:$A1000,Metadata!$B$2:$B1000))),Y$1,"""")"),"")</f>
        <v/>
      </c>
      <c r="Z637" s="33" t="str">
        <f>IFERROR(__xludf.DUMMYFUNCTION("IF(IF(Z$1="""","""",REGEXMATCH(LOWER($E637),XLOOKUP(Z$1,Metadata!$A$2:$A1000,Metadata!$B$2:$B1000))),Z$1,"""")"),"")</f>
        <v/>
      </c>
    </row>
    <row r="638">
      <c r="A638" s="33"/>
      <c r="B638" s="33"/>
      <c r="C638" s="33"/>
      <c r="D638" s="33"/>
      <c r="E638" s="33"/>
      <c r="F638" s="33"/>
      <c r="G638" s="33"/>
      <c r="H638" s="33"/>
      <c r="I638" s="33"/>
      <c r="J638" s="33"/>
      <c r="K638" s="33"/>
      <c r="L638" s="33" t="str">
        <f>IFERROR(__xludf.DUMMYFUNCTION("IF(IF(L$1="""","""",REGEXMATCH(LOWER($E638),XLOOKUP(L$1,Metadata!$A$2:$A1000,Metadata!$B$2:$B1000))),L$1,"""")"),"")</f>
        <v/>
      </c>
      <c r="M638" s="33" t="str">
        <f>IFERROR(__xludf.DUMMYFUNCTION("IF(IF(M$1="""","""",REGEXMATCH(LOWER($E638),XLOOKUP(M$1,Metadata!$A$2:$A1000,Metadata!$B$2:$B1000))),M$1,"""")"),"")</f>
        <v/>
      </c>
      <c r="N638" s="33" t="str">
        <f>IFERROR(__xludf.DUMMYFUNCTION("IF(IF(N$1="""","""",REGEXMATCH(LOWER($E638),XLOOKUP(N$1,Metadata!$A$2:$A1000,Metadata!$B$2:$B1000))),N$1,"""")"),"")</f>
        <v/>
      </c>
      <c r="O638" s="33" t="str">
        <f>IFERROR(__xludf.DUMMYFUNCTION("IF(IF(O$1="""","""",REGEXMATCH(LOWER($E638),XLOOKUP(O$1,Metadata!$A$2:$A1000,Metadata!$B$2:$B1000))),O$1,"""")"),"")</f>
        <v/>
      </c>
      <c r="P638" s="33" t="str">
        <f>IFERROR(__xludf.DUMMYFUNCTION("IF(IF(P$1="""","""",REGEXMATCH(LOWER($E638),XLOOKUP(P$1,Metadata!$A$2:$A1000,Metadata!$B$2:$B1000))),P$1,"""")"),"")</f>
        <v/>
      </c>
      <c r="Q638" s="33" t="str">
        <f>IFERROR(__xludf.DUMMYFUNCTION("IF(IF(Q$1="""","""",REGEXMATCH(LOWER($E638),XLOOKUP(Q$1,Metadata!$A$2:$A1000,Metadata!$B$2:$B1000))),Q$1,"""")"),"")</f>
        <v/>
      </c>
      <c r="R638" s="33" t="str">
        <f>IFERROR(__xludf.DUMMYFUNCTION("IF(IF(R$1="""","""",REGEXMATCH(LOWER($E638),XLOOKUP(R$1,Metadata!$A$2:$A1000,Metadata!$B$2:$B1000))),R$1,"""")"),"")</f>
        <v/>
      </c>
      <c r="S638" s="33" t="str">
        <f>IFERROR(__xludf.DUMMYFUNCTION("IF(IF(S$1="""","""",REGEXMATCH(LOWER($E638),XLOOKUP(S$1,Metadata!$A$2:$A1000,Metadata!$B$2:$B1000))),S$1,"""")"),"")</f>
        <v/>
      </c>
      <c r="T638" s="33" t="str">
        <f>IFERROR(__xludf.DUMMYFUNCTION("IF(IF(T$1="""","""",REGEXMATCH(LOWER($E638),XLOOKUP(T$1,Metadata!$A$2:$A1000,Metadata!$B$2:$B1000))),T$1,"""")"),"")</f>
        <v/>
      </c>
      <c r="U638" s="33" t="str">
        <f>IFERROR(__xludf.DUMMYFUNCTION("IF(IF(U$1="""","""",REGEXMATCH(LOWER($E638),XLOOKUP(U$1,Metadata!$A$2:$A1000,Metadata!$B$2:$B1000))),U$1,"""")"),"")</f>
        <v/>
      </c>
      <c r="V638" s="33" t="str">
        <f>IFERROR(__xludf.DUMMYFUNCTION("IF(IF(V$1="""","""",REGEXMATCH(LOWER($E638),XLOOKUP(V$1,Metadata!$A$2:$A1000,Metadata!$B$2:$B1000))),V$1,"""")"),"")</f>
        <v/>
      </c>
      <c r="W638" s="33" t="str">
        <f>IFERROR(__xludf.DUMMYFUNCTION("IF(IF(W$1="""","""",REGEXMATCH(LOWER($E638),XLOOKUP(W$1,Metadata!$A$2:$A1000,Metadata!$B$2:$B1000))),W$1,"""")"),"")</f>
        <v/>
      </c>
      <c r="X638" s="33" t="str">
        <f>IFERROR(__xludf.DUMMYFUNCTION("IF(IF(X$1="""","""",REGEXMATCH(LOWER($E638),XLOOKUP(X$1,Metadata!$A$2:$A1000,Metadata!$B$2:$B1000))),X$1,"""")"),"")</f>
        <v/>
      </c>
      <c r="Y638" s="33" t="str">
        <f>IFERROR(__xludf.DUMMYFUNCTION("IF(IF(Y$1="""","""",REGEXMATCH(LOWER($E638),XLOOKUP(Y$1,Metadata!$A$2:$A1000,Metadata!$B$2:$B1000))),Y$1,"""")"),"")</f>
        <v/>
      </c>
      <c r="Z638" s="33" t="str">
        <f>IFERROR(__xludf.DUMMYFUNCTION("IF(IF(Z$1="""","""",REGEXMATCH(LOWER($E638),XLOOKUP(Z$1,Metadata!$A$2:$A1000,Metadata!$B$2:$B1000))),Z$1,"""")"),"")</f>
        <v/>
      </c>
    </row>
    <row r="639">
      <c r="A639" s="33"/>
      <c r="B639" s="33"/>
      <c r="C639" s="33"/>
      <c r="D639" s="33"/>
      <c r="E639" s="33"/>
      <c r="F639" s="33"/>
      <c r="G639" s="33"/>
      <c r="H639" s="33"/>
      <c r="I639" s="33"/>
      <c r="J639" s="33"/>
      <c r="K639" s="33"/>
      <c r="L639" s="33" t="str">
        <f>IFERROR(__xludf.DUMMYFUNCTION("IF(IF(L$1="""","""",REGEXMATCH(LOWER($E639),XLOOKUP(L$1,Metadata!$A$2:$A1000,Metadata!$B$2:$B1000))),L$1,"""")"),"")</f>
        <v/>
      </c>
      <c r="M639" s="33" t="str">
        <f>IFERROR(__xludf.DUMMYFUNCTION("IF(IF(M$1="""","""",REGEXMATCH(LOWER($E639),XLOOKUP(M$1,Metadata!$A$2:$A1000,Metadata!$B$2:$B1000))),M$1,"""")"),"")</f>
        <v/>
      </c>
      <c r="N639" s="33" t="str">
        <f>IFERROR(__xludf.DUMMYFUNCTION("IF(IF(N$1="""","""",REGEXMATCH(LOWER($E639),XLOOKUP(N$1,Metadata!$A$2:$A1000,Metadata!$B$2:$B1000))),N$1,"""")"),"")</f>
        <v/>
      </c>
      <c r="O639" s="33" t="str">
        <f>IFERROR(__xludf.DUMMYFUNCTION("IF(IF(O$1="""","""",REGEXMATCH(LOWER($E639),XLOOKUP(O$1,Metadata!$A$2:$A1000,Metadata!$B$2:$B1000))),O$1,"""")"),"")</f>
        <v/>
      </c>
      <c r="P639" s="33" t="str">
        <f>IFERROR(__xludf.DUMMYFUNCTION("IF(IF(P$1="""","""",REGEXMATCH(LOWER($E639),XLOOKUP(P$1,Metadata!$A$2:$A1000,Metadata!$B$2:$B1000))),P$1,"""")"),"")</f>
        <v/>
      </c>
      <c r="Q639" s="33" t="str">
        <f>IFERROR(__xludf.DUMMYFUNCTION("IF(IF(Q$1="""","""",REGEXMATCH(LOWER($E639),XLOOKUP(Q$1,Metadata!$A$2:$A1000,Metadata!$B$2:$B1000))),Q$1,"""")"),"")</f>
        <v/>
      </c>
      <c r="R639" s="33" t="str">
        <f>IFERROR(__xludf.DUMMYFUNCTION("IF(IF(R$1="""","""",REGEXMATCH(LOWER($E639),XLOOKUP(R$1,Metadata!$A$2:$A1000,Metadata!$B$2:$B1000))),R$1,"""")"),"")</f>
        <v/>
      </c>
      <c r="S639" s="33" t="str">
        <f>IFERROR(__xludf.DUMMYFUNCTION("IF(IF(S$1="""","""",REGEXMATCH(LOWER($E639),XLOOKUP(S$1,Metadata!$A$2:$A1000,Metadata!$B$2:$B1000))),S$1,"""")"),"")</f>
        <v/>
      </c>
      <c r="T639" s="33" t="str">
        <f>IFERROR(__xludf.DUMMYFUNCTION("IF(IF(T$1="""","""",REGEXMATCH(LOWER($E639),XLOOKUP(T$1,Metadata!$A$2:$A1000,Metadata!$B$2:$B1000))),T$1,"""")"),"")</f>
        <v/>
      </c>
      <c r="U639" s="33" t="str">
        <f>IFERROR(__xludf.DUMMYFUNCTION("IF(IF(U$1="""","""",REGEXMATCH(LOWER($E639),XLOOKUP(U$1,Metadata!$A$2:$A1000,Metadata!$B$2:$B1000))),U$1,"""")"),"")</f>
        <v/>
      </c>
      <c r="V639" s="33" t="str">
        <f>IFERROR(__xludf.DUMMYFUNCTION("IF(IF(V$1="""","""",REGEXMATCH(LOWER($E639),XLOOKUP(V$1,Metadata!$A$2:$A1000,Metadata!$B$2:$B1000))),V$1,"""")"),"")</f>
        <v/>
      </c>
      <c r="W639" s="33" t="str">
        <f>IFERROR(__xludf.DUMMYFUNCTION("IF(IF(W$1="""","""",REGEXMATCH(LOWER($E639),XLOOKUP(W$1,Metadata!$A$2:$A1000,Metadata!$B$2:$B1000))),W$1,"""")"),"")</f>
        <v/>
      </c>
      <c r="X639" s="33" t="str">
        <f>IFERROR(__xludf.DUMMYFUNCTION("IF(IF(X$1="""","""",REGEXMATCH(LOWER($E639),XLOOKUP(X$1,Metadata!$A$2:$A1000,Metadata!$B$2:$B1000))),X$1,"""")"),"")</f>
        <v/>
      </c>
      <c r="Y639" s="33" t="str">
        <f>IFERROR(__xludf.DUMMYFUNCTION("IF(IF(Y$1="""","""",REGEXMATCH(LOWER($E639),XLOOKUP(Y$1,Metadata!$A$2:$A1000,Metadata!$B$2:$B1000))),Y$1,"""")"),"")</f>
        <v/>
      </c>
      <c r="Z639" s="33" t="str">
        <f>IFERROR(__xludf.DUMMYFUNCTION("IF(IF(Z$1="""","""",REGEXMATCH(LOWER($E639),XLOOKUP(Z$1,Metadata!$A$2:$A1000,Metadata!$B$2:$B1000))),Z$1,"""")"),"")</f>
        <v/>
      </c>
    </row>
    <row r="640">
      <c r="A640" s="33"/>
      <c r="B640" s="33"/>
      <c r="C640" s="33"/>
      <c r="D640" s="33"/>
      <c r="E640" s="33"/>
      <c r="F640" s="33"/>
      <c r="G640" s="33"/>
      <c r="H640" s="33"/>
      <c r="I640" s="33"/>
      <c r="J640" s="33"/>
      <c r="K640" s="33"/>
      <c r="L640" s="33" t="str">
        <f>IFERROR(__xludf.DUMMYFUNCTION("IF(IF(L$1="""","""",REGEXMATCH(LOWER($E640),XLOOKUP(L$1,Metadata!$A$2:$A1000,Metadata!$B$2:$B1000))),L$1,"""")"),"")</f>
        <v/>
      </c>
      <c r="M640" s="33" t="str">
        <f>IFERROR(__xludf.DUMMYFUNCTION("IF(IF(M$1="""","""",REGEXMATCH(LOWER($E640),XLOOKUP(M$1,Metadata!$A$2:$A1000,Metadata!$B$2:$B1000))),M$1,"""")"),"")</f>
        <v/>
      </c>
      <c r="N640" s="33" t="str">
        <f>IFERROR(__xludf.DUMMYFUNCTION("IF(IF(N$1="""","""",REGEXMATCH(LOWER($E640),XLOOKUP(N$1,Metadata!$A$2:$A1000,Metadata!$B$2:$B1000))),N$1,"""")"),"")</f>
        <v/>
      </c>
      <c r="O640" s="33" t="str">
        <f>IFERROR(__xludf.DUMMYFUNCTION("IF(IF(O$1="""","""",REGEXMATCH(LOWER($E640),XLOOKUP(O$1,Metadata!$A$2:$A1000,Metadata!$B$2:$B1000))),O$1,"""")"),"")</f>
        <v/>
      </c>
      <c r="P640" s="33" t="str">
        <f>IFERROR(__xludf.DUMMYFUNCTION("IF(IF(P$1="""","""",REGEXMATCH(LOWER($E640),XLOOKUP(P$1,Metadata!$A$2:$A1000,Metadata!$B$2:$B1000))),P$1,"""")"),"")</f>
        <v/>
      </c>
      <c r="Q640" s="33" t="str">
        <f>IFERROR(__xludf.DUMMYFUNCTION("IF(IF(Q$1="""","""",REGEXMATCH(LOWER($E640),XLOOKUP(Q$1,Metadata!$A$2:$A1000,Metadata!$B$2:$B1000))),Q$1,"""")"),"")</f>
        <v/>
      </c>
      <c r="R640" s="33" t="str">
        <f>IFERROR(__xludf.DUMMYFUNCTION("IF(IF(R$1="""","""",REGEXMATCH(LOWER($E640),XLOOKUP(R$1,Metadata!$A$2:$A1000,Metadata!$B$2:$B1000))),R$1,"""")"),"")</f>
        <v/>
      </c>
      <c r="S640" s="33" t="str">
        <f>IFERROR(__xludf.DUMMYFUNCTION("IF(IF(S$1="""","""",REGEXMATCH(LOWER($E640),XLOOKUP(S$1,Metadata!$A$2:$A1000,Metadata!$B$2:$B1000))),S$1,"""")"),"")</f>
        <v/>
      </c>
      <c r="T640" s="33" t="str">
        <f>IFERROR(__xludf.DUMMYFUNCTION("IF(IF(T$1="""","""",REGEXMATCH(LOWER($E640),XLOOKUP(T$1,Metadata!$A$2:$A1000,Metadata!$B$2:$B1000))),T$1,"""")"),"")</f>
        <v/>
      </c>
      <c r="U640" s="33" t="str">
        <f>IFERROR(__xludf.DUMMYFUNCTION("IF(IF(U$1="""","""",REGEXMATCH(LOWER($E640),XLOOKUP(U$1,Metadata!$A$2:$A1000,Metadata!$B$2:$B1000))),U$1,"""")"),"")</f>
        <v/>
      </c>
      <c r="V640" s="33" t="str">
        <f>IFERROR(__xludf.DUMMYFUNCTION("IF(IF(V$1="""","""",REGEXMATCH(LOWER($E640),XLOOKUP(V$1,Metadata!$A$2:$A1000,Metadata!$B$2:$B1000))),V$1,"""")"),"")</f>
        <v/>
      </c>
      <c r="W640" s="33" t="str">
        <f>IFERROR(__xludf.DUMMYFUNCTION("IF(IF(W$1="""","""",REGEXMATCH(LOWER($E640),XLOOKUP(W$1,Metadata!$A$2:$A1000,Metadata!$B$2:$B1000))),W$1,"""")"),"")</f>
        <v/>
      </c>
      <c r="X640" s="33" t="str">
        <f>IFERROR(__xludf.DUMMYFUNCTION("IF(IF(X$1="""","""",REGEXMATCH(LOWER($E640),XLOOKUP(X$1,Metadata!$A$2:$A1000,Metadata!$B$2:$B1000))),X$1,"""")"),"")</f>
        <v/>
      </c>
      <c r="Y640" s="33" t="str">
        <f>IFERROR(__xludf.DUMMYFUNCTION("IF(IF(Y$1="""","""",REGEXMATCH(LOWER($E640),XLOOKUP(Y$1,Metadata!$A$2:$A1000,Metadata!$B$2:$B1000))),Y$1,"""")"),"")</f>
        <v/>
      </c>
      <c r="Z640" s="33" t="str">
        <f>IFERROR(__xludf.DUMMYFUNCTION("IF(IF(Z$1="""","""",REGEXMATCH(LOWER($E640),XLOOKUP(Z$1,Metadata!$A$2:$A1000,Metadata!$B$2:$B1000))),Z$1,"""")"),"")</f>
        <v/>
      </c>
    </row>
    <row r="641">
      <c r="A641" s="33"/>
      <c r="B641" s="33"/>
      <c r="C641" s="33"/>
      <c r="D641" s="33"/>
      <c r="E641" s="33"/>
      <c r="F641" s="33"/>
      <c r="G641" s="33"/>
      <c r="H641" s="33"/>
      <c r="I641" s="33"/>
      <c r="J641" s="33"/>
      <c r="K641" s="33"/>
      <c r="L641" s="33" t="str">
        <f>IFERROR(__xludf.DUMMYFUNCTION("IF(IF(L$1="""","""",REGEXMATCH(LOWER($E641),XLOOKUP(L$1,Metadata!$A$2:$A1000,Metadata!$B$2:$B1000))),L$1,"""")"),"")</f>
        <v/>
      </c>
      <c r="M641" s="33" t="str">
        <f>IFERROR(__xludf.DUMMYFUNCTION("IF(IF(M$1="""","""",REGEXMATCH(LOWER($E641),XLOOKUP(M$1,Metadata!$A$2:$A1000,Metadata!$B$2:$B1000))),M$1,"""")"),"")</f>
        <v/>
      </c>
      <c r="N641" s="33" t="str">
        <f>IFERROR(__xludf.DUMMYFUNCTION("IF(IF(N$1="""","""",REGEXMATCH(LOWER($E641),XLOOKUP(N$1,Metadata!$A$2:$A1000,Metadata!$B$2:$B1000))),N$1,"""")"),"")</f>
        <v/>
      </c>
      <c r="O641" s="33" t="str">
        <f>IFERROR(__xludf.DUMMYFUNCTION("IF(IF(O$1="""","""",REGEXMATCH(LOWER($E641),XLOOKUP(O$1,Metadata!$A$2:$A1000,Metadata!$B$2:$B1000))),O$1,"""")"),"")</f>
        <v/>
      </c>
      <c r="P641" s="33" t="str">
        <f>IFERROR(__xludf.DUMMYFUNCTION("IF(IF(P$1="""","""",REGEXMATCH(LOWER($E641),XLOOKUP(P$1,Metadata!$A$2:$A1000,Metadata!$B$2:$B1000))),P$1,"""")"),"")</f>
        <v/>
      </c>
      <c r="Q641" s="33" t="str">
        <f>IFERROR(__xludf.DUMMYFUNCTION("IF(IF(Q$1="""","""",REGEXMATCH(LOWER($E641),XLOOKUP(Q$1,Metadata!$A$2:$A1000,Metadata!$B$2:$B1000))),Q$1,"""")"),"")</f>
        <v/>
      </c>
      <c r="R641" s="33" t="str">
        <f>IFERROR(__xludf.DUMMYFUNCTION("IF(IF(R$1="""","""",REGEXMATCH(LOWER($E641),XLOOKUP(R$1,Metadata!$A$2:$A1000,Metadata!$B$2:$B1000))),R$1,"""")"),"")</f>
        <v/>
      </c>
      <c r="S641" s="33" t="str">
        <f>IFERROR(__xludf.DUMMYFUNCTION("IF(IF(S$1="""","""",REGEXMATCH(LOWER($E641),XLOOKUP(S$1,Metadata!$A$2:$A1000,Metadata!$B$2:$B1000))),S$1,"""")"),"")</f>
        <v/>
      </c>
      <c r="T641" s="33" t="str">
        <f>IFERROR(__xludf.DUMMYFUNCTION("IF(IF(T$1="""","""",REGEXMATCH(LOWER($E641),XLOOKUP(T$1,Metadata!$A$2:$A1000,Metadata!$B$2:$B1000))),T$1,"""")"),"")</f>
        <v/>
      </c>
      <c r="U641" s="33" t="str">
        <f>IFERROR(__xludf.DUMMYFUNCTION("IF(IF(U$1="""","""",REGEXMATCH(LOWER($E641),XLOOKUP(U$1,Metadata!$A$2:$A1000,Metadata!$B$2:$B1000))),U$1,"""")"),"")</f>
        <v/>
      </c>
      <c r="V641" s="33" t="str">
        <f>IFERROR(__xludf.DUMMYFUNCTION("IF(IF(V$1="""","""",REGEXMATCH(LOWER($E641),XLOOKUP(V$1,Metadata!$A$2:$A1000,Metadata!$B$2:$B1000))),V$1,"""")"),"")</f>
        <v/>
      </c>
      <c r="W641" s="33" t="str">
        <f>IFERROR(__xludf.DUMMYFUNCTION("IF(IF(W$1="""","""",REGEXMATCH(LOWER($E641),XLOOKUP(W$1,Metadata!$A$2:$A1000,Metadata!$B$2:$B1000))),W$1,"""")"),"")</f>
        <v/>
      </c>
      <c r="X641" s="33" t="str">
        <f>IFERROR(__xludf.DUMMYFUNCTION("IF(IF(X$1="""","""",REGEXMATCH(LOWER($E641),XLOOKUP(X$1,Metadata!$A$2:$A1000,Metadata!$B$2:$B1000))),X$1,"""")"),"")</f>
        <v/>
      </c>
      <c r="Y641" s="33" t="str">
        <f>IFERROR(__xludf.DUMMYFUNCTION("IF(IF(Y$1="""","""",REGEXMATCH(LOWER($E641),XLOOKUP(Y$1,Metadata!$A$2:$A1000,Metadata!$B$2:$B1000))),Y$1,"""")"),"")</f>
        <v/>
      </c>
      <c r="Z641" s="33" t="str">
        <f>IFERROR(__xludf.DUMMYFUNCTION("IF(IF(Z$1="""","""",REGEXMATCH(LOWER($E641),XLOOKUP(Z$1,Metadata!$A$2:$A1000,Metadata!$B$2:$B1000))),Z$1,"""")"),"")</f>
        <v/>
      </c>
    </row>
    <row r="642">
      <c r="A642" s="33"/>
      <c r="B642" s="33"/>
      <c r="C642" s="33"/>
      <c r="D642" s="33"/>
      <c r="E642" s="33"/>
      <c r="F642" s="33"/>
      <c r="G642" s="33"/>
      <c r="H642" s="33"/>
      <c r="I642" s="33"/>
      <c r="J642" s="33"/>
      <c r="K642" s="33"/>
      <c r="L642" s="33" t="str">
        <f>IFERROR(__xludf.DUMMYFUNCTION("IF(IF(L$1="""","""",REGEXMATCH(LOWER($E642),XLOOKUP(L$1,Metadata!$A$2:$A1000,Metadata!$B$2:$B1000))),L$1,"""")"),"")</f>
        <v/>
      </c>
      <c r="M642" s="33" t="str">
        <f>IFERROR(__xludf.DUMMYFUNCTION("IF(IF(M$1="""","""",REGEXMATCH(LOWER($E642),XLOOKUP(M$1,Metadata!$A$2:$A1000,Metadata!$B$2:$B1000))),M$1,"""")"),"")</f>
        <v/>
      </c>
      <c r="N642" s="33" t="str">
        <f>IFERROR(__xludf.DUMMYFUNCTION("IF(IF(N$1="""","""",REGEXMATCH(LOWER($E642),XLOOKUP(N$1,Metadata!$A$2:$A1000,Metadata!$B$2:$B1000))),N$1,"""")"),"")</f>
        <v/>
      </c>
      <c r="O642" s="33" t="str">
        <f>IFERROR(__xludf.DUMMYFUNCTION("IF(IF(O$1="""","""",REGEXMATCH(LOWER($E642),XLOOKUP(O$1,Metadata!$A$2:$A1000,Metadata!$B$2:$B1000))),O$1,"""")"),"")</f>
        <v/>
      </c>
      <c r="P642" s="33" t="str">
        <f>IFERROR(__xludf.DUMMYFUNCTION("IF(IF(P$1="""","""",REGEXMATCH(LOWER($E642),XLOOKUP(P$1,Metadata!$A$2:$A1000,Metadata!$B$2:$B1000))),P$1,"""")"),"")</f>
        <v/>
      </c>
      <c r="Q642" s="33" t="str">
        <f>IFERROR(__xludf.DUMMYFUNCTION("IF(IF(Q$1="""","""",REGEXMATCH(LOWER($E642),XLOOKUP(Q$1,Metadata!$A$2:$A1000,Metadata!$B$2:$B1000))),Q$1,"""")"),"")</f>
        <v/>
      </c>
      <c r="R642" s="33" t="str">
        <f>IFERROR(__xludf.DUMMYFUNCTION("IF(IF(R$1="""","""",REGEXMATCH(LOWER($E642),XLOOKUP(R$1,Metadata!$A$2:$A1000,Metadata!$B$2:$B1000))),R$1,"""")"),"")</f>
        <v/>
      </c>
      <c r="S642" s="33" t="str">
        <f>IFERROR(__xludf.DUMMYFUNCTION("IF(IF(S$1="""","""",REGEXMATCH(LOWER($E642),XLOOKUP(S$1,Metadata!$A$2:$A1000,Metadata!$B$2:$B1000))),S$1,"""")"),"")</f>
        <v/>
      </c>
      <c r="T642" s="33" t="str">
        <f>IFERROR(__xludf.DUMMYFUNCTION("IF(IF(T$1="""","""",REGEXMATCH(LOWER($E642),XLOOKUP(T$1,Metadata!$A$2:$A1000,Metadata!$B$2:$B1000))),T$1,"""")"),"")</f>
        <v/>
      </c>
      <c r="U642" s="33" t="str">
        <f>IFERROR(__xludf.DUMMYFUNCTION("IF(IF(U$1="""","""",REGEXMATCH(LOWER($E642),XLOOKUP(U$1,Metadata!$A$2:$A1000,Metadata!$B$2:$B1000))),U$1,"""")"),"")</f>
        <v/>
      </c>
      <c r="V642" s="33" t="str">
        <f>IFERROR(__xludf.DUMMYFUNCTION("IF(IF(V$1="""","""",REGEXMATCH(LOWER($E642),XLOOKUP(V$1,Metadata!$A$2:$A1000,Metadata!$B$2:$B1000))),V$1,"""")"),"")</f>
        <v/>
      </c>
      <c r="W642" s="33" t="str">
        <f>IFERROR(__xludf.DUMMYFUNCTION("IF(IF(W$1="""","""",REGEXMATCH(LOWER($E642),XLOOKUP(W$1,Metadata!$A$2:$A1000,Metadata!$B$2:$B1000))),W$1,"""")"),"")</f>
        <v/>
      </c>
      <c r="X642" s="33" t="str">
        <f>IFERROR(__xludf.DUMMYFUNCTION("IF(IF(X$1="""","""",REGEXMATCH(LOWER($E642),XLOOKUP(X$1,Metadata!$A$2:$A1000,Metadata!$B$2:$B1000))),X$1,"""")"),"")</f>
        <v/>
      </c>
      <c r="Y642" s="33" t="str">
        <f>IFERROR(__xludf.DUMMYFUNCTION("IF(IF(Y$1="""","""",REGEXMATCH(LOWER($E642),XLOOKUP(Y$1,Metadata!$A$2:$A1000,Metadata!$B$2:$B1000))),Y$1,"""")"),"")</f>
        <v/>
      </c>
      <c r="Z642" s="33" t="str">
        <f>IFERROR(__xludf.DUMMYFUNCTION("IF(IF(Z$1="""","""",REGEXMATCH(LOWER($E642),XLOOKUP(Z$1,Metadata!$A$2:$A1000,Metadata!$B$2:$B1000))),Z$1,"""")"),"")</f>
        <v/>
      </c>
    </row>
    <row r="643">
      <c r="A643" s="33"/>
      <c r="B643" s="33"/>
      <c r="C643" s="33"/>
      <c r="D643" s="33"/>
      <c r="E643" s="33"/>
      <c r="F643" s="33"/>
      <c r="G643" s="33"/>
      <c r="H643" s="33"/>
      <c r="I643" s="33"/>
      <c r="J643" s="33"/>
      <c r="K643" s="33"/>
      <c r="L643" s="33" t="str">
        <f>IFERROR(__xludf.DUMMYFUNCTION("IF(IF(L$1="""","""",REGEXMATCH(LOWER($E643),XLOOKUP(L$1,Metadata!$A$2:$A1000,Metadata!$B$2:$B1000))),L$1,"""")"),"")</f>
        <v/>
      </c>
      <c r="M643" s="33" t="str">
        <f>IFERROR(__xludf.DUMMYFUNCTION("IF(IF(M$1="""","""",REGEXMATCH(LOWER($E643),XLOOKUP(M$1,Metadata!$A$2:$A1000,Metadata!$B$2:$B1000))),M$1,"""")"),"")</f>
        <v/>
      </c>
      <c r="N643" s="33" t="str">
        <f>IFERROR(__xludf.DUMMYFUNCTION("IF(IF(N$1="""","""",REGEXMATCH(LOWER($E643),XLOOKUP(N$1,Metadata!$A$2:$A1000,Metadata!$B$2:$B1000))),N$1,"""")"),"")</f>
        <v/>
      </c>
      <c r="O643" s="33" t="str">
        <f>IFERROR(__xludf.DUMMYFUNCTION("IF(IF(O$1="""","""",REGEXMATCH(LOWER($E643),XLOOKUP(O$1,Metadata!$A$2:$A1000,Metadata!$B$2:$B1000))),O$1,"""")"),"")</f>
        <v/>
      </c>
      <c r="P643" s="33" t="str">
        <f>IFERROR(__xludf.DUMMYFUNCTION("IF(IF(P$1="""","""",REGEXMATCH(LOWER($E643),XLOOKUP(P$1,Metadata!$A$2:$A1000,Metadata!$B$2:$B1000))),P$1,"""")"),"")</f>
        <v/>
      </c>
      <c r="Q643" s="33" t="str">
        <f>IFERROR(__xludf.DUMMYFUNCTION("IF(IF(Q$1="""","""",REGEXMATCH(LOWER($E643),XLOOKUP(Q$1,Metadata!$A$2:$A1000,Metadata!$B$2:$B1000))),Q$1,"""")"),"")</f>
        <v/>
      </c>
      <c r="R643" s="33" t="str">
        <f>IFERROR(__xludf.DUMMYFUNCTION("IF(IF(R$1="""","""",REGEXMATCH(LOWER($E643),XLOOKUP(R$1,Metadata!$A$2:$A1000,Metadata!$B$2:$B1000))),R$1,"""")"),"")</f>
        <v/>
      </c>
      <c r="S643" s="33" t="str">
        <f>IFERROR(__xludf.DUMMYFUNCTION("IF(IF(S$1="""","""",REGEXMATCH(LOWER($E643),XLOOKUP(S$1,Metadata!$A$2:$A1000,Metadata!$B$2:$B1000))),S$1,"""")"),"")</f>
        <v/>
      </c>
      <c r="T643" s="33" t="str">
        <f>IFERROR(__xludf.DUMMYFUNCTION("IF(IF(T$1="""","""",REGEXMATCH(LOWER($E643),XLOOKUP(T$1,Metadata!$A$2:$A1000,Metadata!$B$2:$B1000))),T$1,"""")"),"")</f>
        <v/>
      </c>
      <c r="U643" s="33" t="str">
        <f>IFERROR(__xludf.DUMMYFUNCTION("IF(IF(U$1="""","""",REGEXMATCH(LOWER($E643),XLOOKUP(U$1,Metadata!$A$2:$A1000,Metadata!$B$2:$B1000))),U$1,"""")"),"")</f>
        <v/>
      </c>
      <c r="V643" s="33" t="str">
        <f>IFERROR(__xludf.DUMMYFUNCTION("IF(IF(V$1="""","""",REGEXMATCH(LOWER($E643),XLOOKUP(V$1,Metadata!$A$2:$A1000,Metadata!$B$2:$B1000))),V$1,"""")"),"")</f>
        <v/>
      </c>
      <c r="W643" s="33" t="str">
        <f>IFERROR(__xludf.DUMMYFUNCTION("IF(IF(W$1="""","""",REGEXMATCH(LOWER($E643),XLOOKUP(W$1,Metadata!$A$2:$A1000,Metadata!$B$2:$B1000))),W$1,"""")"),"")</f>
        <v/>
      </c>
      <c r="X643" s="33" t="str">
        <f>IFERROR(__xludf.DUMMYFUNCTION("IF(IF(X$1="""","""",REGEXMATCH(LOWER($E643),XLOOKUP(X$1,Metadata!$A$2:$A1000,Metadata!$B$2:$B1000))),X$1,"""")"),"")</f>
        <v/>
      </c>
      <c r="Y643" s="33" t="str">
        <f>IFERROR(__xludf.DUMMYFUNCTION("IF(IF(Y$1="""","""",REGEXMATCH(LOWER($E643),XLOOKUP(Y$1,Metadata!$A$2:$A1000,Metadata!$B$2:$B1000))),Y$1,"""")"),"")</f>
        <v/>
      </c>
      <c r="Z643" s="33" t="str">
        <f>IFERROR(__xludf.DUMMYFUNCTION("IF(IF(Z$1="""","""",REGEXMATCH(LOWER($E643),XLOOKUP(Z$1,Metadata!$A$2:$A1000,Metadata!$B$2:$B1000))),Z$1,"""")"),"")</f>
        <v/>
      </c>
    </row>
    <row r="644">
      <c r="A644" s="33"/>
      <c r="B644" s="33"/>
      <c r="C644" s="33"/>
      <c r="D644" s="33"/>
      <c r="E644" s="33"/>
      <c r="F644" s="33"/>
      <c r="G644" s="33"/>
      <c r="H644" s="33"/>
      <c r="I644" s="33"/>
      <c r="J644" s="33"/>
      <c r="K644" s="33"/>
      <c r="L644" s="33" t="str">
        <f>IFERROR(__xludf.DUMMYFUNCTION("IF(IF(L$1="""","""",REGEXMATCH(LOWER($E644),XLOOKUP(L$1,Metadata!$A$2:$A1000,Metadata!$B$2:$B1000))),L$1,"""")"),"")</f>
        <v/>
      </c>
      <c r="M644" s="33" t="str">
        <f>IFERROR(__xludf.DUMMYFUNCTION("IF(IF(M$1="""","""",REGEXMATCH(LOWER($E644),XLOOKUP(M$1,Metadata!$A$2:$A1000,Metadata!$B$2:$B1000))),M$1,"""")"),"")</f>
        <v/>
      </c>
      <c r="N644" s="33" t="str">
        <f>IFERROR(__xludf.DUMMYFUNCTION("IF(IF(N$1="""","""",REGEXMATCH(LOWER($E644),XLOOKUP(N$1,Metadata!$A$2:$A1000,Metadata!$B$2:$B1000))),N$1,"""")"),"")</f>
        <v/>
      </c>
      <c r="O644" s="33" t="str">
        <f>IFERROR(__xludf.DUMMYFUNCTION("IF(IF(O$1="""","""",REGEXMATCH(LOWER($E644),XLOOKUP(O$1,Metadata!$A$2:$A1000,Metadata!$B$2:$B1000))),O$1,"""")"),"")</f>
        <v/>
      </c>
      <c r="P644" s="33" t="str">
        <f>IFERROR(__xludf.DUMMYFUNCTION("IF(IF(P$1="""","""",REGEXMATCH(LOWER($E644),XLOOKUP(P$1,Metadata!$A$2:$A1000,Metadata!$B$2:$B1000))),P$1,"""")"),"")</f>
        <v/>
      </c>
      <c r="Q644" s="33" t="str">
        <f>IFERROR(__xludf.DUMMYFUNCTION("IF(IF(Q$1="""","""",REGEXMATCH(LOWER($E644),XLOOKUP(Q$1,Metadata!$A$2:$A1000,Metadata!$B$2:$B1000))),Q$1,"""")"),"")</f>
        <v/>
      </c>
      <c r="R644" s="33" t="str">
        <f>IFERROR(__xludf.DUMMYFUNCTION("IF(IF(R$1="""","""",REGEXMATCH(LOWER($E644),XLOOKUP(R$1,Metadata!$A$2:$A1000,Metadata!$B$2:$B1000))),R$1,"""")"),"")</f>
        <v/>
      </c>
      <c r="S644" s="33" t="str">
        <f>IFERROR(__xludf.DUMMYFUNCTION("IF(IF(S$1="""","""",REGEXMATCH(LOWER($E644),XLOOKUP(S$1,Metadata!$A$2:$A1000,Metadata!$B$2:$B1000))),S$1,"""")"),"")</f>
        <v/>
      </c>
      <c r="T644" s="33" t="str">
        <f>IFERROR(__xludf.DUMMYFUNCTION("IF(IF(T$1="""","""",REGEXMATCH(LOWER($E644),XLOOKUP(T$1,Metadata!$A$2:$A1000,Metadata!$B$2:$B1000))),T$1,"""")"),"")</f>
        <v/>
      </c>
      <c r="U644" s="33" t="str">
        <f>IFERROR(__xludf.DUMMYFUNCTION("IF(IF(U$1="""","""",REGEXMATCH(LOWER($E644),XLOOKUP(U$1,Metadata!$A$2:$A1000,Metadata!$B$2:$B1000))),U$1,"""")"),"")</f>
        <v/>
      </c>
      <c r="V644" s="33" t="str">
        <f>IFERROR(__xludf.DUMMYFUNCTION("IF(IF(V$1="""","""",REGEXMATCH(LOWER($E644),XLOOKUP(V$1,Metadata!$A$2:$A1000,Metadata!$B$2:$B1000))),V$1,"""")"),"")</f>
        <v/>
      </c>
      <c r="W644" s="33" t="str">
        <f>IFERROR(__xludf.DUMMYFUNCTION("IF(IF(W$1="""","""",REGEXMATCH(LOWER($E644),XLOOKUP(W$1,Metadata!$A$2:$A1000,Metadata!$B$2:$B1000))),W$1,"""")"),"")</f>
        <v/>
      </c>
      <c r="X644" s="33" t="str">
        <f>IFERROR(__xludf.DUMMYFUNCTION("IF(IF(X$1="""","""",REGEXMATCH(LOWER($E644),XLOOKUP(X$1,Metadata!$A$2:$A1000,Metadata!$B$2:$B1000))),X$1,"""")"),"")</f>
        <v/>
      </c>
      <c r="Y644" s="33" t="str">
        <f>IFERROR(__xludf.DUMMYFUNCTION("IF(IF(Y$1="""","""",REGEXMATCH(LOWER($E644),XLOOKUP(Y$1,Metadata!$A$2:$A1000,Metadata!$B$2:$B1000))),Y$1,"""")"),"")</f>
        <v/>
      </c>
      <c r="Z644" s="33" t="str">
        <f>IFERROR(__xludf.DUMMYFUNCTION("IF(IF(Z$1="""","""",REGEXMATCH(LOWER($E644),XLOOKUP(Z$1,Metadata!$A$2:$A1000,Metadata!$B$2:$B1000))),Z$1,"""")"),"")</f>
        <v/>
      </c>
    </row>
    <row r="645">
      <c r="A645" s="33"/>
      <c r="B645" s="33"/>
      <c r="C645" s="33"/>
      <c r="D645" s="33"/>
      <c r="E645" s="33"/>
      <c r="F645" s="33"/>
      <c r="G645" s="33"/>
      <c r="H645" s="33"/>
      <c r="I645" s="33"/>
      <c r="J645" s="33"/>
      <c r="K645" s="33"/>
      <c r="L645" s="33" t="str">
        <f>IFERROR(__xludf.DUMMYFUNCTION("IF(IF(L$1="""","""",REGEXMATCH(LOWER($E645),XLOOKUP(L$1,Metadata!$A$2:$A1000,Metadata!$B$2:$B1000))),L$1,"""")"),"")</f>
        <v/>
      </c>
      <c r="M645" s="33" t="str">
        <f>IFERROR(__xludf.DUMMYFUNCTION("IF(IF(M$1="""","""",REGEXMATCH(LOWER($E645),XLOOKUP(M$1,Metadata!$A$2:$A1000,Metadata!$B$2:$B1000))),M$1,"""")"),"")</f>
        <v/>
      </c>
      <c r="N645" s="33" t="str">
        <f>IFERROR(__xludf.DUMMYFUNCTION("IF(IF(N$1="""","""",REGEXMATCH(LOWER($E645),XLOOKUP(N$1,Metadata!$A$2:$A1000,Metadata!$B$2:$B1000))),N$1,"""")"),"")</f>
        <v/>
      </c>
      <c r="O645" s="33" t="str">
        <f>IFERROR(__xludf.DUMMYFUNCTION("IF(IF(O$1="""","""",REGEXMATCH(LOWER($E645),XLOOKUP(O$1,Metadata!$A$2:$A1000,Metadata!$B$2:$B1000))),O$1,"""")"),"")</f>
        <v/>
      </c>
      <c r="P645" s="33" t="str">
        <f>IFERROR(__xludf.DUMMYFUNCTION("IF(IF(P$1="""","""",REGEXMATCH(LOWER($E645),XLOOKUP(P$1,Metadata!$A$2:$A1000,Metadata!$B$2:$B1000))),P$1,"""")"),"")</f>
        <v/>
      </c>
      <c r="Q645" s="33" t="str">
        <f>IFERROR(__xludf.DUMMYFUNCTION("IF(IF(Q$1="""","""",REGEXMATCH(LOWER($E645),XLOOKUP(Q$1,Metadata!$A$2:$A1000,Metadata!$B$2:$B1000))),Q$1,"""")"),"")</f>
        <v/>
      </c>
      <c r="R645" s="33" t="str">
        <f>IFERROR(__xludf.DUMMYFUNCTION("IF(IF(R$1="""","""",REGEXMATCH(LOWER($E645),XLOOKUP(R$1,Metadata!$A$2:$A1000,Metadata!$B$2:$B1000))),R$1,"""")"),"")</f>
        <v/>
      </c>
      <c r="S645" s="33" t="str">
        <f>IFERROR(__xludf.DUMMYFUNCTION("IF(IF(S$1="""","""",REGEXMATCH(LOWER($E645),XLOOKUP(S$1,Metadata!$A$2:$A1000,Metadata!$B$2:$B1000))),S$1,"""")"),"")</f>
        <v/>
      </c>
      <c r="T645" s="33" t="str">
        <f>IFERROR(__xludf.DUMMYFUNCTION("IF(IF(T$1="""","""",REGEXMATCH(LOWER($E645),XLOOKUP(T$1,Metadata!$A$2:$A1000,Metadata!$B$2:$B1000))),T$1,"""")"),"")</f>
        <v/>
      </c>
      <c r="U645" s="33" t="str">
        <f>IFERROR(__xludf.DUMMYFUNCTION("IF(IF(U$1="""","""",REGEXMATCH(LOWER($E645),XLOOKUP(U$1,Metadata!$A$2:$A1000,Metadata!$B$2:$B1000))),U$1,"""")"),"")</f>
        <v/>
      </c>
      <c r="V645" s="33" t="str">
        <f>IFERROR(__xludf.DUMMYFUNCTION("IF(IF(V$1="""","""",REGEXMATCH(LOWER($E645),XLOOKUP(V$1,Metadata!$A$2:$A1000,Metadata!$B$2:$B1000))),V$1,"""")"),"")</f>
        <v/>
      </c>
      <c r="W645" s="33" t="str">
        <f>IFERROR(__xludf.DUMMYFUNCTION("IF(IF(W$1="""","""",REGEXMATCH(LOWER($E645),XLOOKUP(W$1,Metadata!$A$2:$A1000,Metadata!$B$2:$B1000))),W$1,"""")"),"")</f>
        <v/>
      </c>
      <c r="X645" s="33" t="str">
        <f>IFERROR(__xludf.DUMMYFUNCTION("IF(IF(X$1="""","""",REGEXMATCH(LOWER($E645),XLOOKUP(X$1,Metadata!$A$2:$A1000,Metadata!$B$2:$B1000))),X$1,"""")"),"")</f>
        <v/>
      </c>
      <c r="Y645" s="33" t="str">
        <f>IFERROR(__xludf.DUMMYFUNCTION("IF(IF(Y$1="""","""",REGEXMATCH(LOWER($E645),XLOOKUP(Y$1,Metadata!$A$2:$A1000,Metadata!$B$2:$B1000))),Y$1,"""")"),"")</f>
        <v/>
      </c>
      <c r="Z645" s="33" t="str">
        <f>IFERROR(__xludf.DUMMYFUNCTION("IF(IF(Z$1="""","""",REGEXMATCH(LOWER($E645),XLOOKUP(Z$1,Metadata!$A$2:$A1000,Metadata!$B$2:$B1000))),Z$1,"""")"),"")</f>
        <v/>
      </c>
    </row>
    <row r="646">
      <c r="A646" s="33"/>
      <c r="B646" s="33"/>
      <c r="C646" s="33"/>
      <c r="D646" s="33"/>
      <c r="E646" s="33"/>
      <c r="F646" s="33"/>
      <c r="G646" s="33"/>
      <c r="H646" s="33"/>
      <c r="I646" s="33"/>
      <c r="J646" s="33"/>
      <c r="K646" s="33"/>
      <c r="L646" s="33" t="str">
        <f>IFERROR(__xludf.DUMMYFUNCTION("IF(IF(L$1="""","""",REGEXMATCH(LOWER($E646),XLOOKUP(L$1,Metadata!$A$2:$A1000,Metadata!$B$2:$B1000))),L$1,"""")"),"")</f>
        <v/>
      </c>
      <c r="M646" s="33" t="str">
        <f>IFERROR(__xludf.DUMMYFUNCTION("IF(IF(M$1="""","""",REGEXMATCH(LOWER($E646),XLOOKUP(M$1,Metadata!$A$2:$A1000,Metadata!$B$2:$B1000))),M$1,"""")"),"")</f>
        <v/>
      </c>
      <c r="N646" s="33" t="str">
        <f>IFERROR(__xludf.DUMMYFUNCTION("IF(IF(N$1="""","""",REGEXMATCH(LOWER($E646),XLOOKUP(N$1,Metadata!$A$2:$A1000,Metadata!$B$2:$B1000))),N$1,"""")"),"")</f>
        <v/>
      </c>
      <c r="O646" s="33" t="str">
        <f>IFERROR(__xludf.DUMMYFUNCTION("IF(IF(O$1="""","""",REGEXMATCH(LOWER($E646),XLOOKUP(O$1,Metadata!$A$2:$A1000,Metadata!$B$2:$B1000))),O$1,"""")"),"")</f>
        <v/>
      </c>
      <c r="P646" s="33" t="str">
        <f>IFERROR(__xludf.DUMMYFUNCTION("IF(IF(P$1="""","""",REGEXMATCH(LOWER($E646),XLOOKUP(P$1,Metadata!$A$2:$A1000,Metadata!$B$2:$B1000))),P$1,"""")"),"")</f>
        <v/>
      </c>
      <c r="Q646" s="33" t="str">
        <f>IFERROR(__xludf.DUMMYFUNCTION("IF(IF(Q$1="""","""",REGEXMATCH(LOWER($E646),XLOOKUP(Q$1,Metadata!$A$2:$A1000,Metadata!$B$2:$B1000))),Q$1,"""")"),"")</f>
        <v/>
      </c>
      <c r="R646" s="33" t="str">
        <f>IFERROR(__xludf.DUMMYFUNCTION("IF(IF(R$1="""","""",REGEXMATCH(LOWER($E646),XLOOKUP(R$1,Metadata!$A$2:$A1000,Metadata!$B$2:$B1000))),R$1,"""")"),"")</f>
        <v/>
      </c>
      <c r="S646" s="33" t="str">
        <f>IFERROR(__xludf.DUMMYFUNCTION("IF(IF(S$1="""","""",REGEXMATCH(LOWER($E646),XLOOKUP(S$1,Metadata!$A$2:$A1000,Metadata!$B$2:$B1000))),S$1,"""")"),"")</f>
        <v/>
      </c>
      <c r="T646" s="33" t="str">
        <f>IFERROR(__xludf.DUMMYFUNCTION("IF(IF(T$1="""","""",REGEXMATCH(LOWER($E646),XLOOKUP(T$1,Metadata!$A$2:$A1000,Metadata!$B$2:$B1000))),T$1,"""")"),"")</f>
        <v/>
      </c>
      <c r="U646" s="33" t="str">
        <f>IFERROR(__xludf.DUMMYFUNCTION("IF(IF(U$1="""","""",REGEXMATCH(LOWER($E646),XLOOKUP(U$1,Metadata!$A$2:$A1000,Metadata!$B$2:$B1000))),U$1,"""")"),"")</f>
        <v/>
      </c>
      <c r="V646" s="33" t="str">
        <f>IFERROR(__xludf.DUMMYFUNCTION("IF(IF(V$1="""","""",REGEXMATCH(LOWER($E646),XLOOKUP(V$1,Metadata!$A$2:$A1000,Metadata!$B$2:$B1000))),V$1,"""")"),"")</f>
        <v/>
      </c>
      <c r="W646" s="33" t="str">
        <f>IFERROR(__xludf.DUMMYFUNCTION("IF(IF(W$1="""","""",REGEXMATCH(LOWER($E646),XLOOKUP(W$1,Metadata!$A$2:$A1000,Metadata!$B$2:$B1000))),W$1,"""")"),"")</f>
        <v/>
      </c>
      <c r="X646" s="33" t="str">
        <f>IFERROR(__xludf.DUMMYFUNCTION("IF(IF(X$1="""","""",REGEXMATCH(LOWER($E646),XLOOKUP(X$1,Metadata!$A$2:$A1000,Metadata!$B$2:$B1000))),X$1,"""")"),"")</f>
        <v/>
      </c>
      <c r="Y646" s="33" t="str">
        <f>IFERROR(__xludf.DUMMYFUNCTION("IF(IF(Y$1="""","""",REGEXMATCH(LOWER($E646),XLOOKUP(Y$1,Metadata!$A$2:$A1000,Metadata!$B$2:$B1000))),Y$1,"""")"),"")</f>
        <v/>
      </c>
      <c r="Z646" s="33" t="str">
        <f>IFERROR(__xludf.DUMMYFUNCTION("IF(IF(Z$1="""","""",REGEXMATCH(LOWER($E646),XLOOKUP(Z$1,Metadata!$A$2:$A1000,Metadata!$B$2:$B1000))),Z$1,"""")"),"")</f>
        <v/>
      </c>
    </row>
    <row r="647">
      <c r="A647" s="33"/>
      <c r="B647" s="33"/>
      <c r="C647" s="33"/>
      <c r="D647" s="33"/>
      <c r="E647" s="33"/>
      <c r="F647" s="33"/>
      <c r="G647" s="33"/>
      <c r="H647" s="33"/>
      <c r="I647" s="33"/>
      <c r="J647" s="33"/>
      <c r="K647" s="33"/>
      <c r="L647" s="33" t="str">
        <f>IFERROR(__xludf.DUMMYFUNCTION("IF(IF(L$1="""","""",REGEXMATCH(LOWER($E647),XLOOKUP(L$1,Metadata!$A$2:$A1000,Metadata!$B$2:$B1000))),L$1,"""")"),"")</f>
        <v/>
      </c>
      <c r="M647" s="33" t="str">
        <f>IFERROR(__xludf.DUMMYFUNCTION("IF(IF(M$1="""","""",REGEXMATCH(LOWER($E647),XLOOKUP(M$1,Metadata!$A$2:$A1000,Metadata!$B$2:$B1000))),M$1,"""")"),"")</f>
        <v/>
      </c>
      <c r="N647" s="33" t="str">
        <f>IFERROR(__xludf.DUMMYFUNCTION("IF(IF(N$1="""","""",REGEXMATCH(LOWER($E647),XLOOKUP(N$1,Metadata!$A$2:$A1000,Metadata!$B$2:$B1000))),N$1,"""")"),"")</f>
        <v/>
      </c>
      <c r="O647" s="33" t="str">
        <f>IFERROR(__xludf.DUMMYFUNCTION("IF(IF(O$1="""","""",REGEXMATCH(LOWER($E647),XLOOKUP(O$1,Metadata!$A$2:$A1000,Metadata!$B$2:$B1000))),O$1,"""")"),"")</f>
        <v/>
      </c>
      <c r="P647" s="33" t="str">
        <f>IFERROR(__xludf.DUMMYFUNCTION("IF(IF(P$1="""","""",REGEXMATCH(LOWER($E647),XLOOKUP(P$1,Metadata!$A$2:$A1000,Metadata!$B$2:$B1000))),P$1,"""")"),"")</f>
        <v/>
      </c>
      <c r="Q647" s="33" t="str">
        <f>IFERROR(__xludf.DUMMYFUNCTION("IF(IF(Q$1="""","""",REGEXMATCH(LOWER($E647),XLOOKUP(Q$1,Metadata!$A$2:$A1000,Metadata!$B$2:$B1000))),Q$1,"""")"),"")</f>
        <v/>
      </c>
      <c r="R647" s="33" t="str">
        <f>IFERROR(__xludf.DUMMYFUNCTION("IF(IF(R$1="""","""",REGEXMATCH(LOWER($E647),XLOOKUP(R$1,Metadata!$A$2:$A1000,Metadata!$B$2:$B1000))),R$1,"""")"),"")</f>
        <v/>
      </c>
      <c r="S647" s="33" t="str">
        <f>IFERROR(__xludf.DUMMYFUNCTION("IF(IF(S$1="""","""",REGEXMATCH(LOWER($E647),XLOOKUP(S$1,Metadata!$A$2:$A1000,Metadata!$B$2:$B1000))),S$1,"""")"),"")</f>
        <v/>
      </c>
      <c r="T647" s="33" t="str">
        <f>IFERROR(__xludf.DUMMYFUNCTION("IF(IF(T$1="""","""",REGEXMATCH(LOWER($E647),XLOOKUP(T$1,Metadata!$A$2:$A1000,Metadata!$B$2:$B1000))),T$1,"""")"),"")</f>
        <v/>
      </c>
      <c r="U647" s="33" t="str">
        <f>IFERROR(__xludf.DUMMYFUNCTION("IF(IF(U$1="""","""",REGEXMATCH(LOWER($E647),XLOOKUP(U$1,Metadata!$A$2:$A1000,Metadata!$B$2:$B1000))),U$1,"""")"),"")</f>
        <v/>
      </c>
      <c r="V647" s="33" t="str">
        <f>IFERROR(__xludf.DUMMYFUNCTION("IF(IF(V$1="""","""",REGEXMATCH(LOWER($E647),XLOOKUP(V$1,Metadata!$A$2:$A1000,Metadata!$B$2:$B1000))),V$1,"""")"),"")</f>
        <v/>
      </c>
      <c r="W647" s="33" t="str">
        <f>IFERROR(__xludf.DUMMYFUNCTION("IF(IF(W$1="""","""",REGEXMATCH(LOWER($E647),XLOOKUP(W$1,Metadata!$A$2:$A1000,Metadata!$B$2:$B1000))),W$1,"""")"),"")</f>
        <v/>
      </c>
      <c r="X647" s="33" t="str">
        <f>IFERROR(__xludf.DUMMYFUNCTION("IF(IF(X$1="""","""",REGEXMATCH(LOWER($E647),XLOOKUP(X$1,Metadata!$A$2:$A1000,Metadata!$B$2:$B1000))),X$1,"""")"),"")</f>
        <v/>
      </c>
      <c r="Y647" s="33" t="str">
        <f>IFERROR(__xludf.DUMMYFUNCTION("IF(IF(Y$1="""","""",REGEXMATCH(LOWER($E647),XLOOKUP(Y$1,Metadata!$A$2:$A1000,Metadata!$B$2:$B1000))),Y$1,"""")"),"")</f>
        <v/>
      </c>
      <c r="Z647" s="33" t="str">
        <f>IFERROR(__xludf.DUMMYFUNCTION("IF(IF(Z$1="""","""",REGEXMATCH(LOWER($E647),XLOOKUP(Z$1,Metadata!$A$2:$A1000,Metadata!$B$2:$B1000))),Z$1,"""")"),"")</f>
        <v/>
      </c>
    </row>
    <row r="648">
      <c r="A648" s="33"/>
      <c r="B648" s="33"/>
      <c r="C648" s="33"/>
      <c r="D648" s="33"/>
      <c r="E648" s="33"/>
      <c r="F648" s="33"/>
      <c r="G648" s="33"/>
      <c r="H648" s="33"/>
      <c r="I648" s="33"/>
      <c r="J648" s="33"/>
      <c r="K648" s="33"/>
      <c r="L648" s="33" t="str">
        <f>IFERROR(__xludf.DUMMYFUNCTION("IF(IF(L$1="""","""",REGEXMATCH(LOWER($E648),XLOOKUP(L$1,Metadata!$A$2:$A1000,Metadata!$B$2:$B1000))),L$1,"""")"),"")</f>
        <v/>
      </c>
      <c r="M648" s="33" t="str">
        <f>IFERROR(__xludf.DUMMYFUNCTION("IF(IF(M$1="""","""",REGEXMATCH(LOWER($E648),XLOOKUP(M$1,Metadata!$A$2:$A1000,Metadata!$B$2:$B1000))),M$1,"""")"),"")</f>
        <v/>
      </c>
      <c r="N648" s="33" t="str">
        <f>IFERROR(__xludf.DUMMYFUNCTION("IF(IF(N$1="""","""",REGEXMATCH(LOWER($E648),XLOOKUP(N$1,Metadata!$A$2:$A1000,Metadata!$B$2:$B1000))),N$1,"""")"),"")</f>
        <v/>
      </c>
      <c r="O648" s="33" t="str">
        <f>IFERROR(__xludf.DUMMYFUNCTION("IF(IF(O$1="""","""",REGEXMATCH(LOWER($E648),XLOOKUP(O$1,Metadata!$A$2:$A1000,Metadata!$B$2:$B1000))),O$1,"""")"),"")</f>
        <v/>
      </c>
      <c r="P648" s="33" t="str">
        <f>IFERROR(__xludf.DUMMYFUNCTION("IF(IF(P$1="""","""",REGEXMATCH(LOWER($E648),XLOOKUP(P$1,Metadata!$A$2:$A1000,Metadata!$B$2:$B1000))),P$1,"""")"),"")</f>
        <v/>
      </c>
      <c r="Q648" s="33" t="str">
        <f>IFERROR(__xludf.DUMMYFUNCTION("IF(IF(Q$1="""","""",REGEXMATCH(LOWER($E648),XLOOKUP(Q$1,Metadata!$A$2:$A1000,Metadata!$B$2:$B1000))),Q$1,"""")"),"")</f>
        <v/>
      </c>
      <c r="R648" s="33" t="str">
        <f>IFERROR(__xludf.DUMMYFUNCTION("IF(IF(R$1="""","""",REGEXMATCH(LOWER($E648),XLOOKUP(R$1,Metadata!$A$2:$A1000,Metadata!$B$2:$B1000))),R$1,"""")"),"")</f>
        <v/>
      </c>
      <c r="S648" s="33" t="str">
        <f>IFERROR(__xludf.DUMMYFUNCTION("IF(IF(S$1="""","""",REGEXMATCH(LOWER($E648),XLOOKUP(S$1,Metadata!$A$2:$A1000,Metadata!$B$2:$B1000))),S$1,"""")"),"")</f>
        <v/>
      </c>
      <c r="T648" s="33" t="str">
        <f>IFERROR(__xludf.DUMMYFUNCTION("IF(IF(T$1="""","""",REGEXMATCH(LOWER($E648),XLOOKUP(T$1,Metadata!$A$2:$A1000,Metadata!$B$2:$B1000))),T$1,"""")"),"")</f>
        <v/>
      </c>
      <c r="U648" s="33" t="str">
        <f>IFERROR(__xludf.DUMMYFUNCTION("IF(IF(U$1="""","""",REGEXMATCH(LOWER($E648),XLOOKUP(U$1,Metadata!$A$2:$A1000,Metadata!$B$2:$B1000))),U$1,"""")"),"")</f>
        <v/>
      </c>
      <c r="V648" s="33" t="str">
        <f>IFERROR(__xludf.DUMMYFUNCTION("IF(IF(V$1="""","""",REGEXMATCH(LOWER($E648),XLOOKUP(V$1,Metadata!$A$2:$A1000,Metadata!$B$2:$B1000))),V$1,"""")"),"")</f>
        <v/>
      </c>
      <c r="W648" s="33" t="str">
        <f>IFERROR(__xludf.DUMMYFUNCTION("IF(IF(W$1="""","""",REGEXMATCH(LOWER($E648),XLOOKUP(W$1,Metadata!$A$2:$A1000,Metadata!$B$2:$B1000))),W$1,"""")"),"")</f>
        <v/>
      </c>
      <c r="X648" s="33" t="str">
        <f>IFERROR(__xludf.DUMMYFUNCTION("IF(IF(X$1="""","""",REGEXMATCH(LOWER($E648),XLOOKUP(X$1,Metadata!$A$2:$A1000,Metadata!$B$2:$B1000))),X$1,"""")"),"")</f>
        <v/>
      </c>
      <c r="Y648" s="33" t="str">
        <f>IFERROR(__xludf.DUMMYFUNCTION("IF(IF(Y$1="""","""",REGEXMATCH(LOWER($E648),XLOOKUP(Y$1,Metadata!$A$2:$A1000,Metadata!$B$2:$B1000))),Y$1,"""")"),"")</f>
        <v/>
      </c>
      <c r="Z648" s="33" t="str">
        <f>IFERROR(__xludf.DUMMYFUNCTION("IF(IF(Z$1="""","""",REGEXMATCH(LOWER($E648),XLOOKUP(Z$1,Metadata!$A$2:$A1000,Metadata!$B$2:$B1000))),Z$1,"""")"),"")</f>
        <v/>
      </c>
    </row>
    <row r="649">
      <c r="A649" s="33"/>
      <c r="B649" s="33"/>
      <c r="C649" s="33"/>
      <c r="D649" s="33"/>
      <c r="E649" s="33"/>
      <c r="F649" s="33"/>
      <c r="G649" s="33"/>
      <c r="H649" s="33"/>
      <c r="I649" s="33"/>
      <c r="J649" s="33"/>
      <c r="K649" s="33"/>
      <c r="L649" s="33" t="str">
        <f>IFERROR(__xludf.DUMMYFUNCTION("IF(IF(L$1="""","""",REGEXMATCH(LOWER($E649),XLOOKUP(L$1,Metadata!$A$2:$A1000,Metadata!$B$2:$B1000))),L$1,"""")"),"")</f>
        <v/>
      </c>
      <c r="M649" s="33" t="str">
        <f>IFERROR(__xludf.DUMMYFUNCTION("IF(IF(M$1="""","""",REGEXMATCH(LOWER($E649),XLOOKUP(M$1,Metadata!$A$2:$A1000,Metadata!$B$2:$B1000))),M$1,"""")"),"")</f>
        <v/>
      </c>
      <c r="N649" s="33" t="str">
        <f>IFERROR(__xludf.DUMMYFUNCTION("IF(IF(N$1="""","""",REGEXMATCH(LOWER($E649),XLOOKUP(N$1,Metadata!$A$2:$A1000,Metadata!$B$2:$B1000))),N$1,"""")"),"")</f>
        <v/>
      </c>
      <c r="O649" s="33" t="str">
        <f>IFERROR(__xludf.DUMMYFUNCTION("IF(IF(O$1="""","""",REGEXMATCH(LOWER($E649),XLOOKUP(O$1,Metadata!$A$2:$A1000,Metadata!$B$2:$B1000))),O$1,"""")"),"")</f>
        <v/>
      </c>
      <c r="P649" s="33" t="str">
        <f>IFERROR(__xludf.DUMMYFUNCTION("IF(IF(P$1="""","""",REGEXMATCH(LOWER($E649),XLOOKUP(P$1,Metadata!$A$2:$A1000,Metadata!$B$2:$B1000))),P$1,"""")"),"")</f>
        <v/>
      </c>
      <c r="Q649" s="33" t="str">
        <f>IFERROR(__xludf.DUMMYFUNCTION("IF(IF(Q$1="""","""",REGEXMATCH(LOWER($E649),XLOOKUP(Q$1,Metadata!$A$2:$A1000,Metadata!$B$2:$B1000))),Q$1,"""")"),"")</f>
        <v/>
      </c>
      <c r="R649" s="33" t="str">
        <f>IFERROR(__xludf.DUMMYFUNCTION("IF(IF(R$1="""","""",REGEXMATCH(LOWER($E649),XLOOKUP(R$1,Metadata!$A$2:$A1000,Metadata!$B$2:$B1000))),R$1,"""")"),"")</f>
        <v/>
      </c>
      <c r="S649" s="33" t="str">
        <f>IFERROR(__xludf.DUMMYFUNCTION("IF(IF(S$1="""","""",REGEXMATCH(LOWER($E649),XLOOKUP(S$1,Metadata!$A$2:$A1000,Metadata!$B$2:$B1000))),S$1,"""")"),"")</f>
        <v/>
      </c>
      <c r="T649" s="33" t="str">
        <f>IFERROR(__xludf.DUMMYFUNCTION("IF(IF(T$1="""","""",REGEXMATCH(LOWER($E649),XLOOKUP(T$1,Metadata!$A$2:$A1000,Metadata!$B$2:$B1000))),T$1,"""")"),"")</f>
        <v/>
      </c>
      <c r="U649" s="33" t="str">
        <f>IFERROR(__xludf.DUMMYFUNCTION("IF(IF(U$1="""","""",REGEXMATCH(LOWER($E649),XLOOKUP(U$1,Metadata!$A$2:$A1000,Metadata!$B$2:$B1000))),U$1,"""")"),"")</f>
        <v/>
      </c>
      <c r="V649" s="33" t="str">
        <f>IFERROR(__xludf.DUMMYFUNCTION("IF(IF(V$1="""","""",REGEXMATCH(LOWER($E649),XLOOKUP(V$1,Metadata!$A$2:$A1000,Metadata!$B$2:$B1000))),V$1,"""")"),"")</f>
        <v/>
      </c>
      <c r="W649" s="33" t="str">
        <f>IFERROR(__xludf.DUMMYFUNCTION("IF(IF(W$1="""","""",REGEXMATCH(LOWER($E649),XLOOKUP(W$1,Metadata!$A$2:$A1000,Metadata!$B$2:$B1000))),W$1,"""")"),"")</f>
        <v/>
      </c>
      <c r="X649" s="33" t="str">
        <f>IFERROR(__xludf.DUMMYFUNCTION("IF(IF(X$1="""","""",REGEXMATCH(LOWER($E649),XLOOKUP(X$1,Metadata!$A$2:$A1000,Metadata!$B$2:$B1000))),X$1,"""")"),"")</f>
        <v/>
      </c>
      <c r="Y649" s="33" t="str">
        <f>IFERROR(__xludf.DUMMYFUNCTION("IF(IF(Y$1="""","""",REGEXMATCH(LOWER($E649),XLOOKUP(Y$1,Metadata!$A$2:$A1000,Metadata!$B$2:$B1000))),Y$1,"""")"),"")</f>
        <v/>
      </c>
      <c r="Z649" s="33" t="str">
        <f>IFERROR(__xludf.DUMMYFUNCTION("IF(IF(Z$1="""","""",REGEXMATCH(LOWER($E649),XLOOKUP(Z$1,Metadata!$A$2:$A1000,Metadata!$B$2:$B1000))),Z$1,"""")"),"")</f>
        <v/>
      </c>
    </row>
    <row r="650">
      <c r="A650" s="33"/>
      <c r="B650" s="33"/>
      <c r="C650" s="33"/>
      <c r="D650" s="33"/>
      <c r="E650" s="33"/>
      <c r="F650" s="33"/>
      <c r="G650" s="33"/>
      <c r="H650" s="33"/>
      <c r="I650" s="33"/>
      <c r="J650" s="33"/>
      <c r="K650" s="33"/>
      <c r="L650" s="33" t="str">
        <f>IFERROR(__xludf.DUMMYFUNCTION("IF(IF(L$1="""","""",REGEXMATCH(LOWER($E650),XLOOKUP(L$1,Metadata!$A$2:$A1000,Metadata!$B$2:$B1000))),L$1,"""")"),"")</f>
        <v/>
      </c>
      <c r="M650" s="33" t="str">
        <f>IFERROR(__xludf.DUMMYFUNCTION("IF(IF(M$1="""","""",REGEXMATCH(LOWER($E650),XLOOKUP(M$1,Metadata!$A$2:$A1000,Metadata!$B$2:$B1000))),M$1,"""")"),"")</f>
        <v/>
      </c>
      <c r="N650" s="33" t="str">
        <f>IFERROR(__xludf.DUMMYFUNCTION("IF(IF(N$1="""","""",REGEXMATCH(LOWER($E650),XLOOKUP(N$1,Metadata!$A$2:$A1000,Metadata!$B$2:$B1000))),N$1,"""")"),"")</f>
        <v/>
      </c>
      <c r="O650" s="33" t="str">
        <f>IFERROR(__xludf.DUMMYFUNCTION("IF(IF(O$1="""","""",REGEXMATCH(LOWER($E650),XLOOKUP(O$1,Metadata!$A$2:$A1000,Metadata!$B$2:$B1000))),O$1,"""")"),"")</f>
        <v/>
      </c>
      <c r="P650" s="33" t="str">
        <f>IFERROR(__xludf.DUMMYFUNCTION("IF(IF(P$1="""","""",REGEXMATCH(LOWER($E650),XLOOKUP(P$1,Metadata!$A$2:$A1000,Metadata!$B$2:$B1000))),P$1,"""")"),"")</f>
        <v/>
      </c>
      <c r="Q650" s="33" t="str">
        <f>IFERROR(__xludf.DUMMYFUNCTION("IF(IF(Q$1="""","""",REGEXMATCH(LOWER($E650),XLOOKUP(Q$1,Metadata!$A$2:$A1000,Metadata!$B$2:$B1000))),Q$1,"""")"),"")</f>
        <v/>
      </c>
      <c r="R650" s="33" t="str">
        <f>IFERROR(__xludf.DUMMYFUNCTION("IF(IF(R$1="""","""",REGEXMATCH(LOWER($E650),XLOOKUP(R$1,Metadata!$A$2:$A1000,Metadata!$B$2:$B1000))),R$1,"""")"),"")</f>
        <v/>
      </c>
      <c r="S650" s="33" t="str">
        <f>IFERROR(__xludf.DUMMYFUNCTION("IF(IF(S$1="""","""",REGEXMATCH(LOWER($E650),XLOOKUP(S$1,Metadata!$A$2:$A1000,Metadata!$B$2:$B1000))),S$1,"""")"),"")</f>
        <v/>
      </c>
      <c r="T650" s="33" t="str">
        <f>IFERROR(__xludf.DUMMYFUNCTION("IF(IF(T$1="""","""",REGEXMATCH(LOWER($E650),XLOOKUP(T$1,Metadata!$A$2:$A1000,Metadata!$B$2:$B1000))),T$1,"""")"),"")</f>
        <v/>
      </c>
      <c r="U650" s="33" t="str">
        <f>IFERROR(__xludf.DUMMYFUNCTION("IF(IF(U$1="""","""",REGEXMATCH(LOWER($E650),XLOOKUP(U$1,Metadata!$A$2:$A1000,Metadata!$B$2:$B1000))),U$1,"""")"),"")</f>
        <v/>
      </c>
      <c r="V650" s="33" t="str">
        <f>IFERROR(__xludf.DUMMYFUNCTION("IF(IF(V$1="""","""",REGEXMATCH(LOWER($E650),XLOOKUP(V$1,Metadata!$A$2:$A1000,Metadata!$B$2:$B1000))),V$1,"""")"),"")</f>
        <v/>
      </c>
      <c r="W650" s="33" t="str">
        <f>IFERROR(__xludf.DUMMYFUNCTION("IF(IF(W$1="""","""",REGEXMATCH(LOWER($E650),XLOOKUP(W$1,Metadata!$A$2:$A1000,Metadata!$B$2:$B1000))),W$1,"""")"),"")</f>
        <v/>
      </c>
      <c r="X650" s="33" t="str">
        <f>IFERROR(__xludf.DUMMYFUNCTION("IF(IF(X$1="""","""",REGEXMATCH(LOWER($E650),XLOOKUP(X$1,Metadata!$A$2:$A1000,Metadata!$B$2:$B1000))),X$1,"""")"),"")</f>
        <v/>
      </c>
      <c r="Y650" s="33" t="str">
        <f>IFERROR(__xludf.DUMMYFUNCTION("IF(IF(Y$1="""","""",REGEXMATCH(LOWER($E650),XLOOKUP(Y$1,Metadata!$A$2:$A1000,Metadata!$B$2:$B1000))),Y$1,"""")"),"")</f>
        <v/>
      </c>
      <c r="Z650" s="33" t="str">
        <f>IFERROR(__xludf.DUMMYFUNCTION("IF(IF(Z$1="""","""",REGEXMATCH(LOWER($E650),XLOOKUP(Z$1,Metadata!$A$2:$A1000,Metadata!$B$2:$B1000))),Z$1,"""")"),"")</f>
        <v/>
      </c>
    </row>
    <row r="651">
      <c r="A651" s="33"/>
      <c r="B651" s="33"/>
      <c r="C651" s="33"/>
      <c r="D651" s="33"/>
      <c r="E651" s="33"/>
      <c r="F651" s="33"/>
      <c r="G651" s="33"/>
      <c r="H651" s="33"/>
      <c r="I651" s="33"/>
      <c r="J651" s="33"/>
      <c r="K651" s="33"/>
      <c r="L651" s="33" t="str">
        <f>IFERROR(__xludf.DUMMYFUNCTION("IF(IF(L$1="""","""",REGEXMATCH(LOWER($E651),XLOOKUP(L$1,Metadata!$A$2:$A1000,Metadata!$B$2:$B1000))),L$1,"""")"),"")</f>
        <v/>
      </c>
      <c r="M651" s="33" t="str">
        <f>IFERROR(__xludf.DUMMYFUNCTION("IF(IF(M$1="""","""",REGEXMATCH(LOWER($E651),XLOOKUP(M$1,Metadata!$A$2:$A1000,Metadata!$B$2:$B1000))),M$1,"""")"),"")</f>
        <v/>
      </c>
      <c r="N651" s="33" t="str">
        <f>IFERROR(__xludf.DUMMYFUNCTION("IF(IF(N$1="""","""",REGEXMATCH(LOWER($E651),XLOOKUP(N$1,Metadata!$A$2:$A1000,Metadata!$B$2:$B1000))),N$1,"""")"),"")</f>
        <v/>
      </c>
      <c r="O651" s="33" t="str">
        <f>IFERROR(__xludf.DUMMYFUNCTION("IF(IF(O$1="""","""",REGEXMATCH(LOWER($E651),XLOOKUP(O$1,Metadata!$A$2:$A1000,Metadata!$B$2:$B1000))),O$1,"""")"),"")</f>
        <v/>
      </c>
      <c r="P651" s="33" t="str">
        <f>IFERROR(__xludf.DUMMYFUNCTION("IF(IF(P$1="""","""",REGEXMATCH(LOWER($E651),XLOOKUP(P$1,Metadata!$A$2:$A1000,Metadata!$B$2:$B1000))),P$1,"""")"),"")</f>
        <v/>
      </c>
      <c r="Q651" s="33" t="str">
        <f>IFERROR(__xludf.DUMMYFUNCTION("IF(IF(Q$1="""","""",REGEXMATCH(LOWER($E651),XLOOKUP(Q$1,Metadata!$A$2:$A1000,Metadata!$B$2:$B1000))),Q$1,"""")"),"")</f>
        <v/>
      </c>
      <c r="R651" s="33" t="str">
        <f>IFERROR(__xludf.DUMMYFUNCTION("IF(IF(R$1="""","""",REGEXMATCH(LOWER($E651),XLOOKUP(R$1,Metadata!$A$2:$A1000,Metadata!$B$2:$B1000))),R$1,"""")"),"")</f>
        <v/>
      </c>
      <c r="S651" s="33" t="str">
        <f>IFERROR(__xludf.DUMMYFUNCTION("IF(IF(S$1="""","""",REGEXMATCH(LOWER($E651),XLOOKUP(S$1,Metadata!$A$2:$A1000,Metadata!$B$2:$B1000))),S$1,"""")"),"")</f>
        <v/>
      </c>
      <c r="T651" s="33" t="str">
        <f>IFERROR(__xludf.DUMMYFUNCTION("IF(IF(T$1="""","""",REGEXMATCH(LOWER($E651),XLOOKUP(T$1,Metadata!$A$2:$A1000,Metadata!$B$2:$B1000))),T$1,"""")"),"")</f>
        <v/>
      </c>
      <c r="U651" s="33" t="str">
        <f>IFERROR(__xludf.DUMMYFUNCTION("IF(IF(U$1="""","""",REGEXMATCH(LOWER($E651),XLOOKUP(U$1,Metadata!$A$2:$A1000,Metadata!$B$2:$B1000))),U$1,"""")"),"")</f>
        <v/>
      </c>
      <c r="V651" s="33" t="str">
        <f>IFERROR(__xludf.DUMMYFUNCTION("IF(IF(V$1="""","""",REGEXMATCH(LOWER($E651),XLOOKUP(V$1,Metadata!$A$2:$A1000,Metadata!$B$2:$B1000))),V$1,"""")"),"")</f>
        <v/>
      </c>
      <c r="W651" s="33" t="str">
        <f>IFERROR(__xludf.DUMMYFUNCTION("IF(IF(W$1="""","""",REGEXMATCH(LOWER($E651),XLOOKUP(W$1,Metadata!$A$2:$A1000,Metadata!$B$2:$B1000))),W$1,"""")"),"")</f>
        <v/>
      </c>
      <c r="X651" s="33" t="str">
        <f>IFERROR(__xludf.DUMMYFUNCTION("IF(IF(X$1="""","""",REGEXMATCH(LOWER($E651),XLOOKUP(X$1,Metadata!$A$2:$A1000,Metadata!$B$2:$B1000))),X$1,"""")"),"")</f>
        <v/>
      </c>
      <c r="Y651" s="33" t="str">
        <f>IFERROR(__xludf.DUMMYFUNCTION("IF(IF(Y$1="""","""",REGEXMATCH(LOWER($E651),XLOOKUP(Y$1,Metadata!$A$2:$A1000,Metadata!$B$2:$B1000))),Y$1,"""")"),"")</f>
        <v/>
      </c>
      <c r="Z651" s="33" t="str">
        <f>IFERROR(__xludf.DUMMYFUNCTION("IF(IF(Z$1="""","""",REGEXMATCH(LOWER($E651),XLOOKUP(Z$1,Metadata!$A$2:$A1000,Metadata!$B$2:$B1000))),Z$1,"""")"),"")</f>
        <v/>
      </c>
    </row>
    <row r="652">
      <c r="A652" s="33"/>
      <c r="B652" s="33"/>
      <c r="C652" s="33"/>
      <c r="D652" s="33"/>
      <c r="E652" s="33"/>
      <c r="F652" s="33"/>
      <c r="G652" s="33"/>
      <c r="H652" s="33"/>
      <c r="I652" s="33"/>
      <c r="J652" s="33"/>
      <c r="K652" s="33"/>
      <c r="L652" s="33" t="str">
        <f>IFERROR(__xludf.DUMMYFUNCTION("IF(IF(L$1="""","""",REGEXMATCH(LOWER($E652),XLOOKUP(L$1,Metadata!$A$2:$A1000,Metadata!$B$2:$B1000))),L$1,"""")"),"")</f>
        <v/>
      </c>
      <c r="M652" s="33" t="str">
        <f>IFERROR(__xludf.DUMMYFUNCTION("IF(IF(M$1="""","""",REGEXMATCH(LOWER($E652),XLOOKUP(M$1,Metadata!$A$2:$A1000,Metadata!$B$2:$B1000))),M$1,"""")"),"")</f>
        <v/>
      </c>
      <c r="N652" s="33" t="str">
        <f>IFERROR(__xludf.DUMMYFUNCTION("IF(IF(N$1="""","""",REGEXMATCH(LOWER($E652),XLOOKUP(N$1,Metadata!$A$2:$A1000,Metadata!$B$2:$B1000))),N$1,"""")"),"")</f>
        <v/>
      </c>
      <c r="O652" s="33" t="str">
        <f>IFERROR(__xludf.DUMMYFUNCTION("IF(IF(O$1="""","""",REGEXMATCH(LOWER($E652),XLOOKUP(O$1,Metadata!$A$2:$A1000,Metadata!$B$2:$B1000))),O$1,"""")"),"")</f>
        <v/>
      </c>
      <c r="P652" s="33" t="str">
        <f>IFERROR(__xludf.DUMMYFUNCTION("IF(IF(P$1="""","""",REGEXMATCH(LOWER($E652),XLOOKUP(P$1,Metadata!$A$2:$A1000,Metadata!$B$2:$B1000))),P$1,"""")"),"")</f>
        <v/>
      </c>
      <c r="Q652" s="33" t="str">
        <f>IFERROR(__xludf.DUMMYFUNCTION("IF(IF(Q$1="""","""",REGEXMATCH(LOWER($E652),XLOOKUP(Q$1,Metadata!$A$2:$A1000,Metadata!$B$2:$B1000))),Q$1,"""")"),"")</f>
        <v/>
      </c>
      <c r="R652" s="33" t="str">
        <f>IFERROR(__xludf.DUMMYFUNCTION("IF(IF(R$1="""","""",REGEXMATCH(LOWER($E652),XLOOKUP(R$1,Metadata!$A$2:$A1000,Metadata!$B$2:$B1000))),R$1,"""")"),"")</f>
        <v/>
      </c>
      <c r="S652" s="33" t="str">
        <f>IFERROR(__xludf.DUMMYFUNCTION("IF(IF(S$1="""","""",REGEXMATCH(LOWER($E652),XLOOKUP(S$1,Metadata!$A$2:$A1000,Metadata!$B$2:$B1000))),S$1,"""")"),"")</f>
        <v/>
      </c>
      <c r="T652" s="33" t="str">
        <f>IFERROR(__xludf.DUMMYFUNCTION("IF(IF(T$1="""","""",REGEXMATCH(LOWER($E652),XLOOKUP(T$1,Metadata!$A$2:$A1000,Metadata!$B$2:$B1000))),T$1,"""")"),"")</f>
        <v/>
      </c>
      <c r="U652" s="33" t="str">
        <f>IFERROR(__xludf.DUMMYFUNCTION("IF(IF(U$1="""","""",REGEXMATCH(LOWER($E652),XLOOKUP(U$1,Metadata!$A$2:$A1000,Metadata!$B$2:$B1000))),U$1,"""")"),"")</f>
        <v/>
      </c>
      <c r="V652" s="33" t="str">
        <f>IFERROR(__xludf.DUMMYFUNCTION("IF(IF(V$1="""","""",REGEXMATCH(LOWER($E652),XLOOKUP(V$1,Metadata!$A$2:$A1000,Metadata!$B$2:$B1000))),V$1,"""")"),"")</f>
        <v/>
      </c>
      <c r="W652" s="33" t="str">
        <f>IFERROR(__xludf.DUMMYFUNCTION("IF(IF(W$1="""","""",REGEXMATCH(LOWER($E652),XLOOKUP(W$1,Metadata!$A$2:$A1000,Metadata!$B$2:$B1000))),W$1,"""")"),"")</f>
        <v/>
      </c>
      <c r="X652" s="33" t="str">
        <f>IFERROR(__xludf.DUMMYFUNCTION("IF(IF(X$1="""","""",REGEXMATCH(LOWER($E652),XLOOKUP(X$1,Metadata!$A$2:$A1000,Metadata!$B$2:$B1000))),X$1,"""")"),"")</f>
        <v/>
      </c>
      <c r="Y652" s="33" t="str">
        <f>IFERROR(__xludf.DUMMYFUNCTION("IF(IF(Y$1="""","""",REGEXMATCH(LOWER($E652),XLOOKUP(Y$1,Metadata!$A$2:$A1000,Metadata!$B$2:$B1000))),Y$1,"""")"),"")</f>
        <v/>
      </c>
      <c r="Z652" s="33" t="str">
        <f>IFERROR(__xludf.DUMMYFUNCTION("IF(IF(Z$1="""","""",REGEXMATCH(LOWER($E652),XLOOKUP(Z$1,Metadata!$A$2:$A1000,Metadata!$B$2:$B1000))),Z$1,"""")"),"")</f>
        <v/>
      </c>
    </row>
    <row r="653">
      <c r="A653" s="33"/>
      <c r="B653" s="33"/>
      <c r="C653" s="33"/>
      <c r="D653" s="33"/>
      <c r="E653" s="33"/>
      <c r="F653" s="33"/>
      <c r="G653" s="33"/>
      <c r="H653" s="33"/>
      <c r="I653" s="33"/>
      <c r="J653" s="33"/>
      <c r="K653" s="33"/>
      <c r="L653" s="33" t="str">
        <f>IFERROR(__xludf.DUMMYFUNCTION("IF(IF(L$1="""","""",REGEXMATCH(LOWER($E653),XLOOKUP(L$1,Metadata!$A$2:$A1000,Metadata!$B$2:$B1000))),L$1,"""")"),"")</f>
        <v/>
      </c>
      <c r="M653" s="33" t="str">
        <f>IFERROR(__xludf.DUMMYFUNCTION("IF(IF(M$1="""","""",REGEXMATCH(LOWER($E653),XLOOKUP(M$1,Metadata!$A$2:$A1000,Metadata!$B$2:$B1000))),M$1,"""")"),"")</f>
        <v/>
      </c>
      <c r="N653" s="33" t="str">
        <f>IFERROR(__xludf.DUMMYFUNCTION("IF(IF(N$1="""","""",REGEXMATCH(LOWER($E653),XLOOKUP(N$1,Metadata!$A$2:$A1000,Metadata!$B$2:$B1000))),N$1,"""")"),"")</f>
        <v/>
      </c>
      <c r="O653" s="33" t="str">
        <f>IFERROR(__xludf.DUMMYFUNCTION("IF(IF(O$1="""","""",REGEXMATCH(LOWER($E653),XLOOKUP(O$1,Metadata!$A$2:$A1000,Metadata!$B$2:$B1000))),O$1,"""")"),"")</f>
        <v/>
      </c>
      <c r="P653" s="33" t="str">
        <f>IFERROR(__xludf.DUMMYFUNCTION("IF(IF(P$1="""","""",REGEXMATCH(LOWER($E653),XLOOKUP(P$1,Metadata!$A$2:$A1000,Metadata!$B$2:$B1000))),P$1,"""")"),"")</f>
        <v/>
      </c>
      <c r="Q653" s="33" t="str">
        <f>IFERROR(__xludf.DUMMYFUNCTION("IF(IF(Q$1="""","""",REGEXMATCH(LOWER($E653),XLOOKUP(Q$1,Metadata!$A$2:$A1000,Metadata!$B$2:$B1000))),Q$1,"""")"),"")</f>
        <v/>
      </c>
      <c r="R653" s="33" t="str">
        <f>IFERROR(__xludf.DUMMYFUNCTION("IF(IF(R$1="""","""",REGEXMATCH(LOWER($E653),XLOOKUP(R$1,Metadata!$A$2:$A1000,Metadata!$B$2:$B1000))),R$1,"""")"),"")</f>
        <v/>
      </c>
      <c r="S653" s="33" t="str">
        <f>IFERROR(__xludf.DUMMYFUNCTION("IF(IF(S$1="""","""",REGEXMATCH(LOWER($E653),XLOOKUP(S$1,Metadata!$A$2:$A1000,Metadata!$B$2:$B1000))),S$1,"""")"),"")</f>
        <v/>
      </c>
      <c r="T653" s="33" t="str">
        <f>IFERROR(__xludf.DUMMYFUNCTION("IF(IF(T$1="""","""",REGEXMATCH(LOWER($E653),XLOOKUP(T$1,Metadata!$A$2:$A1000,Metadata!$B$2:$B1000))),T$1,"""")"),"")</f>
        <v/>
      </c>
      <c r="U653" s="33" t="str">
        <f>IFERROR(__xludf.DUMMYFUNCTION("IF(IF(U$1="""","""",REGEXMATCH(LOWER($E653),XLOOKUP(U$1,Metadata!$A$2:$A1000,Metadata!$B$2:$B1000))),U$1,"""")"),"")</f>
        <v/>
      </c>
      <c r="V653" s="33" t="str">
        <f>IFERROR(__xludf.DUMMYFUNCTION("IF(IF(V$1="""","""",REGEXMATCH(LOWER($E653),XLOOKUP(V$1,Metadata!$A$2:$A1000,Metadata!$B$2:$B1000))),V$1,"""")"),"")</f>
        <v/>
      </c>
      <c r="W653" s="33" t="str">
        <f>IFERROR(__xludf.DUMMYFUNCTION("IF(IF(W$1="""","""",REGEXMATCH(LOWER($E653),XLOOKUP(W$1,Metadata!$A$2:$A1000,Metadata!$B$2:$B1000))),W$1,"""")"),"")</f>
        <v/>
      </c>
      <c r="X653" s="33" t="str">
        <f>IFERROR(__xludf.DUMMYFUNCTION("IF(IF(X$1="""","""",REGEXMATCH(LOWER($E653),XLOOKUP(X$1,Metadata!$A$2:$A1000,Metadata!$B$2:$B1000))),X$1,"""")"),"")</f>
        <v/>
      </c>
      <c r="Y653" s="33" t="str">
        <f>IFERROR(__xludf.DUMMYFUNCTION("IF(IF(Y$1="""","""",REGEXMATCH(LOWER($E653),XLOOKUP(Y$1,Metadata!$A$2:$A1000,Metadata!$B$2:$B1000))),Y$1,"""")"),"")</f>
        <v/>
      </c>
      <c r="Z653" s="33" t="str">
        <f>IFERROR(__xludf.DUMMYFUNCTION("IF(IF(Z$1="""","""",REGEXMATCH(LOWER($E653),XLOOKUP(Z$1,Metadata!$A$2:$A1000,Metadata!$B$2:$B1000))),Z$1,"""")"),"")</f>
        <v/>
      </c>
    </row>
    <row r="654">
      <c r="A654" s="33"/>
      <c r="B654" s="33"/>
      <c r="C654" s="33"/>
      <c r="D654" s="33"/>
      <c r="E654" s="33"/>
      <c r="F654" s="33"/>
      <c r="G654" s="33"/>
      <c r="H654" s="33"/>
      <c r="I654" s="33"/>
      <c r="J654" s="33"/>
      <c r="K654" s="33"/>
      <c r="L654" s="33" t="str">
        <f>IFERROR(__xludf.DUMMYFUNCTION("IF(IF(L$1="""","""",REGEXMATCH(LOWER($E654),XLOOKUP(L$1,Metadata!$A$2:$A1000,Metadata!$B$2:$B1000))),L$1,"""")"),"")</f>
        <v/>
      </c>
      <c r="M654" s="33" t="str">
        <f>IFERROR(__xludf.DUMMYFUNCTION("IF(IF(M$1="""","""",REGEXMATCH(LOWER($E654),XLOOKUP(M$1,Metadata!$A$2:$A1000,Metadata!$B$2:$B1000))),M$1,"""")"),"")</f>
        <v/>
      </c>
      <c r="N654" s="33" t="str">
        <f>IFERROR(__xludf.DUMMYFUNCTION("IF(IF(N$1="""","""",REGEXMATCH(LOWER($E654),XLOOKUP(N$1,Metadata!$A$2:$A1000,Metadata!$B$2:$B1000))),N$1,"""")"),"")</f>
        <v/>
      </c>
      <c r="O654" s="33" t="str">
        <f>IFERROR(__xludf.DUMMYFUNCTION("IF(IF(O$1="""","""",REGEXMATCH(LOWER($E654),XLOOKUP(O$1,Metadata!$A$2:$A1000,Metadata!$B$2:$B1000))),O$1,"""")"),"")</f>
        <v/>
      </c>
      <c r="P654" s="33" t="str">
        <f>IFERROR(__xludf.DUMMYFUNCTION("IF(IF(P$1="""","""",REGEXMATCH(LOWER($E654),XLOOKUP(P$1,Metadata!$A$2:$A1000,Metadata!$B$2:$B1000))),P$1,"""")"),"")</f>
        <v/>
      </c>
      <c r="Q654" s="33" t="str">
        <f>IFERROR(__xludf.DUMMYFUNCTION("IF(IF(Q$1="""","""",REGEXMATCH(LOWER($E654),XLOOKUP(Q$1,Metadata!$A$2:$A1000,Metadata!$B$2:$B1000))),Q$1,"""")"),"")</f>
        <v/>
      </c>
      <c r="R654" s="33" t="str">
        <f>IFERROR(__xludf.DUMMYFUNCTION("IF(IF(R$1="""","""",REGEXMATCH(LOWER($E654),XLOOKUP(R$1,Metadata!$A$2:$A1000,Metadata!$B$2:$B1000))),R$1,"""")"),"")</f>
        <v/>
      </c>
      <c r="S654" s="33" t="str">
        <f>IFERROR(__xludf.DUMMYFUNCTION("IF(IF(S$1="""","""",REGEXMATCH(LOWER($E654),XLOOKUP(S$1,Metadata!$A$2:$A1000,Metadata!$B$2:$B1000))),S$1,"""")"),"")</f>
        <v/>
      </c>
      <c r="T654" s="33" t="str">
        <f>IFERROR(__xludf.DUMMYFUNCTION("IF(IF(T$1="""","""",REGEXMATCH(LOWER($E654),XLOOKUP(T$1,Metadata!$A$2:$A1000,Metadata!$B$2:$B1000))),T$1,"""")"),"")</f>
        <v/>
      </c>
      <c r="U654" s="33" t="str">
        <f>IFERROR(__xludf.DUMMYFUNCTION("IF(IF(U$1="""","""",REGEXMATCH(LOWER($E654),XLOOKUP(U$1,Metadata!$A$2:$A1000,Metadata!$B$2:$B1000))),U$1,"""")"),"")</f>
        <v/>
      </c>
      <c r="V654" s="33" t="str">
        <f>IFERROR(__xludf.DUMMYFUNCTION("IF(IF(V$1="""","""",REGEXMATCH(LOWER($E654),XLOOKUP(V$1,Metadata!$A$2:$A1000,Metadata!$B$2:$B1000))),V$1,"""")"),"")</f>
        <v/>
      </c>
      <c r="W654" s="33" t="str">
        <f>IFERROR(__xludf.DUMMYFUNCTION("IF(IF(W$1="""","""",REGEXMATCH(LOWER($E654),XLOOKUP(W$1,Metadata!$A$2:$A1000,Metadata!$B$2:$B1000))),W$1,"""")"),"")</f>
        <v/>
      </c>
      <c r="X654" s="33" t="str">
        <f>IFERROR(__xludf.DUMMYFUNCTION("IF(IF(X$1="""","""",REGEXMATCH(LOWER($E654),XLOOKUP(X$1,Metadata!$A$2:$A1000,Metadata!$B$2:$B1000))),X$1,"""")"),"")</f>
        <v/>
      </c>
      <c r="Y654" s="33" t="str">
        <f>IFERROR(__xludf.DUMMYFUNCTION("IF(IF(Y$1="""","""",REGEXMATCH(LOWER($E654),XLOOKUP(Y$1,Metadata!$A$2:$A1000,Metadata!$B$2:$B1000))),Y$1,"""")"),"")</f>
        <v/>
      </c>
      <c r="Z654" s="33" t="str">
        <f>IFERROR(__xludf.DUMMYFUNCTION("IF(IF(Z$1="""","""",REGEXMATCH(LOWER($E654),XLOOKUP(Z$1,Metadata!$A$2:$A1000,Metadata!$B$2:$B1000))),Z$1,"""")"),"")</f>
        <v/>
      </c>
    </row>
    <row r="655">
      <c r="A655" s="33"/>
      <c r="B655" s="33"/>
      <c r="C655" s="33"/>
      <c r="D655" s="33"/>
      <c r="E655" s="33"/>
      <c r="F655" s="33"/>
      <c r="G655" s="33"/>
      <c r="H655" s="33"/>
      <c r="I655" s="33"/>
      <c r="J655" s="33"/>
      <c r="K655" s="33"/>
      <c r="L655" s="33" t="str">
        <f>IFERROR(__xludf.DUMMYFUNCTION("IF(IF(L$1="""","""",REGEXMATCH(LOWER($E655),XLOOKUP(L$1,Metadata!$A$2:$A1000,Metadata!$B$2:$B1000))),L$1,"""")"),"")</f>
        <v/>
      </c>
      <c r="M655" s="33" t="str">
        <f>IFERROR(__xludf.DUMMYFUNCTION("IF(IF(M$1="""","""",REGEXMATCH(LOWER($E655),XLOOKUP(M$1,Metadata!$A$2:$A1000,Metadata!$B$2:$B1000))),M$1,"""")"),"")</f>
        <v/>
      </c>
      <c r="N655" s="33" t="str">
        <f>IFERROR(__xludf.DUMMYFUNCTION("IF(IF(N$1="""","""",REGEXMATCH(LOWER($E655),XLOOKUP(N$1,Metadata!$A$2:$A1000,Metadata!$B$2:$B1000))),N$1,"""")"),"")</f>
        <v/>
      </c>
      <c r="O655" s="33" t="str">
        <f>IFERROR(__xludf.DUMMYFUNCTION("IF(IF(O$1="""","""",REGEXMATCH(LOWER($E655),XLOOKUP(O$1,Metadata!$A$2:$A1000,Metadata!$B$2:$B1000))),O$1,"""")"),"")</f>
        <v/>
      </c>
      <c r="P655" s="33" t="str">
        <f>IFERROR(__xludf.DUMMYFUNCTION("IF(IF(P$1="""","""",REGEXMATCH(LOWER($E655),XLOOKUP(P$1,Metadata!$A$2:$A1000,Metadata!$B$2:$B1000))),P$1,"""")"),"")</f>
        <v/>
      </c>
      <c r="Q655" s="33" t="str">
        <f>IFERROR(__xludf.DUMMYFUNCTION("IF(IF(Q$1="""","""",REGEXMATCH(LOWER($E655),XLOOKUP(Q$1,Metadata!$A$2:$A1000,Metadata!$B$2:$B1000))),Q$1,"""")"),"")</f>
        <v/>
      </c>
      <c r="R655" s="33" t="str">
        <f>IFERROR(__xludf.DUMMYFUNCTION("IF(IF(R$1="""","""",REGEXMATCH(LOWER($E655),XLOOKUP(R$1,Metadata!$A$2:$A1000,Metadata!$B$2:$B1000))),R$1,"""")"),"")</f>
        <v/>
      </c>
      <c r="S655" s="33" t="str">
        <f>IFERROR(__xludf.DUMMYFUNCTION("IF(IF(S$1="""","""",REGEXMATCH(LOWER($E655),XLOOKUP(S$1,Metadata!$A$2:$A1000,Metadata!$B$2:$B1000))),S$1,"""")"),"")</f>
        <v/>
      </c>
      <c r="T655" s="33" t="str">
        <f>IFERROR(__xludf.DUMMYFUNCTION("IF(IF(T$1="""","""",REGEXMATCH(LOWER($E655),XLOOKUP(T$1,Metadata!$A$2:$A1000,Metadata!$B$2:$B1000))),T$1,"""")"),"")</f>
        <v/>
      </c>
      <c r="U655" s="33" t="str">
        <f>IFERROR(__xludf.DUMMYFUNCTION("IF(IF(U$1="""","""",REGEXMATCH(LOWER($E655),XLOOKUP(U$1,Metadata!$A$2:$A1000,Metadata!$B$2:$B1000))),U$1,"""")"),"")</f>
        <v/>
      </c>
      <c r="V655" s="33" t="str">
        <f>IFERROR(__xludf.DUMMYFUNCTION("IF(IF(V$1="""","""",REGEXMATCH(LOWER($E655),XLOOKUP(V$1,Metadata!$A$2:$A1000,Metadata!$B$2:$B1000))),V$1,"""")"),"")</f>
        <v/>
      </c>
      <c r="W655" s="33" t="str">
        <f>IFERROR(__xludf.DUMMYFUNCTION("IF(IF(W$1="""","""",REGEXMATCH(LOWER($E655),XLOOKUP(W$1,Metadata!$A$2:$A1000,Metadata!$B$2:$B1000))),W$1,"""")"),"")</f>
        <v/>
      </c>
      <c r="X655" s="33" t="str">
        <f>IFERROR(__xludf.DUMMYFUNCTION("IF(IF(X$1="""","""",REGEXMATCH(LOWER($E655),XLOOKUP(X$1,Metadata!$A$2:$A1000,Metadata!$B$2:$B1000))),X$1,"""")"),"")</f>
        <v/>
      </c>
      <c r="Y655" s="33" t="str">
        <f>IFERROR(__xludf.DUMMYFUNCTION("IF(IF(Y$1="""","""",REGEXMATCH(LOWER($E655),XLOOKUP(Y$1,Metadata!$A$2:$A1000,Metadata!$B$2:$B1000))),Y$1,"""")"),"")</f>
        <v/>
      </c>
      <c r="Z655" s="33" t="str">
        <f>IFERROR(__xludf.DUMMYFUNCTION("IF(IF(Z$1="""","""",REGEXMATCH(LOWER($E655),XLOOKUP(Z$1,Metadata!$A$2:$A1000,Metadata!$B$2:$B1000))),Z$1,"""")"),"")</f>
        <v/>
      </c>
    </row>
    <row r="656">
      <c r="A656" s="33"/>
      <c r="B656" s="33"/>
      <c r="C656" s="33"/>
      <c r="D656" s="33"/>
      <c r="E656" s="33"/>
      <c r="F656" s="33"/>
      <c r="G656" s="33"/>
      <c r="H656" s="33"/>
      <c r="I656" s="33"/>
      <c r="J656" s="33"/>
      <c r="K656" s="33"/>
      <c r="L656" s="33" t="str">
        <f>IFERROR(__xludf.DUMMYFUNCTION("IF(IF(L$1="""","""",REGEXMATCH(LOWER($E656),XLOOKUP(L$1,Metadata!$A$2:$A1000,Metadata!$B$2:$B1000))),L$1,"""")"),"")</f>
        <v/>
      </c>
      <c r="M656" s="33" t="str">
        <f>IFERROR(__xludf.DUMMYFUNCTION("IF(IF(M$1="""","""",REGEXMATCH(LOWER($E656),XLOOKUP(M$1,Metadata!$A$2:$A1000,Metadata!$B$2:$B1000))),M$1,"""")"),"")</f>
        <v/>
      </c>
      <c r="N656" s="33" t="str">
        <f>IFERROR(__xludf.DUMMYFUNCTION("IF(IF(N$1="""","""",REGEXMATCH(LOWER($E656),XLOOKUP(N$1,Metadata!$A$2:$A1000,Metadata!$B$2:$B1000))),N$1,"""")"),"")</f>
        <v/>
      </c>
      <c r="O656" s="33" t="str">
        <f>IFERROR(__xludf.DUMMYFUNCTION("IF(IF(O$1="""","""",REGEXMATCH(LOWER($E656),XLOOKUP(O$1,Metadata!$A$2:$A1000,Metadata!$B$2:$B1000))),O$1,"""")"),"")</f>
        <v/>
      </c>
      <c r="P656" s="33" t="str">
        <f>IFERROR(__xludf.DUMMYFUNCTION("IF(IF(P$1="""","""",REGEXMATCH(LOWER($E656),XLOOKUP(P$1,Metadata!$A$2:$A1000,Metadata!$B$2:$B1000))),P$1,"""")"),"")</f>
        <v/>
      </c>
      <c r="Q656" s="33" t="str">
        <f>IFERROR(__xludf.DUMMYFUNCTION("IF(IF(Q$1="""","""",REGEXMATCH(LOWER($E656),XLOOKUP(Q$1,Metadata!$A$2:$A1000,Metadata!$B$2:$B1000))),Q$1,"""")"),"")</f>
        <v/>
      </c>
      <c r="R656" s="33" t="str">
        <f>IFERROR(__xludf.DUMMYFUNCTION("IF(IF(R$1="""","""",REGEXMATCH(LOWER($E656),XLOOKUP(R$1,Metadata!$A$2:$A1000,Metadata!$B$2:$B1000))),R$1,"""")"),"")</f>
        <v/>
      </c>
      <c r="S656" s="33" t="str">
        <f>IFERROR(__xludf.DUMMYFUNCTION("IF(IF(S$1="""","""",REGEXMATCH(LOWER($E656),XLOOKUP(S$1,Metadata!$A$2:$A1000,Metadata!$B$2:$B1000))),S$1,"""")"),"")</f>
        <v/>
      </c>
      <c r="T656" s="33" t="str">
        <f>IFERROR(__xludf.DUMMYFUNCTION("IF(IF(T$1="""","""",REGEXMATCH(LOWER($E656),XLOOKUP(T$1,Metadata!$A$2:$A1000,Metadata!$B$2:$B1000))),T$1,"""")"),"")</f>
        <v/>
      </c>
      <c r="U656" s="33" t="str">
        <f>IFERROR(__xludf.DUMMYFUNCTION("IF(IF(U$1="""","""",REGEXMATCH(LOWER($E656),XLOOKUP(U$1,Metadata!$A$2:$A1000,Metadata!$B$2:$B1000))),U$1,"""")"),"")</f>
        <v/>
      </c>
      <c r="V656" s="33" t="str">
        <f>IFERROR(__xludf.DUMMYFUNCTION("IF(IF(V$1="""","""",REGEXMATCH(LOWER($E656),XLOOKUP(V$1,Metadata!$A$2:$A1000,Metadata!$B$2:$B1000))),V$1,"""")"),"")</f>
        <v/>
      </c>
      <c r="W656" s="33" t="str">
        <f>IFERROR(__xludf.DUMMYFUNCTION("IF(IF(W$1="""","""",REGEXMATCH(LOWER($E656),XLOOKUP(W$1,Metadata!$A$2:$A1000,Metadata!$B$2:$B1000))),W$1,"""")"),"")</f>
        <v/>
      </c>
      <c r="X656" s="33" t="str">
        <f>IFERROR(__xludf.DUMMYFUNCTION("IF(IF(X$1="""","""",REGEXMATCH(LOWER($E656),XLOOKUP(X$1,Metadata!$A$2:$A1000,Metadata!$B$2:$B1000))),X$1,"""")"),"")</f>
        <v/>
      </c>
      <c r="Y656" s="33" t="str">
        <f>IFERROR(__xludf.DUMMYFUNCTION("IF(IF(Y$1="""","""",REGEXMATCH(LOWER($E656),XLOOKUP(Y$1,Metadata!$A$2:$A1000,Metadata!$B$2:$B1000))),Y$1,"""")"),"")</f>
        <v/>
      </c>
      <c r="Z656" s="33" t="str">
        <f>IFERROR(__xludf.DUMMYFUNCTION("IF(IF(Z$1="""","""",REGEXMATCH(LOWER($E656),XLOOKUP(Z$1,Metadata!$A$2:$A1000,Metadata!$B$2:$B1000))),Z$1,"""")"),"")</f>
        <v/>
      </c>
    </row>
    <row r="657">
      <c r="A657" s="33"/>
      <c r="B657" s="33"/>
      <c r="C657" s="33"/>
      <c r="D657" s="33"/>
      <c r="E657" s="33"/>
      <c r="F657" s="33"/>
      <c r="G657" s="33"/>
      <c r="H657" s="33"/>
      <c r="I657" s="33"/>
      <c r="J657" s="33"/>
      <c r="K657" s="33"/>
      <c r="L657" s="33" t="str">
        <f>IFERROR(__xludf.DUMMYFUNCTION("IF(IF(L$1="""","""",REGEXMATCH(LOWER($E657),XLOOKUP(L$1,Metadata!$A$2:$A1000,Metadata!$B$2:$B1000))),L$1,"""")"),"")</f>
        <v/>
      </c>
      <c r="M657" s="33" t="str">
        <f>IFERROR(__xludf.DUMMYFUNCTION("IF(IF(M$1="""","""",REGEXMATCH(LOWER($E657),XLOOKUP(M$1,Metadata!$A$2:$A1000,Metadata!$B$2:$B1000))),M$1,"""")"),"")</f>
        <v/>
      </c>
      <c r="N657" s="33" t="str">
        <f>IFERROR(__xludf.DUMMYFUNCTION("IF(IF(N$1="""","""",REGEXMATCH(LOWER($E657),XLOOKUP(N$1,Metadata!$A$2:$A1000,Metadata!$B$2:$B1000))),N$1,"""")"),"")</f>
        <v/>
      </c>
      <c r="O657" s="33" t="str">
        <f>IFERROR(__xludf.DUMMYFUNCTION("IF(IF(O$1="""","""",REGEXMATCH(LOWER($E657),XLOOKUP(O$1,Metadata!$A$2:$A1000,Metadata!$B$2:$B1000))),O$1,"""")"),"")</f>
        <v/>
      </c>
      <c r="P657" s="33" t="str">
        <f>IFERROR(__xludf.DUMMYFUNCTION("IF(IF(P$1="""","""",REGEXMATCH(LOWER($E657),XLOOKUP(P$1,Metadata!$A$2:$A1000,Metadata!$B$2:$B1000))),P$1,"""")"),"")</f>
        <v/>
      </c>
      <c r="Q657" s="33" t="str">
        <f>IFERROR(__xludf.DUMMYFUNCTION("IF(IF(Q$1="""","""",REGEXMATCH(LOWER($E657),XLOOKUP(Q$1,Metadata!$A$2:$A1000,Metadata!$B$2:$B1000))),Q$1,"""")"),"")</f>
        <v/>
      </c>
      <c r="R657" s="33" t="str">
        <f>IFERROR(__xludf.DUMMYFUNCTION("IF(IF(R$1="""","""",REGEXMATCH(LOWER($E657),XLOOKUP(R$1,Metadata!$A$2:$A1000,Metadata!$B$2:$B1000))),R$1,"""")"),"")</f>
        <v/>
      </c>
      <c r="S657" s="33" t="str">
        <f>IFERROR(__xludf.DUMMYFUNCTION("IF(IF(S$1="""","""",REGEXMATCH(LOWER($E657),XLOOKUP(S$1,Metadata!$A$2:$A1000,Metadata!$B$2:$B1000))),S$1,"""")"),"")</f>
        <v/>
      </c>
      <c r="T657" s="33" t="str">
        <f>IFERROR(__xludf.DUMMYFUNCTION("IF(IF(T$1="""","""",REGEXMATCH(LOWER($E657),XLOOKUP(T$1,Metadata!$A$2:$A1000,Metadata!$B$2:$B1000))),T$1,"""")"),"")</f>
        <v/>
      </c>
      <c r="U657" s="33" t="str">
        <f>IFERROR(__xludf.DUMMYFUNCTION("IF(IF(U$1="""","""",REGEXMATCH(LOWER($E657),XLOOKUP(U$1,Metadata!$A$2:$A1000,Metadata!$B$2:$B1000))),U$1,"""")"),"")</f>
        <v/>
      </c>
      <c r="V657" s="33" t="str">
        <f>IFERROR(__xludf.DUMMYFUNCTION("IF(IF(V$1="""","""",REGEXMATCH(LOWER($E657),XLOOKUP(V$1,Metadata!$A$2:$A1000,Metadata!$B$2:$B1000))),V$1,"""")"),"")</f>
        <v/>
      </c>
      <c r="W657" s="33" t="str">
        <f>IFERROR(__xludf.DUMMYFUNCTION("IF(IF(W$1="""","""",REGEXMATCH(LOWER($E657),XLOOKUP(W$1,Metadata!$A$2:$A1000,Metadata!$B$2:$B1000))),W$1,"""")"),"")</f>
        <v/>
      </c>
      <c r="X657" s="33" t="str">
        <f>IFERROR(__xludf.DUMMYFUNCTION("IF(IF(X$1="""","""",REGEXMATCH(LOWER($E657),XLOOKUP(X$1,Metadata!$A$2:$A1000,Metadata!$B$2:$B1000))),X$1,"""")"),"")</f>
        <v/>
      </c>
      <c r="Y657" s="33" t="str">
        <f>IFERROR(__xludf.DUMMYFUNCTION("IF(IF(Y$1="""","""",REGEXMATCH(LOWER($E657),XLOOKUP(Y$1,Metadata!$A$2:$A1000,Metadata!$B$2:$B1000))),Y$1,"""")"),"")</f>
        <v/>
      </c>
      <c r="Z657" s="33" t="str">
        <f>IFERROR(__xludf.DUMMYFUNCTION("IF(IF(Z$1="""","""",REGEXMATCH(LOWER($E657),XLOOKUP(Z$1,Metadata!$A$2:$A1000,Metadata!$B$2:$B1000))),Z$1,"""")"),"")</f>
        <v/>
      </c>
    </row>
    <row r="658">
      <c r="A658" s="33"/>
      <c r="B658" s="33"/>
      <c r="C658" s="33"/>
      <c r="D658" s="33"/>
      <c r="E658" s="33"/>
      <c r="F658" s="33"/>
      <c r="G658" s="33"/>
      <c r="H658" s="33"/>
      <c r="I658" s="33"/>
      <c r="J658" s="33"/>
      <c r="K658" s="33"/>
      <c r="L658" s="33" t="str">
        <f>IFERROR(__xludf.DUMMYFUNCTION("IF(IF(L$1="""","""",REGEXMATCH(LOWER($E658),XLOOKUP(L$1,Metadata!$A$2:$A1000,Metadata!$B$2:$B1000))),L$1,"""")"),"")</f>
        <v/>
      </c>
      <c r="M658" s="33" t="str">
        <f>IFERROR(__xludf.DUMMYFUNCTION("IF(IF(M$1="""","""",REGEXMATCH(LOWER($E658),XLOOKUP(M$1,Metadata!$A$2:$A1000,Metadata!$B$2:$B1000))),M$1,"""")"),"")</f>
        <v/>
      </c>
      <c r="N658" s="33" t="str">
        <f>IFERROR(__xludf.DUMMYFUNCTION("IF(IF(N$1="""","""",REGEXMATCH(LOWER($E658),XLOOKUP(N$1,Metadata!$A$2:$A1000,Metadata!$B$2:$B1000))),N$1,"""")"),"")</f>
        <v/>
      </c>
      <c r="O658" s="33" t="str">
        <f>IFERROR(__xludf.DUMMYFUNCTION("IF(IF(O$1="""","""",REGEXMATCH(LOWER($E658),XLOOKUP(O$1,Metadata!$A$2:$A1000,Metadata!$B$2:$B1000))),O$1,"""")"),"")</f>
        <v/>
      </c>
      <c r="P658" s="33" t="str">
        <f>IFERROR(__xludf.DUMMYFUNCTION("IF(IF(P$1="""","""",REGEXMATCH(LOWER($E658),XLOOKUP(P$1,Metadata!$A$2:$A1000,Metadata!$B$2:$B1000))),P$1,"""")"),"")</f>
        <v/>
      </c>
      <c r="Q658" s="33" t="str">
        <f>IFERROR(__xludf.DUMMYFUNCTION("IF(IF(Q$1="""","""",REGEXMATCH(LOWER($E658),XLOOKUP(Q$1,Metadata!$A$2:$A1000,Metadata!$B$2:$B1000))),Q$1,"""")"),"")</f>
        <v/>
      </c>
      <c r="R658" s="33" t="str">
        <f>IFERROR(__xludf.DUMMYFUNCTION("IF(IF(R$1="""","""",REGEXMATCH(LOWER($E658),XLOOKUP(R$1,Metadata!$A$2:$A1000,Metadata!$B$2:$B1000))),R$1,"""")"),"")</f>
        <v/>
      </c>
      <c r="S658" s="33" t="str">
        <f>IFERROR(__xludf.DUMMYFUNCTION("IF(IF(S$1="""","""",REGEXMATCH(LOWER($E658),XLOOKUP(S$1,Metadata!$A$2:$A1000,Metadata!$B$2:$B1000))),S$1,"""")"),"")</f>
        <v/>
      </c>
      <c r="T658" s="33" t="str">
        <f>IFERROR(__xludf.DUMMYFUNCTION("IF(IF(T$1="""","""",REGEXMATCH(LOWER($E658),XLOOKUP(T$1,Metadata!$A$2:$A1000,Metadata!$B$2:$B1000))),T$1,"""")"),"")</f>
        <v/>
      </c>
      <c r="U658" s="33" t="str">
        <f>IFERROR(__xludf.DUMMYFUNCTION("IF(IF(U$1="""","""",REGEXMATCH(LOWER($E658),XLOOKUP(U$1,Metadata!$A$2:$A1000,Metadata!$B$2:$B1000))),U$1,"""")"),"")</f>
        <v/>
      </c>
      <c r="V658" s="33" t="str">
        <f>IFERROR(__xludf.DUMMYFUNCTION("IF(IF(V$1="""","""",REGEXMATCH(LOWER($E658),XLOOKUP(V$1,Metadata!$A$2:$A1000,Metadata!$B$2:$B1000))),V$1,"""")"),"")</f>
        <v/>
      </c>
      <c r="W658" s="33" t="str">
        <f>IFERROR(__xludf.DUMMYFUNCTION("IF(IF(W$1="""","""",REGEXMATCH(LOWER($E658),XLOOKUP(W$1,Metadata!$A$2:$A1000,Metadata!$B$2:$B1000))),W$1,"""")"),"")</f>
        <v/>
      </c>
      <c r="X658" s="33" t="str">
        <f>IFERROR(__xludf.DUMMYFUNCTION("IF(IF(X$1="""","""",REGEXMATCH(LOWER($E658),XLOOKUP(X$1,Metadata!$A$2:$A1000,Metadata!$B$2:$B1000))),X$1,"""")"),"")</f>
        <v/>
      </c>
      <c r="Y658" s="33" t="str">
        <f>IFERROR(__xludf.DUMMYFUNCTION("IF(IF(Y$1="""","""",REGEXMATCH(LOWER($E658),XLOOKUP(Y$1,Metadata!$A$2:$A1000,Metadata!$B$2:$B1000))),Y$1,"""")"),"")</f>
        <v/>
      </c>
      <c r="Z658" s="33" t="str">
        <f>IFERROR(__xludf.DUMMYFUNCTION("IF(IF(Z$1="""","""",REGEXMATCH(LOWER($E658),XLOOKUP(Z$1,Metadata!$A$2:$A1000,Metadata!$B$2:$B1000))),Z$1,"""")"),"")</f>
        <v/>
      </c>
    </row>
    <row r="659">
      <c r="A659" s="33"/>
      <c r="B659" s="33"/>
      <c r="C659" s="33"/>
      <c r="D659" s="33"/>
      <c r="E659" s="33"/>
      <c r="F659" s="33"/>
      <c r="G659" s="33"/>
      <c r="H659" s="33"/>
      <c r="I659" s="33"/>
      <c r="J659" s="33"/>
      <c r="K659" s="33"/>
      <c r="L659" s="33" t="str">
        <f>IFERROR(__xludf.DUMMYFUNCTION("IF(IF(L$1="""","""",REGEXMATCH(LOWER($E659),XLOOKUP(L$1,Metadata!$A$2:$A1000,Metadata!$B$2:$B1000))),L$1,"""")"),"")</f>
        <v/>
      </c>
      <c r="M659" s="33" t="str">
        <f>IFERROR(__xludf.DUMMYFUNCTION("IF(IF(M$1="""","""",REGEXMATCH(LOWER($E659),XLOOKUP(M$1,Metadata!$A$2:$A1000,Metadata!$B$2:$B1000))),M$1,"""")"),"")</f>
        <v/>
      </c>
      <c r="N659" s="33" t="str">
        <f>IFERROR(__xludf.DUMMYFUNCTION("IF(IF(N$1="""","""",REGEXMATCH(LOWER($E659),XLOOKUP(N$1,Metadata!$A$2:$A1000,Metadata!$B$2:$B1000))),N$1,"""")"),"")</f>
        <v/>
      </c>
      <c r="O659" s="33" t="str">
        <f>IFERROR(__xludf.DUMMYFUNCTION("IF(IF(O$1="""","""",REGEXMATCH(LOWER($E659),XLOOKUP(O$1,Metadata!$A$2:$A1000,Metadata!$B$2:$B1000))),O$1,"""")"),"")</f>
        <v/>
      </c>
      <c r="P659" s="33" t="str">
        <f>IFERROR(__xludf.DUMMYFUNCTION("IF(IF(P$1="""","""",REGEXMATCH(LOWER($E659),XLOOKUP(P$1,Metadata!$A$2:$A1000,Metadata!$B$2:$B1000))),P$1,"""")"),"")</f>
        <v/>
      </c>
      <c r="Q659" s="33" t="str">
        <f>IFERROR(__xludf.DUMMYFUNCTION("IF(IF(Q$1="""","""",REGEXMATCH(LOWER($E659),XLOOKUP(Q$1,Metadata!$A$2:$A1000,Metadata!$B$2:$B1000))),Q$1,"""")"),"")</f>
        <v/>
      </c>
      <c r="R659" s="33" t="str">
        <f>IFERROR(__xludf.DUMMYFUNCTION("IF(IF(R$1="""","""",REGEXMATCH(LOWER($E659),XLOOKUP(R$1,Metadata!$A$2:$A1000,Metadata!$B$2:$B1000))),R$1,"""")"),"")</f>
        <v/>
      </c>
      <c r="S659" s="33" t="str">
        <f>IFERROR(__xludf.DUMMYFUNCTION("IF(IF(S$1="""","""",REGEXMATCH(LOWER($E659),XLOOKUP(S$1,Metadata!$A$2:$A1000,Metadata!$B$2:$B1000))),S$1,"""")"),"")</f>
        <v/>
      </c>
      <c r="T659" s="33" t="str">
        <f>IFERROR(__xludf.DUMMYFUNCTION("IF(IF(T$1="""","""",REGEXMATCH(LOWER($E659),XLOOKUP(T$1,Metadata!$A$2:$A1000,Metadata!$B$2:$B1000))),T$1,"""")"),"")</f>
        <v/>
      </c>
      <c r="U659" s="33" t="str">
        <f>IFERROR(__xludf.DUMMYFUNCTION("IF(IF(U$1="""","""",REGEXMATCH(LOWER($E659),XLOOKUP(U$1,Metadata!$A$2:$A1000,Metadata!$B$2:$B1000))),U$1,"""")"),"")</f>
        <v/>
      </c>
      <c r="V659" s="33" t="str">
        <f>IFERROR(__xludf.DUMMYFUNCTION("IF(IF(V$1="""","""",REGEXMATCH(LOWER($E659),XLOOKUP(V$1,Metadata!$A$2:$A1000,Metadata!$B$2:$B1000))),V$1,"""")"),"")</f>
        <v/>
      </c>
      <c r="W659" s="33" t="str">
        <f>IFERROR(__xludf.DUMMYFUNCTION("IF(IF(W$1="""","""",REGEXMATCH(LOWER($E659),XLOOKUP(W$1,Metadata!$A$2:$A1000,Metadata!$B$2:$B1000))),W$1,"""")"),"")</f>
        <v/>
      </c>
      <c r="X659" s="33" t="str">
        <f>IFERROR(__xludf.DUMMYFUNCTION("IF(IF(X$1="""","""",REGEXMATCH(LOWER($E659),XLOOKUP(X$1,Metadata!$A$2:$A1000,Metadata!$B$2:$B1000))),X$1,"""")"),"")</f>
        <v/>
      </c>
      <c r="Y659" s="33" t="str">
        <f>IFERROR(__xludf.DUMMYFUNCTION("IF(IF(Y$1="""","""",REGEXMATCH(LOWER($E659),XLOOKUP(Y$1,Metadata!$A$2:$A1000,Metadata!$B$2:$B1000))),Y$1,"""")"),"")</f>
        <v/>
      </c>
      <c r="Z659" s="33" t="str">
        <f>IFERROR(__xludf.DUMMYFUNCTION("IF(IF(Z$1="""","""",REGEXMATCH(LOWER($E659),XLOOKUP(Z$1,Metadata!$A$2:$A1000,Metadata!$B$2:$B1000))),Z$1,"""")"),"")</f>
        <v/>
      </c>
    </row>
    <row r="660">
      <c r="A660" s="33"/>
      <c r="B660" s="33"/>
      <c r="C660" s="33"/>
      <c r="D660" s="33"/>
      <c r="E660" s="33"/>
      <c r="F660" s="33"/>
      <c r="G660" s="33"/>
      <c r="H660" s="33"/>
      <c r="I660" s="33"/>
      <c r="J660" s="33"/>
      <c r="K660" s="33"/>
      <c r="L660" s="33" t="str">
        <f>IFERROR(__xludf.DUMMYFUNCTION("IF(IF(L$1="""","""",REGEXMATCH(LOWER($E660),XLOOKUP(L$1,Metadata!$A$2:$A1000,Metadata!$B$2:$B1000))),L$1,"""")"),"")</f>
        <v/>
      </c>
      <c r="M660" s="33" t="str">
        <f>IFERROR(__xludf.DUMMYFUNCTION("IF(IF(M$1="""","""",REGEXMATCH(LOWER($E660),XLOOKUP(M$1,Metadata!$A$2:$A1000,Metadata!$B$2:$B1000))),M$1,"""")"),"")</f>
        <v/>
      </c>
      <c r="N660" s="33" t="str">
        <f>IFERROR(__xludf.DUMMYFUNCTION("IF(IF(N$1="""","""",REGEXMATCH(LOWER($E660),XLOOKUP(N$1,Metadata!$A$2:$A1000,Metadata!$B$2:$B1000))),N$1,"""")"),"")</f>
        <v/>
      </c>
      <c r="O660" s="33" t="str">
        <f>IFERROR(__xludf.DUMMYFUNCTION("IF(IF(O$1="""","""",REGEXMATCH(LOWER($E660),XLOOKUP(O$1,Metadata!$A$2:$A1000,Metadata!$B$2:$B1000))),O$1,"""")"),"")</f>
        <v/>
      </c>
      <c r="P660" s="33" t="str">
        <f>IFERROR(__xludf.DUMMYFUNCTION("IF(IF(P$1="""","""",REGEXMATCH(LOWER($E660),XLOOKUP(P$1,Metadata!$A$2:$A1000,Metadata!$B$2:$B1000))),P$1,"""")"),"")</f>
        <v/>
      </c>
      <c r="Q660" s="33" t="str">
        <f>IFERROR(__xludf.DUMMYFUNCTION("IF(IF(Q$1="""","""",REGEXMATCH(LOWER($E660),XLOOKUP(Q$1,Metadata!$A$2:$A1000,Metadata!$B$2:$B1000))),Q$1,"""")"),"")</f>
        <v/>
      </c>
      <c r="R660" s="33" t="str">
        <f>IFERROR(__xludf.DUMMYFUNCTION("IF(IF(R$1="""","""",REGEXMATCH(LOWER($E660),XLOOKUP(R$1,Metadata!$A$2:$A1000,Metadata!$B$2:$B1000))),R$1,"""")"),"")</f>
        <v/>
      </c>
      <c r="S660" s="33" t="str">
        <f>IFERROR(__xludf.DUMMYFUNCTION("IF(IF(S$1="""","""",REGEXMATCH(LOWER($E660),XLOOKUP(S$1,Metadata!$A$2:$A1000,Metadata!$B$2:$B1000))),S$1,"""")"),"")</f>
        <v/>
      </c>
      <c r="T660" s="33" t="str">
        <f>IFERROR(__xludf.DUMMYFUNCTION("IF(IF(T$1="""","""",REGEXMATCH(LOWER($E660),XLOOKUP(T$1,Metadata!$A$2:$A1000,Metadata!$B$2:$B1000))),T$1,"""")"),"")</f>
        <v/>
      </c>
      <c r="U660" s="33" t="str">
        <f>IFERROR(__xludf.DUMMYFUNCTION("IF(IF(U$1="""","""",REGEXMATCH(LOWER($E660),XLOOKUP(U$1,Metadata!$A$2:$A1000,Metadata!$B$2:$B1000))),U$1,"""")"),"")</f>
        <v/>
      </c>
      <c r="V660" s="33" t="str">
        <f>IFERROR(__xludf.DUMMYFUNCTION("IF(IF(V$1="""","""",REGEXMATCH(LOWER($E660),XLOOKUP(V$1,Metadata!$A$2:$A1000,Metadata!$B$2:$B1000))),V$1,"""")"),"")</f>
        <v/>
      </c>
      <c r="W660" s="33" t="str">
        <f>IFERROR(__xludf.DUMMYFUNCTION("IF(IF(W$1="""","""",REGEXMATCH(LOWER($E660),XLOOKUP(W$1,Metadata!$A$2:$A1000,Metadata!$B$2:$B1000))),W$1,"""")"),"")</f>
        <v/>
      </c>
      <c r="X660" s="33" t="str">
        <f>IFERROR(__xludf.DUMMYFUNCTION("IF(IF(X$1="""","""",REGEXMATCH(LOWER($E660),XLOOKUP(X$1,Metadata!$A$2:$A1000,Metadata!$B$2:$B1000))),X$1,"""")"),"")</f>
        <v/>
      </c>
      <c r="Y660" s="33" t="str">
        <f>IFERROR(__xludf.DUMMYFUNCTION("IF(IF(Y$1="""","""",REGEXMATCH(LOWER($E660),XLOOKUP(Y$1,Metadata!$A$2:$A1000,Metadata!$B$2:$B1000))),Y$1,"""")"),"")</f>
        <v/>
      </c>
      <c r="Z660" s="33" t="str">
        <f>IFERROR(__xludf.DUMMYFUNCTION("IF(IF(Z$1="""","""",REGEXMATCH(LOWER($E660),XLOOKUP(Z$1,Metadata!$A$2:$A1000,Metadata!$B$2:$B1000))),Z$1,"""")"),"")</f>
        <v/>
      </c>
    </row>
    <row r="661">
      <c r="A661" s="33"/>
      <c r="B661" s="33"/>
      <c r="C661" s="33"/>
      <c r="D661" s="33"/>
      <c r="E661" s="33"/>
      <c r="F661" s="33"/>
      <c r="G661" s="33"/>
      <c r="H661" s="33"/>
      <c r="I661" s="33"/>
      <c r="J661" s="33"/>
      <c r="K661" s="33"/>
      <c r="L661" s="33" t="str">
        <f>IFERROR(__xludf.DUMMYFUNCTION("IF(IF(L$1="""","""",REGEXMATCH(LOWER($E661),XLOOKUP(L$1,Metadata!$A$2:$A1000,Metadata!$B$2:$B1000))),L$1,"""")"),"")</f>
        <v/>
      </c>
      <c r="M661" s="33" t="str">
        <f>IFERROR(__xludf.DUMMYFUNCTION("IF(IF(M$1="""","""",REGEXMATCH(LOWER($E661),XLOOKUP(M$1,Metadata!$A$2:$A1000,Metadata!$B$2:$B1000))),M$1,"""")"),"")</f>
        <v/>
      </c>
      <c r="N661" s="33" t="str">
        <f>IFERROR(__xludf.DUMMYFUNCTION("IF(IF(N$1="""","""",REGEXMATCH(LOWER($E661),XLOOKUP(N$1,Metadata!$A$2:$A1000,Metadata!$B$2:$B1000))),N$1,"""")"),"")</f>
        <v/>
      </c>
      <c r="O661" s="33" t="str">
        <f>IFERROR(__xludf.DUMMYFUNCTION("IF(IF(O$1="""","""",REGEXMATCH(LOWER($E661),XLOOKUP(O$1,Metadata!$A$2:$A1000,Metadata!$B$2:$B1000))),O$1,"""")"),"")</f>
        <v/>
      </c>
      <c r="P661" s="33" t="str">
        <f>IFERROR(__xludf.DUMMYFUNCTION("IF(IF(P$1="""","""",REGEXMATCH(LOWER($E661),XLOOKUP(P$1,Metadata!$A$2:$A1000,Metadata!$B$2:$B1000))),P$1,"""")"),"")</f>
        <v/>
      </c>
      <c r="Q661" s="33" t="str">
        <f>IFERROR(__xludf.DUMMYFUNCTION("IF(IF(Q$1="""","""",REGEXMATCH(LOWER($E661),XLOOKUP(Q$1,Metadata!$A$2:$A1000,Metadata!$B$2:$B1000))),Q$1,"""")"),"")</f>
        <v/>
      </c>
      <c r="R661" s="33" t="str">
        <f>IFERROR(__xludf.DUMMYFUNCTION("IF(IF(R$1="""","""",REGEXMATCH(LOWER($E661),XLOOKUP(R$1,Metadata!$A$2:$A1000,Metadata!$B$2:$B1000))),R$1,"""")"),"")</f>
        <v/>
      </c>
      <c r="S661" s="33" t="str">
        <f>IFERROR(__xludf.DUMMYFUNCTION("IF(IF(S$1="""","""",REGEXMATCH(LOWER($E661),XLOOKUP(S$1,Metadata!$A$2:$A1000,Metadata!$B$2:$B1000))),S$1,"""")"),"")</f>
        <v/>
      </c>
      <c r="T661" s="33" t="str">
        <f>IFERROR(__xludf.DUMMYFUNCTION("IF(IF(T$1="""","""",REGEXMATCH(LOWER($E661),XLOOKUP(T$1,Metadata!$A$2:$A1000,Metadata!$B$2:$B1000))),T$1,"""")"),"")</f>
        <v/>
      </c>
      <c r="U661" s="33" t="str">
        <f>IFERROR(__xludf.DUMMYFUNCTION("IF(IF(U$1="""","""",REGEXMATCH(LOWER($E661),XLOOKUP(U$1,Metadata!$A$2:$A1000,Metadata!$B$2:$B1000))),U$1,"""")"),"")</f>
        <v/>
      </c>
      <c r="V661" s="33" t="str">
        <f>IFERROR(__xludf.DUMMYFUNCTION("IF(IF(V$1="""","""",REGEXMATCH(LOWER($E661),XLOOKUP(V$1,Metadata!$A$2:$A1000,Metadata!$B$2:$B1000))),V$1,"""")"),"")</f>
        <v/>
      </c>
      <c r="W661" s="33" t="str">
        <f>IFERROR(__xludf.DUMMYFUNCTION("IF(IF(W$1="""","""",REGEXMATCH(LOWER($E661),XLOOKUP(W$1,Metadata!$A$2:$A1000,Metadata!$B$2:$B1000))),W$1,"""")"),"")</f>
        <v/>
      </c>
      <c r="X661" s="33" t="str">
        <f>IFERROR(__xludf.DUMMYFUNCTION("IF(IF(X$1="""","""",REGEXMATCH(LOWER($E661),XLOOKUP(X$1,Metadata!$A$2:$A1000,Metadata!$B$2:$B1000))),X$1,"""")"),"")</f>
        <v/>
      </c>
      <c r="Y661" s="33" t="str">
        <f>IFERROR(__xludf.DUMMYFUNCTION("IF(IF(Y$1="""","""",REGEXMATCH(LOWER($E661),XLOOKUP(Y$1,Metadata!$A$2:$A1000,Metadata!$B$2:$B1000))),Y$1,"""")"),"")</f>
        <v/>
      </c>
      <c r="Z661" s="33" t="str">
        <f>IFERROR(__xludf.DUMMYFUNCTION("IF(IF(Z$1="""","""",REGEXMATCH(LOWER($E661),XLOOKUP(Z$1,Metadata!$A$2:$A1000,Metadata!$B$2:$B1000))),Z$1,"""")"),"")</f>
        <v/>
      </c>
    </row>
    <row r="662">
      <c r="A662" s="33"/>
      <c r="B662" s="33"/>
      <c r="C662" s="33"/>
      <c r="D662" s="33"/>
      <c r="E662" s="33"/>
      <c r="F662" s="33"/>
      <c r="G662" s="33"/>
      <c r="H662" s="33"/>
      <c r="I662" s="33"/>
      <c r="J662" s="33"/>
      <c r="K662" s="33"/>
      <c r="L662" s="33" t="str">
        <f>IFERROR(__xludf.DUMMYFUNCTION("IF(IF(L$1="""","""",REGEXMATCH(LOWER($E662),XLOOKUP(L$1,Metadata!$A$2:$A1000,Metadata!$B$2:$B1000))),L$1,"""")"),"")</f>
        <v/>
      </c>
      <c r="M662" s="33" t="str">
        <f>IFERROR(__xludf.DUMMYFUNCTION("IF(IF(M$1="""","""",REGEXMATCH(LOWER($E662),XLOOKUP(M$1,Metadata!$A$2:$A1000,Metadata!$B$2:$B1000))),M$1,"""")"),"")</f>
        <v/>
      </c>
      <c r="N662" s="33" t="str">
        <f>IFERROR(__xludf.DUMMYFUNCTION("IF(IF(N$1="""","""",REGEXMATCH(LOWER($E662),XLOOKUP(N$1,Metadata!$A$2:$A1000,Metadata!$B$2:$B1000))),N$1,"""")"),"")</f>
        <v/>
      </c>
      <c r="O662" s="33" t="str">
        <f>IFERROR(__xludf.DUMMYFUNCTION("IF(IF(O$1="""","""",REGEXMATCH(LOWER($E662),XLOOKUP(O$1,Metadata!$A$2:$A1000,Metadata!$B$2:$B1000))),O$1,"""")"),"")</f>
        <v/>
      </c>
      <c r="P662" s="33" t="str">
        <f>IFERROR(__xludf.DUMMYFUNCTION("IF(IF(P$1="""","""",REGEXMATCH(LOWER($E662),XLOOKUP(P$1,Metadata!$A$2:$A1000,Metadata!$B$2:$B1000))),P$1,"""")"),"")</f>
        <v/>
      </c>
      <c r="Q662" s="33" t="str">
        <f>IFERROR(__xludf.DUMMYFUNCTION("IF(IF(Q$1="""","""",REGEXMATCH(LOWER($E662),XLOOKUP(Q$1,Metadata!$A$2:$A1000,Metadata!$B$2:$B1000))),Q$1,"""")"),"")</f>
        <v/>
      </c>
      <c r="R662" s="33" t="str">
        <f>IFERROR(__xludf.DUMMYFUNCTION("IF(IF(R$1="""","""",REGEXMATCH(LOWER($E662),XLOOKUP(R$1,Metadata!$A$2:$A1000,Metadata!$B$2:$B1000))),R$1,"""")"),"")</f>
        <v/>
      </c>
      <c r="S662" s="33" t="str">
        <f>IFERROR(__xludf.DUMMYFUNCTION("IF(IF(S$1="""","""",REGEXMATCH(LOWER($E662),XLOOKUP(S$1,Metadata!$A$2:$A1000,Metadata!$B$2:$B1000))),S$1,"""")"),"")</f>
        <v/>
      </c>
      <c r="T662" s="33" t="str">
        <f>IFERROR(__xludf.DUMMYFUNCTION("IF(IF(T$1="""","""",REGEXMATCH(LOWER($E662),XLOOKUP(T$1,Metadata!$A$2:$A1000,Metadata!$B$2:$B1000))),T$1,"""")"),"")</f>
        <v/>
      </c>
      <c r="U662" s="33" t="str">
        <f>IFERROR(__xludf.DUMMYFUNCTION("IF(IF(U$1="""","""",REGEXMATCH(LOWER($E662),XLOOKUP(U$1,Metadata!$A$2:$A1000,Metadata!$B$2:$B1000))),U$1,"""")"),"")</f>
        <v/>
      </c>
      <c r="V662" s="33" t="str">
        <f>IFERROR(__xludf.DUMMYFUNCTION("IF(IF(V$1="""","""",REGEXMATCH(LOWER($E662),XLOOKUP(V$1,Metadata!$A$2:$A1000,Metadata!$B$2:$B1000))),V$1,"""")"),"")</f>
        <v/>
      </c>
      <c r="W662" s="33" t="str">
        <f>IFERROR(__xludf.DUMMYFUNCTION("IF(IF(W$1="""","""",REGEXMATCH(LOWER($E662),XLOOKUP(W$1,Metadata!$A$2:$A1000,Metadata!$B$2:$B1000))),W$1,"""")"),"")</f>
        <v/>
      </c>
      <c r="X662" s="33" t="str">
        <f>IFERROR(__xludf.DUMMYFUNCTION("IF(IF(X$1="""","""",REGEXMATCH(LOWER($E662),XLOOKUP(X$1,Metadata!$A$2:$A1000,Metadata!$B$2:$B1000))),X$1,"""")"),"")</f>
        <v/>
      </c>
      <c r="Y662" s="33" t="str">
        <f>IFERROR(__xludf.DUMMYFUNCTION("IF(IF(Y$1="""","""",REGEXMATCH(LOWER($E662),XLOOKUP(Y$1,Metadata!$A$2:$A1000,Metadata!$B$2:$B1000))),Y$1,"""")"),"")</f>
        <v/>
      </c>
      <c r="Z662" s="33" t="str">
        <f>IFERROR(__xludf.DUMMYFUNCTION("IF(IF(Z$1="""","""",REGEXMATCH(LOWER($E662),XLOOKUP(Z$1,Metadata!$A$2:$A1000,Metadata!$B$2:$B1000))),Z$1,"""")"),"")</f>
        <v/>
      </c>
    </row>
    <row r="663">
      <c r="A663" s="33"/>
      <c r="B663" s="33"/>
      <c r="C663" s="33"/>
      <c r="D663" s="33"/>
      <c r="E663" s="33"/>
      <c r="F663" s="33"/>
      <c r="G663" s="33"/>
      <c r="H663" s="33"/>
      <c r="I663" s="33"/>
      <c r="J663" s="33"/>
      <c r="K663" s="33"/>
      <c r="L663" s="33" t="str">
        <f>IFERROR(__xludf.DUMMYFUNCTION("IF(IF(L$1="""","""",REGEXMATCH(LOWER($E663),XLOOKUP(L$1,Metadata!$A$2:$A1000,Metadata!$B$2:$B1000))),L$1,"""")"),"")</f>
        <v/>
      </c>
      <c r="M663" s="33" t="str">
        <f>IFERROR(__xludf.DUMMYFUNCTION("IF(IF(M$1="""","""",REGEXMATCH(LOWER($E663),XLOOKUP(M$1,Metadata!$A$2:$A1000,Metadata!$B$2:$B1000))),M$1,"""")"),"")</f>
        <v/>
      </c>
      <c r="N663" s="33" t="str">
        <f>IFERROR(__xludf.DUMMYFUNCTION("IF(IF(N$1="""","""",REGEXMATCH(LOWER($E663),XLOOKUP(N$1,Metadata!$A$2:$A1000,Metadata!$B$2:$B1000))),N$1,"""")"),"")</f>
        <v/>
      </c>
      <c r="O663" s="33" t="str">
        <f>IFERROR(__xludf.DUMMYFUNCTION("IF(IF(O$1="""","""",REGEXMATCH(LOWER($E663),XLOOKUP(O$1,Metadata!$A$2:$A1000,Metadata!$B$2:$B1000))),O$1,"""")"),"")</f>
        <v/>
      </c>
      <c r="P663" s="33" t="str">
        <f>IFERROR(__xludf.DUMMYFUNCTION("IF(IF(P$1="""","""",REGEXMATCH(LOWER($E663),XLOOKUP(P$1,Metadata!$A$2:$A1000,Metadata!$B$2:$B1000))),P$1,"""")"),"")</f>
        <v/>
      </c>
      <c r="Q663" s="33" t="str">
        <f>IFERROR(__xludf.DUMMYFUNCTION("IF(IF(Q$1="""","""",REGEXMATCH(LOWER($E663),XLOOKUP(Q$1,Metadata!$A$2:$A1000,Metadata!$B$2:$B1000))),Q$1,"""")"),"")</f>
        <v/>
      </c>
      <c r="R663" s="33" t="str">
        <f>IFERROR(__xludf.DUMMYFUNCTION("IF(IF(R$1="""","""",REGEXMATCH(LOWER($E663),XLOOKUP(R$1,Metadata!$A$2:$A1000,Metadata!$B$2:$B1000))),R$1,"""")"),"")</f>
        <v/>
      </c>
      <c r="S663" s="33" t="str">
        <f>IFERROR(__xludf.DUMMYFUNCTION("IF(IF(S$1="""","""",REGEXMATCH(LOWER($E663),XLOOKUP(S$1,Metadata!$A$2:$A1000,Metadata!$B$2:$B1000))),S$1,"""")"),"")</f>
        <v/>
      </c>
      <c r="T663" s="33" t="str">
        <f>IFERROR(__xludf.DUMMYFUNCTION("IF(IF(T$1="""","""",REGEXMATCH(LOWER($E663),XLOOKUP(T$1,Metadata!$A$2:$A1000,Metadata!$B$2:$B1000))),T$1,"""")"),"")</f>
        <v/>
      </c>
      <c r="U663" s="33" t="str">
        <f>IFERROR(__xludf.DUMMYFUNCTION("IF(IF(U$1="""","""",REGEXMATCH(LOWER($E663),XLOOKUP(U$1,Metadata!$A$2:$A1000,Metadata!$B$2:$B1000))),U$1,"""")"),"")</f>
        <v/>
      </c>
      <c r="V663" s="33" t="str">
        <f>IFERROR(__xludf.DUMMYFUNCTION("IF(IF(V$1="""","""",REGEXMATCH(LOWER($E663),XLOOKUP(V$1,Metadata!$A$2:$A1000,Metadata!$B$2:$B1000))),V$1,"""")"),"")</f>
        <v/>
      </c>
      <c r="W663" s="33" t="str">
        <f>IFERROR(__xludf.DUMMYFUNCTION("IF(IF(W$1="""","""",REGEXMATCH(LOWER($E663),XLOOKUP(W$1,Metadata!$A$2:$A1000,Metadata!$B$2:$B1000))),W$1,"""")"),"")</f>
        <v/>
      </c>
      <c r="X663" s="33" t="str">
        <f>IFERROR(__xludf.DUMMYFUNCTION("IF(IF(X$1="""","""",REGEXMATCH(LOWER($E663),XLOOKUP(X$1,Metadata!$A$2:$A1000,Metadata!$B$2:$B1000))),X$1,"""")"),"")</f>
        <v/>
      </c>
      <c r="Y663" s="33" t="str">
        <f>IFERROR(__xludf.DUMMYFUNCTION("IF(IF(Y$1="""","""",REGEXMATCH(LOWER($E663),XLOOKUP(Y$1,Metadata!$A$2:$A1000,Metadata!$B$2:$B1000))),Y$1,"""")"),"")</f>
        <v/>
      </c>
      <c r="Z663" s="33" t="str">
        <f>IFERROR(__xludf.DUMMYFUNCTION("IF(IF(Z$1="""","""",REGEXMATCH(LOWER($E663),XLOOKUP(Z$1,Metadata!$A$2:$A1000,Metadata!$B$2:$B1000))),Z$1,"""")"),"")</f>
        <v/>
      </c>
    </row>
    <row r="664">
      <c r="A664" s="33"/>
      <c r="B664" s="33"/>
      <c r="C664" s="33"/>
      <c r="D664" s="33"/>
      <c r="E664" s="33"/>
      <c r="F664" s="33"/>
      <c r="G664" s="33"/>
      <c r="H664" s="33"/>
      <c r="I664" s="33"/>
      <c r="J664" s="33"/>
      <c r="K664" s="33"/>
      <c r="L664" s="33" t="str">
        <f>IFERROR(__xludf.DUMMYFUNCTION("IF(IF(L$1="""","""",REGEXMATCH(LOWER($E664),XLOOKUP(L$1,Metadata!$A$2:$A1000,Metadata!$B$2:$B1000))),L$1,"""")"),"")</f>
        <v/>
      </c>
      <c r="M664" s="33" t="str">
        <f>IFERROR(__xludf.DUMMYFUNCTION("IF(IF(M$1="""","""",REGEXMATCH(LOWER($E664),XLOOKUP(M$1,Metadata!$A$2:$A1000,Metadata!$B$2:$B1000))),M$1,"""")"),"")</f>
        <v/>
      </c>
      <c r="N664" s="33" t="str">
        <f>IFERROR(__xludf.DUMMYFUNCTION("IF(IF(N$1="""","""",REGEXMATCH(LOWER($E664),XLOOKUP(N$1,Metadata!$A$2:$A1000,Metadata!$B$2:$B1000))),N$1,"""")"),"")</f>
        <v/>
      </c>
      <c r="O664" s="33" t="str">
        <f>IFERROR(__xludf.DUMMYFUNCTION("IF(IF(O$1="""","""",REGEXMATCH(LOWER($E664),XLOOKUP(O$1,Metadata!$A$2:$A1000,Metadata!$B$2:$B1000))),O$1,"""")"),"")</f>
        <v/>
      </c>
      <c r="P664" s="33" t="str">
        <f>IFERROR(__xludf.DUMMYFUNCTION("IF(IF(P$1="""","""",REGEXMATCH(LOWER($E664),XLOOKUP(P$1,Metadata!$A$2:$A1000,Metadata!$B$2:$B1000))),P$1,"""")"),"")</f>
        <v/>
      </c>
      <c r="Q664" s="33" t="str">
        <f>IFERROR(__xludf.DUMMYFUNCTION("IF(IF(Q$1="""","""",REGEXMATCH(LOWER($E664),XLOOKUP(Q$1,Metadata!$A$2:$A1000,Metadata!$B$2:$B1000))),Q$1,"""")"),"")</f>
        <v/>
      </c>
      <c r="R664" s="33" t="str">
        <f>IFERROR(__xludf.DUMMYFUNCTION("IF(IF(R$1="""","""",REGEXMATCH(LOWER($E664),XLOOKUP(R$1,Metadata!$A$2:$A1000,Metadata!$B$2:$B1000))),R$1,"""")"),"")</f>
        <v/>
      </c>
      <c r="S664" s="33" t="str">
        <f>IFERROR(__xludf.DUMMYFUNCTION("IF(IF(S$1="""","""",REGEXMATCH(LOWER($E664),XLOOKUP(S$1,Metadata!$A$2:$A1000,Metadata!$B$2:$B1000))),S$1,"""")"),"")</f>
        <v/>
      </c>
      <c r="T664" s="33" t="str">
        <f>IFERROR(__xludf.DUMMYFUNCTION("IF(IF(T$1="""","""",REGEXMATCH(LOWER($E664),XLOOKUP(T$1,Metadata!$A$2:$A1000,Metadata!$B$2:$B1000))),T$1,"""")"),"")</f>
        <v/>
      </c>
      <c r="U664" s="33" t="str">
        <f>IFERROR(__xludf.DUMMYFUNCTION("IF(IF(U$1="""","""",REGEXMATCH(LOWER($E664),XLOOKUP(U$1,Metadata!$A$2:$A1000,Metadata!$B$2:$B1000))),U$1,"""")"),"")</f>
        <v/>
      </c>
      <c r="V664" s="33" t="str">
        <f>IFERROR(__xludf.DUMMYFUNCTION("IF(IF(V$1="""","""",REGEXMATCH(LOWER($E664),XLOOKUP(V$1,Metadata!$A$2:$A1000,Metadata!$B$2:$B1000))),V$1,"""")"),"")</f>
        <v/>
      </c>
      <c r="W664" s="33" t="str">
        <f>IFERROR(__xludf.DUMMYFUNCTION("IF(IF(W$1="""","""",REGEXMATCH(LOWER($E664),XLOOKUP(W$1,Metadata!$A$2:$A1000,Metadata!$B$2:$B1000))),W$1,"""")"),"")</f>
        <v/>
      </c>
      <c r="X664" s="33" t="str">
        <f>IFERROR(__xludf.DUMMYFUNCTION("IF(IF(X$1="""","""",REGEXMATCH(LOWER($E664),XLOOKUP(X$1,Metadata!$A$2:$A1000,Metadata!$B$2:$B1000))),X$1,"""")"),"")</f>
        <v/>
      </c>
      <c r="Y664" s="33" t="str">
        <f>IFERROR(__xludf.DUMMYFUNCTION("IF(IF(Y$1="""","""",REGEXMATCH(LOWER($E664),XLOOKUP(Y$1,Metadata!$A$2:$A1000,Metadata!$B$2:$B1000))),Y$1,"""")"),"")</f>
        <v/>
      </c>
      <c r="Z664" s="33" t="str">
        <f>IFERROR(__xludf.DUMMYFUNCTION("IF(IF(Z$1="""","""",REGEXMATCH(LOWER($E664),XLOOKUP(Z$1,Metadata!$A$2:$A1000,Metadata!$B$2:$B1000))),Z$1,"""")"),"")</f>
        <v/>
      </c>
    </row>
    <row r="665">
      <c r="A665" s="33"/>
      <c r="B665" s="33"/>
      <c r="C665" s="33"/>
      <c r="D665" s="33"/>
      <c r="E665" s="33"/>
      <c r="F665" s="33"/>
      <c r="G665" s="33"/>
      <c r="H665" s="33"/>
      <c r="I665" s="33"/>
      <c r="J665" s="33"/>
      <c r="K665" s="33"/>
      <c r="L665" s="33" t="str">
        <f>IFERROR(__xludf.DUMMYFUNCTION("IF(IF(L$1="""","""",REGEXMATCH(LOWER($E665),XLOOKUP(L$1,Metadata!$A$2:$A1000,Metadata!$B$2:$B1000))),L$1,"""")"),"")</f>
        <v/>
      </c>
      <c r="M665" s="33" t="str">
        <f>IFERROR(__xludf.DUMMYFUNCTION("IF(IF(M$1="""","""",REGEXMATCH(LOWER($E665),XLOOKUP(M$1,Metadata!$A$2:$A1000,Metadata!$B$2:$B1000))),M$1,"""")"),"")</f>
        <v/>
      </c>
      <c r="N665" s="33" t="str">
        <f>IFERROR(__xludf.DUMMYFUNCTION("IF(IF(N$1="""","""",REGEXMATCH(LOWER($E665),XLOOKUP(N$1,Metadata!$A$2:$A1000,Metadata!$B$2:$B1000))),N$1,"""")"),"")</f>
        <v/>
      </c>
      <c r="O665" s="33" t="str">
        <f>IFERROR(__xludf.DUMMYFUNCTION("IF(IF(O$1="""","""",REGEXMATCH(LOWER($E665),XLOOKUP(O$1,Metadata!$A$2:$A1000,Metadata!$B$2:$B1000))),O$1,"""")"),"")</f>
        <v/>
      </c>
      <c r="P665" s="33" t="str">
        <f>IFERROR(__xludf.DUMMYFUNCTION("IF(IF(P$1="""","""",REGEXMATCH(LOWER($E665),XLOOKUP(P$1,Metadata!$A$2:$A1000,Metadata!$B$2:$B1000))),P$1,"""")"),"")</f>
        <v/>
      </c>
      <c r="Q665" s="33" t="str">
        <f>IFERROR(__xludf.DUMMYFUNCTION("IF(IF(Q$1="""","""",REGEXMATCH(LOWER($E665),XLOOKUP(Q$1,Metadata!$A$2:$A1000,Metadata!$B$2:$B1000))),Q$1,"""")"),"")</f>
        <v/>
      </c>
      <c r="R665" s="33" t="str">
        <f>IFERROR(__xludf.DUMMYFUNCTION("IF(IF(R$1="""","""",REGEXMATCH(LOWER($E665),XLOOKUP(R$1,Metadata!$A$2:$A1000,Metadata!$B$2:$B1000))),R$1,"""")"),"")</f>
        <v/>
      </c>
      <c r="S665" s="33" t="str">
        <f>IFERROR(__xludf.DUMMYFUNCTION("IF(IF(S$1="""","""",REGEXMATCH(LOWER($E665),XLOOKUP(S$1,Metadata!$A$2:$A1000,Metadata!$B$2:$B1000))),S$1,"""")"),"")</f>
        <v/>
      </c>
      <c r="T665" s="33" t="str">
        <f>IFERROR(__xludf.DUMMYFUNCTION("IF(IF(T$1="""","""",REGEXMATCH(LOWER($E665),XLOOKUP(T$1,Metadata!$A$2:$A1000,Metadata!$B$2:$B1000))),T$1,"""")"),"")</f>
        <v/>
      </c>
      <c r="U665" s="33" t="str">
        <f>IFERROR(__xludf.DUMMYFUNCTION("IF(IF(U$1="""","""",REGEXMATCH(LOWER($E665),XLOOKUP(U$1,Metadata!$A$2:$A1000,Metadata!$B$2:$B1000))),U$1,"""")"),"")</f>
        <v/>
      </c>
      <c r="V665" s="33" t="str">
        <f>IFERROR(__xludf.DUMMYFUNCTION("IF(IF(V$1="""","""",REGEXMATCH(LOWER($E665),XLOOKUP(V$1,Metadata!$A$2:$A1000,Metadata!$B$2:$B1000))),V$1,"""")"),"")</f>
        <v/>
      </c>
      <c r="W665" s="33" t="str">
        <f>IFERROR(__xludf.DUMMYFUNCTION("IF(IF(W$1="""","""",REGEXMATCH(LOWER($E665),XLOOKUP(W$1,Metadata!$A$2:$A1000,Metadata!$B$2:$B1000))),W$1,"""")"),"")</f>
        <v/>
      </c>
      <c r="X665" s="33" t="str">
        <f>IFERROR(__xludf.DUMMYFUNCTION("IF(IF(X$1="""","""",REGEXMATCH(LOWER($E665),XLOOKUP(X$1,Metadata!$A$2:$A1000,Metadata!$B$2:$B1000))),X$1,"""")"),"")</f>
        <v/>
      </c>
      <c r="Y665" s="33" t="str">
        <f>IFERROR(__xludf.DUMMYFUNCTION("IF(IF(Y$1="""","""",REGEXMATCH(LOWER($E665),XLOOKUP(Y$1,Metadata!$A$2:$A1000,Metadata!$B$2:$B1000))),Y$1,"""")"),"")</f>
        <v/>
      </c>
      <c r="Z665" s="33" t="str">
        <f>IFERROR(__xludf.DUMMYFUNCTION("IF(IF(Z$1="""","""",REGEXMATCH(LOWER($E665),XLOOKUP(Z$1,Metadata!$A$2:$A1000,Metadata!$B$2:$B1000))),Z$1,"""")"),"")</f>
        <v/>
      </c>
    </row>
    <row r="666">
      <c r="A666" s="33"/>
      <c r="B666" s="33"/>
      <c r="C666" s="33"/>
      <c r="D666" s="33"/>
      <c r="E666" s="33"/>
      <c r="F666" s="33"/>
      <c r="G666" s="33"/>
      <c r="H666" s="33"/>
      <c r="I666" s="33"/>
      <c r="J666" s="33"/>
      <c r="K666" s="33"/>
      <c r="L666" s="33" t="str">
        <f>IFERROR(__xludf.DUMMYFUNCTION("IF(IF(L$1="""","""",REGEXMATCH(LOWER($E666),XLOOKUP(L$1,Metadata!$A$2:$A1000,Metadata!$B$2:$B1000))),L$1,"""")"),"")</f>
        <v/>
      </c>
      <c r="M666" s="33" t="str">
        <f>IFERROR(__xludf.DUMMYFUNCTION("IF(IF(M$1="""","""",REGEXMATCH(LOWER($E666),XLOOKUP(M$1,Metadata!$A$2:$A1000,Metadata!$B$2:$B1000))),M$1,"""")"),"")</f>
        <v/>
      </c>
      <c r="N666" s="33" t="str">
        <f>IFERROR(__xludf.DUMMYFUNCTION("IF(IF(N$1="""","""",REGEXMATCH(LOWER($E666),XLOOKUP(N$1,Metadata!$A$2:$A1000,Metadata!$B$2:$B1000))),N$1,"""")"),"")</f>
        <v/>
      </c>
      <c r="O666" s="33" t="str">
        <f>IFERROR(__xludf.DUMMYFUNCTION("IF(IF(O$1="""","""",REGEXMATCH(LOWER($E666),XLOOKUP(O$1,Metadata!$A$2:$A1000,Metadata!$B$2:$B1000))),O$1,"""")"),"")</f>
        <v/>
      </c>
      <c r="P666" s="33" t="str">
        <f>IFERROR(__xludf.DUMMYFUNCTION("IF(IF(P$1="""","""",REGEXMATCH(LOWER($E666),XLOOKUP(P$1,Metadata!$A$2:$A1000,Metadata!$B$2:$B1000))),P$1,"""")"),"")</f>
        <v/>
      </c>
      <c r="Q666" s="33" t="str">
        <f>IFERROR(__xludf.DUMMYFUNCTION("IF(IF(Q$1="""","""",REGEXMATCH(LOWER($E666),XLOOKUP(Q$1,Metadata!$A$2:$A1000,Metadata!$B$2:$B1000))),Q$1,"""")"),"")</f>
        <v/>
      </c>
      <c r="R666" s="33" t="str">
        <f>IFERROR(__xludf.DUMMYFUNCTION("IF(IF(R$1="""","""",REGEXMATCH(LOWER($E666),XLOOKUP(R$1,Metadata!$A$2:$A1000,Metadata!$B$2:$B1000))),R$1,"""")"),"")</f>
        <v/>
      </c>
      <c r="S666" s="33" t="str">
        <f>IFERROR(__xludf.DUMMYFUNCTION("IF(IF(S$1="""","""",REGEXMATCH(LOWER($E666),XLOOKUP(S$1,Metadata!$A$2:$A1000,Metadata!$B$2:$B1000))),S$1,"""")"),"")</f>
        <v/>
      </c>
      <c r="T666" s="33" t="str">
        <f>IFERROR(__xludf.DUMMYFUNCTION("IF(IF(T$1="""","""",REGEXMATCH(LOWER($E666),XLOOKUP(T$1,Metadata!$A$2:$A1000,Metadata!$B$2:$B1000))),T$1,"""")"),"")</f>
        <v/>
      </c>
      <c r="U666" s="33" t="str">
        <f>IFERROR(__xludf.DUMMYFUNCTION("IF(IF(U$1="""","""",REGEXMATCH(LOWER($E666),XLOOKUP(U$1,Metadata!$A$2:$A1000,Metadata!$B$2:$B1000))),U$1,"""")"),"")</f>
        <v/>
      </c>
      <c r="V666" s="33" t="str">
        <f>IFERROR(__xludf.DUMMYFUNCTION("IF(IF(V$1="""","""",REGEXMATCH(LOWER($E666),XLOOKUP(V$1,Metadata!$A$2:$A1000,Metadata!$B$2:$B1000))),V$1,"""")"),"")</f>
        <v/>
      </c>
      <c r="W666" s="33" t="str">
        <f>IFERROR(__xludf.DUMMYFUNCTION("IF(IF(W$1="""","""",REGEXMATCH(LOWER($E666),XLOOKUP(W$1,Metadata!$A$2:$A1000,Metadata!$B$2:$B1000))),W$1,"""")"),"")</f>
        <v/>
      </c>
      <c r="X666" s="33" t="str">
        <f>IFERROR(__xludf.DUMMYFUNCTION("IF(IF(X$1="""","""",REGEXMATCH(LOWER($E666),XLOOKUP(X$1,Metadata!$A$2:$A1000,Metadata!$B$2:$B1000))),X$1,"""")"),"")</f>
        <v/>
      </c>
      <c r="Y666" s="33" t="str">
        <f>IFERROR(__xludf.DUMMYFUNCTION("IF(IF(Y$1="""","""",REGEXMATCH(LOWER($E666),XLOOKUP(Y$1,Metadata!$A$2:$A1000,Metadata!$B$2:$B1000))),Y$1,"""")"),"")</f>
        <v/>
      </c>
      <c r="Z666" s="33" t="str">
        <f>IFERROR(__xludf.DUMMYFUNCTION("IF(IF(Z$1="""","""",REGEXMATCH(LOWER($E666),XLOOKUP(Z$1,Metadata!$A$2:$A1000,Metadata!$B$2:$B1000))),Z$1,"""")"),"")</f>
        <v/>
      </c>
    </row>
    <row r="667">
      <c r="A667" s="33"/>
      <c r="B667" s="33"/>
      <c r="C667" s="33"/>
      <c r="D667" s="33"/>
      <c r="E667" s="33"/>
      <c r="F667" s="33"/>
      <c r="G667" s="33"/>
      <c r="H667" s="33"/>
      <c r="I667" s="33"/>
      <c r="J667" s="33"/>
      <c r="K667" s="33"/>
      <c r="L667" s="33" t="str">
        <f>IFERROR(__xludf.DUMMYFUNCTION("IF(IF(L$1="""","""",REGEXMATCH(LOWER($E667),XLOOKUP(L$1,Metadata!$A$2:$A1000,Metadata!$B$2:$B1000))),L$1,"""")"),"")</f>
        <v/>
      </c>
      <c r="M667" s="33" t="str">
        <f>IFERROR(__xludf.DUMMYFUNCTION("IF(IF(M$1="""","""",REGEXMATCH(LOWER($E667),XLOOKUP(M$1,Metadata!$A$2:$A1000,Metadata!$B$2:$B1000))),M$1,"""")"),"")</f>
        <v/>
      </c>
      <c r="N667" s="33" t="str">
        <f>IFERROR(__xludf.DUMMYFUNCTION("IF(IF(N$1="""","""",REGEXMATCH(LOWER($E667),XLOOKUP(N$1,Metadata!$A$2:$A1000,Metadata!$B$2:$B1000))),N$1,"""")"),"")</f>
        <v/>
      </c>
      <c r="O667" s="33" t="str">
        <f>IFERROR(__xludf.DUMMYFUNCTION("IF(IF(O$1="""","""",REGEXMATCH(LOWER($E667),XLOOKUP(O$1,Metadata!$A$2:$A1000,Metadata!$B$2:$B1000))),O$1,"""")"),"")</f>
        <v/>
      </c>
      <c r="P667" s="33" t="str">
        <f>IFERROR(__xludf.DUMMYFUNCTION("IF(IF(P$1="""","""",REGEXMATCH(LOWER($E667),XLOOKUP(P$1,Metadata!$A$2:$A1000,Metadata!$B$2:$B1000))),P$1,"""")"),"")</f>
        <v/>
      </c>
      <c r="Q667" s="33" t="str">
        <f>IFERROR(__xludf.DUMMYFUNCTION("IF(IF(Q$1="""","""",REGEXMATCH(LOWER($E667),XLOOKUP(Q$1,Metadata!$A$2:$A1000,Metadata!$B$2:$B1000))),Q$1,"""")"),"")</f>
        <v/>
      </c>
      <c r="R667" s="33" t="str">
        <f>IFERROR(__xludf.DUMMYFUNCTION("IF(IF(R$1="""","""",REGEXMATCH(LOWER($E667),XLOOKUP(R$1,Metadata!$A$2:$A1000,Metadata!$B$2:$B1000))),R$1,"""")"),"")</f>
        <v/>
      </c>
      <c r="S667" s="33" t="str">
        <f>IFERROR(__xludf.DUMMYFUNCTION("IF(IF(S$1="""","""",REGEXMATCH(LOWER($E667),XLOOKUP(S$1,Metadata!$A$2:$A1000,Metadata!$B$2:$B1000))),S$1,"""")"),"")</f>
        <v/>
      </c>
      <c r="T667" s="33" t="str">
        <f>IFERROR(__xludf.DUMMYFUNCTION("IF(IF(T$1="""","""",REGEXMATCH(LOWER($E667),XLOOKUP(T$1,Metadata!$A$2:$A1000,Metadata!$B$2:$B1000))),T$1,"""")"),"")</f>
        <v/>
      </c>
      <c r="U667" s="33" t="str">
        <f>IFERROR(__xludf.DUMMYFUNCTION("IF(IF(U$1="""","""",REGEXMATCH(LOWER($E667),XLOOKUP(U$1,Metadata!$A$2:$A1000,Metadata!$B$2:$B1000))),U$1,"""")"),"")</f>
        <v/>
      </c>
      <c r="V667" s="33" t="str">
        <f>IFERROR(__xludf.DUMMYFUNCTION("IF(IF(V$1="""","""",REGEXMATCH(LOWER($E667),XLOOKUP(V$1,Metadata!$A$2:$A1000,Metadata!$B$2:$B1000))),V$1,"""")"),"")</f>
        <v/>
      </c>
      <c r="W667" s="33" t="str">
        <f>IFERROR(__xludf.DUMMYFUNCTION("IF(IF(W$1="""","""",REGEXMATCH(LOWER($E667),XLOOKUP(W$1,Metadata!$A$2:$A1000,Metadata!$B$2:$B1000))),W$1,"""")"),"")</f>
        <v/>
      </c>
      <c r="X667" s="33" t="str">
        <f>IFERROR(__xludf.DUMMYFUNCTION("IF(IF(X$1="""","""",REGEXMATCH(LOWER($E667),XLOOKUP(X$1,Metadata!$A$2:$A1000,Metadata!$B$2:$B1000))),X$1,"""")"),"")</f>
        <v/>
      </c>
      <c r="Y667" s="33" t="str">
        <f>IFERROR(__xludf.DUMMYFUNCTION("IF(IF(Y$1="""","""",REGEXMATCH(LOWER($E667),XLOOKUP(Y$1,Metadata!$A$2:$A1000,Metadata!$B$2:$B1000))),Y$1,"""")"),"")</f>
        <v/>
      </c>
      <c r="Z667" s="33" t="str">
        <f>IFERROR(__xludf.DUMMYFUNCTION("IF(IF(Z$1="""","""",REGEXMATCH(LOWER($E667),XLOOKUP(Z$1,Metadata!$A$2:$A1000,Metadata!$B$2:$B1000))),Z$1,"""")"),"")</f>
        <v/>
      </c>
    </row>
    <row r="668">
      <c r="A668" s="33"/>
      <c r="B668" s="33"/>
      <c r="C668" s="33"/>
      <c r="D668" s="33"/>
      <c r="E668" s="33"/>
      <c r="F668" s="33"/>
      <c r="G668" s="33"/>
      <c r="H668" s="33"/>
      <c r="I668" s="33"/>
      <c r="J668" s="33"/>
      <c r="K668" s="33"/>
      <c r="L668" s="33"/>
    </row>
    <row r="669">
      <c r="A669" s="33"/>
      <c r="B669" s="33"/>
      <c r="C669" s="33"/>
      <c r="D669" s="33"/>
      <c r="E669" s="33"/>
      <c r="F669" s="33"/>
      <c r="G669" s="33"/>
      <c r="H669" s="33"/>
      <c r="I669" s="33"/>
      <c r="J669" s="33"/>
      <c r="K669" s="33"/>
      <c r="L669" s="33"/>
    </row>
    <row r="670">
      <c r="A670" s="33"/>
      <c r="B670" s="33"/>
      <c r="C670" s="33"/>
      <c r="D670" s="33"/>
      <c r="E670" s="33"/>
      <c r="F670" s="33"/>
      <c r="G670" s="33"/>
      <c r="H670" s="33"/>
      <c r="I670" s="33"/>
      <c r="J670" s="33"/>
      <c r="K670" s="33"/>
      <c r="L670" s="33"/>
    </row>
    <row r="671">
      <c r="A671" s="33"/>
      <c r="B671" s="33"/>
      <c r="C671" s="33"/>
      <c r="D671" s="33"/>
      <c r="E671" s="33"/>
      <c r="F671" s="33"/>
      <c r="G671" s="33"/>
      <c r="H671" s="33"/>
      <c r="I671" s="33"/>
      <c r="J671" s="33"/>
      <c r="K671" s="33"/>
      <c r="L671" s="33"/>
    </row>
    <row r="672">
      <c r="A672" s="33"/>
      <c r="B672" s="33"/>
      <c r="C672" s="33"/>
      <c r="D672" s="33"/>
      <c r="E672" s="33"/>
      <c r="F672" s="33"/>
      <c r="G672" s="33"/>
      <c r="H672" s="33"/>
      <c r="I672" s="33"/>
      <c r="J672" s="33"/>
      <c r="K672" s="33"/>
      <c r="L672" s="33"/>
    </row>
    <row r="673">
      <c r="A673" s="33"/>
      <c r="B673" s="33"/>
      <c r="C673" s="33"/>
      <c r="D673" s="33"/>
      <c r="E673" s="33"/>
      <c r="F673" s="33"/>
      <c r="G673" s="33"/>
      <c r="H673" s="33"/>
      <c r="I673" s="33"/>
      <c r="J673" s="33"/>
      <c r="K673" s="33"/>
      <c r="L673" s="33"/>
    </row>
    <row r="674">
      <c r="A674" s="33"/>
      <c r="B674" s="33"/>
      <c r="C674" s="33"/>
      <c r="D674" s="33"/>
      <c r="E674" s="33"/>
      <c r="F674" s="33"/>
      <c r="G674" s="33"/>
      <c r="H674" s="33"/>
      <c r="I674" s="33"/>
      <c r="J674" s="33"/>
      <c r="K674" s="33"/>
      <c r="L674" s="33"/>
    </row>
    <row r="675">
      <c r="A675" s="33"/>
      <c r="B675" s="33"/>
      <c r="C675" s="33"/>
      <c r="D675" s="33"/>
      <c r="E675" s="33"/>
      <c r="F675" s="33"/>
      <c r="G675" s="33"/>
      <c r="H675" s="33"/>
      <c r="I675" s="33"/>
      <c r="J675" s="33"/>
      <c r="K675" s="33"/>
      <c r="L675" s="33"/>
    </row>
    <row r="676">
      <c r="A676" s="33"/>
      <c r="B676" s="33"/>
      <c r="C676" s="33"/>
      <c r="D676" s="33"/>
      <c r="E676" s="33"/>
      <c r="F676" s="33"/>
      <c r="G676" s="33"/>
      <c r="H676" s="33"/>
      <c r="I676" s="33"/>
      <c r="J676" s="33"/>
      <c r="K676" s="33"/>
      <c r="L676" s="33"/>
    </row>
    <row r="677">
      <c r="A677" s="33"/>
      <c r="B677" s="33"/>
      <c r="C677" s="33"/>
      <c r="D677" s="33"/>
      <c r="E677" s="33"/>
      <c r="F677" s="33"/>
      <c r="G677" s="33"/>
      <c r="H677" s="33"/>
      <c r="I677" s="33"/>
      <c r="J677" s="33"/>
      <c r="K677" s="33"/>
      <c r="L677" s="33"/>
    </row>
    <row r="678">
      <c r="A678" s="33"/>
      <c r="B678" s="33"/>
      <c r="C678" s="33"/>
      <c r="D678" s="33"/>
      <c r="E678" s="33"/>
      <c r="F678" s="33"/>
      <c r="G678" s="33"/>
      <c r="H678" s="33"/>
      <c r="I678" s="33"/>
      <c r="J678" s="33"/>
      <c r="K678" s="33"/>
      <c r="L678" s="33"/>
    </row>
    <row r="679">
      <c r="A679" s="33"/>
      <c r="B679" s="33"/>
      <c r="C679" s="33"/>
      <c r="D679" s="33"/>
      <c r="E679" s="33"/>
      <c r="F679" s="33"/>
      <c r="G679" s="33"/>
      <c r="H679" s="33"/>
      <c r="I679" s="33"/>
      <c r="J679" s="33"/>
      <c r="K679" s="33"/>
      <c r="L679" s="33"/>
    </row>
    <row r="680">
      <c r="A680" s="33"/>
      <c r="B680" s="33"/>
      <c r="C680" s="33"/>
      <c r="D680" s="33"/>
      <c r="E680" s="33"/>
      <c r="F680" s="33"/>
      <c r="G680" s="33"/>
      <c r="H680" s="33"/>
      <c r="I680" s="33"/>
      <c r="J680" s="33"/>
      <c r="K680" s="33"/>
      <c r="L680" s="33"/>
    </row>
    <row r="681">
      <c r="A681" s="33"/>
      <c r="B681" s="33"/>
      <c r="C681" s="33"/>
      <c r="D681" s="33"/>
      <c r="E681" s="33"/>
      <c r="F681" s="33"/>
      <c r="G681" s="33"/>
      <c r="H681" s="33"/>
      <c r="I681" s="33"/>
      <c r="J681" s="33"/>
      <c r="K681" s="33"/>
      <c r="L681" s="33"/>
    </row>
    <row r="682">
      <c r="A682" s="33"/>
      <c r="B682" s="33"/>
      <c r="C682" s="33"/>
      <c r="D682" s="33"/>
      <c r="E682" s="33"/>
      <c r="F682" s="33"/>
      <c r="G682" s="33"/>
      <c r="H682" s="33"/>
      <c r="I682" s="33"/>
      <c r="J682" s="33"/>
      <c r="K682" s="33"/>
      <c r="L682" s="33"/>
    </row>
    <row r="683">
      <c r="A683" s="33"/>
      <c r="B683" s="33"/>
      <c r="C683" s="33"/>
      <c r="D683" s="33"/>
      <c r="E683" s="33"/>
      <c r="F683" s="33"/>
      <c r="G683" s="33"/>
      <c r="H683" s="33"/>
      <c r="I683" s="33"/>
      <c r="J683" s="33"/>
      <c r="K683" s="33"/>
      <c r="L683" s="33"/>
    </row>
    <row r="684">
      <c r="A684" s="33"/>
      <c r="B684" s="33"/>
      <c r="C684" s="33"/>
      <c r="D684" s="33"/>
      <c r="E684" s="33"/>
      <c r="F684" s="33"/>
      <c r="G684" s="33"/>
      <c r="H684" s="33"/>
      <c r="I684" s="33"/>
      <c r="J684" s="33"/>
      <c r="K684" s="33"/>
      <c r="L684" s="33"/>
    </row>
    <row r="685">
      <c r="A685" s="33"/>
      <c r="B685" s="33"/>
      <c r="C685" s="33"/>
      <c r="D685" s="33"/>
      <c r="E685" s="33"/>
      <c r="F685" s="33"/>
      <c r="G685" s="33"/>
      <c r="H685" s="33"/>
      <c r="I685" s="33"/>
      <c r="J685" s="33"/>
      <c r="K685" s="33"/>
      <c r="L685" s="33"/>
    </row>
    <row r="686">
      <c r="A686" s="33"/>
      <c r="B686" s="33"/>
      <c r="C686" s="33"/>
      <c r="D686" s="33"/>
      <c r="E686" s="33"/>
      <c r="F686" s="33"/>
      <c r="G686" s="33"/>
      <c r="H686" s="33"/>
      <c r="I686" s="33"/>
      <c r="J686" s="33"/>
      <c r="K686" s="33"/>
      <c r="L686" s="33"/>
    </row>
    <row r="687">
      <c r="A687" s="33"/>
      <c r="B687" s="33"/>
      <c r="C687" s="33"/>
      <c r="D687" s="33"/>
      <c r="E687" s="33"/>
      <c r="F687" s="33"/>
      <c r="G687" s="33"/>
      <c r="H687" s="33"/>
      <c r="I687" s="33"/>
      <c r="J687" s="33"/>
      <c r="K687" s="33"/>
      <c r="L687" s="33"/>
    </row>
    <row r="688">
      <c r="A688" s="33"/>
      <c r="B688" s="33"/>
      <c r="C688" s="33"/>
      <c r="D688" s="33"/>
      <c r="E688" s="33"/>
      <c r="F688" s="33"/>
      <c r="G688" s="33"/>
      <c r="H688" s="33"/>
      <c r="I688" s="33"/>
      <c r="J688" s="33"/>
      <c r="K688" s="33"/>
      <c r="L688" s="33"/>
    </row>
    <row r="689">
      <c r="A689" s="33"/>
      <c r="B689" s="33"/>
      <c r="C689" s="33"/>
      <c r="D689" s="33"/>
      <c r="E689" s="33"/>
      <c r="F689" s="33"/>
      <c r="G689" s="33"/>
      <c r="H689" s="33"/>
      <c r="I689" s="33"/>
      <c r="J689" s="33"/>
      <c r="K689" s="33"/>
      <c r="L689" s="33"/>
    </row>
    <row r="690">
      <c r="A690" s="33"/>
      <c r="B690" s="33"/>
      <c r="C690" s="33"/>
      <c r="D690" s="33"/>
      <c r="E690" s="33"/>
      <c r="F690" s="33"/>
      <c r="G690" s="33"/>
      <c r="H690" s="33"/>
      <c r="I690" s="33"/>
      <c r="J690" s="33"/>
      <c r="K690" s="33"/>
      <c r="L690" s="33"/>
    </row>
    <row r="691">
      <c r="A691" s="33"/>
      <c r="B691" s="33"/>
      <c r="C691" s="33"/>
      <c r="D691" s="33"/>
      <c r="E691" s="33"/>
      <c r="F691" s="33"/>
      <c r="G691" s="33"/>
      <c r="H691" s="33"/>
      <c r="I691" s="33"/>
      <c r="J691" s="33"/>
      <c r="K691" s="33"/>
      <c r="L691" s="33"/>
    </row>
    <row r="692">
      <c r="A692" s="33"/>
      <c r="B692" s="33"/>
      <c r="C692" s="33"/>
      <c r="D692" s="33"/>
      <c r="E692" s="33"/>
      <c r="F692" s="33"/>
      <c r="G692" s="33"/>
      <c r="H692" s="33"/>
      <c r="I692" s="33"/>
      <c r="J692" s="33"/>
      <c r="K692" s="33"/>
      <c r="L692" s="33"/>
    </row>
    <row r="693">
      <c r="A693" s="33"/>
      <c r="B693" s="33"/>
      <c r="C693" s="33"/>
      <c r="D693" s="33"/>
      <c r="E693" s="33"/>
      <c r="F693" s="33"/>
      <c r="G693" s="33"/>
      <c r="H693" s="33"/>
      <c r="I693" s="33"/>
      <c r="J693" s="33"/>
      <c r="K693" s="33"/>
      <c r="L693" s="33"/>
    </row>
    <row r="694">
      <c r="A694" s="33"/>
      <c r="B694" s="33"/>
      <c r="C694" s="33"/>
      <c r="D694" s="33"/>
      <c r="E694" s="33"/>
      <c r="F694" s="33"/>
      <c r="G694" s="33"/>
      <c r="H694" s="33"/>
      <c r="I694" s="33"/>
      <c r="J694" s="33"/>
      <c r="K694" s="33"/>
      <c r="L694" s="33"/>
    </row>
    <row r="695">
      <c r="A695" s="33"/>
      <c r="B695" s="33"/>
      <c r="C695" s="33"/>
      <c r="D695" s="33"/>
      <c r="E695" s="33"/>
      <c r="F695" s="33"/>
      <c r="G695" s="33"/>
      <c r="H695" s="33"/>
      <c r="I695" s="33"/>
      <c r="J695" s="33"/>
      <c r="K695" s="33"/>
      <c r="L695" s="33"/>
    </row>
    <row r="696">
      <c r="A696" s="33"/>
      <c r="B696" s="33"/>
      <c r="C696" s="33"/>
      <c r="D696" s="33"/>
      <c r="E696" s="33"/>
      <c r="F696" s="33"/>
      <c r="G696" s="33"/>
      <c r="H696" s="33"/>
      <c r="I696" s="33"/>
      <c r="J696" s="33"/>
      <c r="K696" s="33"/>
      <c r="L696" s="33"/>
    </row>
    <row r="697">
      <c r="A697" s="33"/>
      <c r="B697" s="33"/>
      <c r="C697" s="33"/>
      <c r="D697" s="33"/>
      <c r="E697" s="33"/>
      <c r="F697" s="33"/>
      <c r="G697" s="33"/>
      <c r="H697" s="33"/>
      <c r="I697" s="33"/>
      <c r="J697" s="33"/>
      <c r="K697" s="33"/>
      <c r="L697" s="33"/>
    </row>
    <row r="698">
      <c r="A698" s="33"/>
      <c r="B698" s="33"/>
      <c r="C698" s="33"/>
      <c r="D698" s="33"/>
      <c r="E698" s="33"/>
      <c r="F698" s="33"/>
      <c r="G698" s="33"/>
      <c r="H698" s="33"/>
      <c r="I698" s="33"/>
      <c r="J698" s="33"/>
      <c r="K698" s="33"/>
      <c r="L698" s="33"/>
    </row>
    <row r="699">
      <c r="A699" s="33"/>
      <c r="B699" s="33"/>
      <c r="C699" s="33"/>
      <c r="D699" s="33"/>
      <c r="E699" s="33"/>
      <c r="F699" s="33"/>
      <c r="G699" s="33"/>
      <c r="H699" s="33"/>
      <c r="I699" s="33"/>
      <c r="J699" s="33"/>
      <c r="K699" s="33"/>
      <c r="L699" s="33"/>
    </row>
    <row r="700">
      <c r="A700" s="33"/>
      <c r="B700" s="33"/>
      <c r="C700" s="33"/>
      <c r="D700" s="33"/>
      <c r="E700" s="33"/>
      <c r="F700" s="33"/>
      <c r="G700" s="33"/>
      <c r="H700" s="33"/>
      <c r="I700" s="33"/>
      <c r="J700" s="33"/>
      <c r="K700" s="33"/>
      <c r="L700" s="33"/>
    </row>
    <row r="701">
      <c r="A701" s="33"/>
      <c r="B701" s="33"/>
      <c r="C701" s="33"/>
      <c r="D701" s="33"/>
      <c r="E701" s="33"/>
      <c r="F701" s="33"/>
      <c r="G701" s="33"/>
      <c r="H701" s="33"/>
      <c r="I701" s="33"/>
      <c r="J701" s="33"/>
      <c r="K701" s="33"/>
      <c r="L701" s="33"/>
    </row>
    <row r="702">
      <c r="A702" s="33"/>
      <c r="B702" s="33"/>
      <c r="C702" s="33"/>
      <c r="D702" s="33"/>
      <c r="E702" s="33"/>
      <c r="F702" s="33"/>
      <c r="G702" s="33"/>
      <c r="H702" s="33"/>
      <c r="I702" s="33"/>
      <c r="J702" s="33"/>
      <c r="K702" s="33"/>
      <c r="L702" s="33"/>
    </row>
    <row r="703">
      <c r="A703" s="33"/>
      <c r="B703" s="33"/>
      <c r="C703" s="33"/>
      <c r="D703" s="33"/>
      <c r="E703" s="33"/>
      <c r="F703" s="33"/>
      <c r="G703" s="33"/>
      <c r="H703" s="33"/>
      <c r="I703" s="33"/>
      <c r="J703" s="33"/>
      <c r="K703" s="33"/>
      <c r="L703" s="33"/>
    </row>
    <row r="704">
      <c r="A704" s="33"/>
      <c r="B704" s="33"/>
      <c r="C704" s="33"/>
      <c r="D704" s="33"/>
      <c r="E704" s="33"/>
      <c r="F704" s="33"/>
      <c r="G704" s="33"/>
      <c r="H704" s="33"/>
      <c r="I704" s="33"/>
      <c r="J704" s="33"/>
      <c r="K704" s="33"/>
      <c r="L704" s="33"/>
    </row>
    <row r="705">
      <c r="A705" s="33"/>
      <c r="B705" s="33"/>
      <c r="C705" s="33"/>
      <c r="D705" s="33"/>
      <c r="E705" s="33"/>
      <c r="F705" s="33"/>
      <c r="G705" s="33"/>
      <c r="H705" s="33"/>
      <c r="I705" s="33"/>
      <c r="J705" s="33"/>
      <c r="K705" s="33"/>
      <c r="L705" s="33"/>
    </row>
    <row r="706">
      <c r="A706" s="33"/>
      <c r="B706" s="33"/>
      <c r="C706" s="33"/>
      <c r="D706" s="33"/>
      <c r="E706" s="33"/>
      <c r="F706" s="33"/>
      <c r="G706" s="33"/>
      <c r="H706" s="33"/>
      <c r="I706" s="33"/>
      <c r="J706" s="33"/>
      <c r="K706" s="33"/>
      <c r="L706" s="33"/>
    </row>
    <row r="707">
      <c r="A707" s="33"/>
      <c r="B707" s="33"/>
      <c r="C707" s="33"/>
      <c r="D707" s="33"/>
      <c r="E707" s="33"/>
      <c r="F707" s="33"/>
      <c r="G707" s="33"/>
      <c r="H707" s="33"/>
      <c r="I707" s="33"/>
      <c r="J707" s="33"/>
      <c r="K707" s="33"/>
      <c r="L707" s="33"/>
    </row>
    <row r="708">
      <c r="A708" s="33"/>
      <c r="B708" s="33"/>
      <c r="C708" s="33"/>
      <c r="D708" s="33"/>
      <c r="E708" s="33"/>
      <c r="F708" s="33"/>
      <c r="G708" s="33"/>
      <c r="H708" s="33"/>
      <c r="I708" s="33"/>
      <c r="J708" s="33"/>
      <c r="K708" s="33"/>
      <c r="L708" s="33"/>
    </row>
    <row r="709">
      <c r="A709" s="33"/>
      <c r="B709" s="33"/>
      <c r="C709" s="33"/>
      <c r="D709" s="33"/>
      <c r="E709" s="33"/>
      <c r="F709" s="33"/>
      <c r="G709" s="33"/>
      <c r="H709" s="33"/>
      <c r="I709" s="33"/>
      <c r="J709" s="33"/>
      <c r="K709" s="33"/>
      <c r="L709" s="33"/>
    </row>
    <row r="710">
      <c r="A710" s="33"/>
      <c r="B710" s="33"/>
      <c r="C710" s="33"/>
      <c r="D710" s="33"/>
      <c r="E710" s="33"/>
      <c r="F710" s="33"/>
      <c r="G710" s="33"/>
      <c r="H710" s="33"/>
      <c r="I710" s="33"/>
      <c r="J710" s="33"/>
      <c r="K710" s="33"/>
      <c r="L710" s="33"/>
    </row>
    <row r="711">
      <c r="A711" s="33"/>
      <c r="B711" s="33"/>
      <c r="C711" s="33"/>
      <c r="D711" s="33"/>
      <c r="E711" s="33"/>
      <c r="F711" s="33"/>
      <c r="G711" s="33"/>
      <c r="H711" s="33"/>
      <c r="I711" s="33"/>
      <c r="J711" s="33"/>
      <c r="K711" s="33"/>
      <c r="L711" s="33"/>
    </row>
    <row r="712">
      <c r="A712" s="33"/>
      <c r="B712" s="33"/>
      <c r="C712" s="33"/>
      <c r="D712" s="33"/>
      <c r="E712" s="33"/>
      <c r="F712" s="33"/>
      <c r="G712" s="33"/>
      <c r="H712" s="33"/>
      <c r="I712" s="33"/>
      <c r="J712" s="33"/>
      <c r="K712" s="33"/>
      <c r="L712" s="33"/>
    </row>
    <row r="713">
      <c r="A713" s="33"/>
      <c r="B713" s="33"/>
      <c r="C713" s="33"/>
      <c r="D713" s="33"/>
      <c r="E713" s="33"/>
      <c r="F713" s="33"/>
      <c r="G713" s="33"/>
      <c r="H713" s="33"/>
      <c r="I713" s="33"/>
      <c r="J713" s="33"/>
      <c r="K713" s="33"/>
      <c r="L713" s="33"/>
    </row>
    <row r="714">
      <c r="A714" s="33"/>
      <c r="B714" s="33"/>
      <c r="C714" s="33"/>
      <c r="D714" s="33"/>
      <c r="E714" s="33"/>
      <c r="F714" s="33"/>
      <c r="G714" s="33"/>
      <c r="H714" s="33"/>
      <c r="I714" s="33"/>
      <c r="J714" s="33"/>
      <c r="K714" s="33"/>
      <c r="L714" s="33"/>
    </row>
    <row r="715">
      <c r="A715" s="33"/>
      <c r="B715" s="33"/>
      <c r="C715" s="33"/>
      <c r="D715" s="33"/>
      <c r="E715" s="33"/>
      <c r="F715" s="33"/>
      <c r="G715" s="33"/>
      <c r="H715" s="33"/>
      <c r="I715" s="33"/>
      <c r="J715" s="33"/>
      <c r="K715" s="33"/>
      <c r="L715" s="33"/>
    </row>
    <row r="716">
      <c r="A716" s="33"/>
      <c r="B716" s="33"/>
      <c r="C716" s="33"/>
      <c r="D716" s="33"/>
      <c r="E716" s="33"/>
      <c r="F716" s="33"/>
      <c r="G716" s="33"/>
      <c r="H716" s="33"/>
      <c r="I716" s="33"/>
      <c r="J716" s="33"/>
      <c r="K716" s="33"/>
      <c r="L716" s="33"/>
    </row>
    <row r="717">
      <c r="A717" s="33"/>
      <c r="B717" s="33"/>
      <c r="C717" s="33"/>
      <c r="D717" s="33"/>
      <c r="E717" s="33"/>
      <c r="F717" s="33"/>
      <c r="G717" s="33"/>
      <c r="H717" s="33"/>
      <c r="I717" s="33"/>
      <c r="J717" s="33"/>
      <c r="K717" s="33"/>
      <c r="L717" s="33"/>
    </row>
    <row r="718">
      <c r="A718" s="33"/>
      <c r="B718" s="33"/>
      <c r="C718" s="33"/>
      <c r="D718" s="33"/>
      <c r="E718" s="33"/>
      <c r="F718" s="33"/>
      <c r="G718" s="33"/>
      <c r="H718" s="33"/>
      <c r="I718" s="33"/>
      <c r="J718" s="33"/>
      <c r="K718" s="33"/>
      <c r="L718" s="33"/>
    </row>
    <row r="719">
      <c r="A719" s="33"/>
      <c r="B719" s="33"/>
      <c r="C719" s="33"/>
      <c r="D719" s="33"/>
      <c r="E719" s="33"/>
      <c r="F719" s="33"/>
      <c r="G719" s="33"/>
      <c r="H719" s="33"/>
      <c r="I719" s="33"/>
      <c r="J719" s="33"/>
      <c r="K719" s="33"/>
      <c r="L719" s="33"/>
    </row>
    <row r="720">
      <c r="A720" s="33"/>
      <c r="B720" s="33"/>
      <c r="C720" s="33"/>
      <c r="D720" s="33"/>
      <c r="E720" s="33"/>
      <c r="F720" s="33"/>
      <c r="G720" s="33"/>
      <c r="H720" s="33"/>
      <c r="I720" s="33"/>
      <c r="J720" s="33"/>
      <c r="K720" s="33"/>
      <c r="L720" s="33"/>
    </row>
    <row r="721">
      <c r="A721" s="33"/>
      <c r="B721" s="33"/>
      <c r="C721" s="33"/>
      <c r="D721" s="33"/>
      <c r="E721" s="33"/>
      <c r="F721" s="33"/>
      <c r="G721" s="33"/>
      <c r="H721" s="33"/>
      <c r="I721" s="33"/>
      <c r="J721" s="33"/>
      <c r="K721" s="33"/>
      <c r="L721" s="33"/>
    </row>
    <row r="722">
      <c r="A722" s="33"/>
      <c r="B722" s="33"/>
      <c r="C722" s="33"/>
      <c r="D722" s="33"/>
      <c r="E722" s="33"/>
      <c r="F722" s="33"/>
      <c r="G722" s="33"/>
      <c r="H722" s="33"/>
      <c r="I722" s="33"/>
      <c r="J722" s="33"/>
      <c r="K722" s="33"/>
      <c r="L722" s="33"/>
    </row>
    <row r="723">
      <c r="A723" s="33"/>
      <c r="B723" s="33"/>
      <c r="C723" s="33"/>
      <c r="D723" s="33"/>
      <c r="E723" s="33"/>
      <c r="F723" s="33"/>
      <c r="G723" s="33"/>
      <c r="H723" s="33"/>
      <c r="I723" s="33"/>
      <c r="J723" s="33"/>
      <c r="K723" s="33"/>
      <c r="L723" s="33"/>
    </row>
    <row r="724">
      <c r="A724" s="33"/>
      <c r="B724" s="33"/>
      <c r="C724" s="33"/>
      <c r="D724" s="33"/>
      <c r="E724" s="33"/>
      <c r="F724" s="33"/>
      <c r="G724" s="33"/>
      <c r="H724" s="33"/>
      <c r="I724" s="33"/>
      <c r="J724" s="33"/>
      <c r="K724" s="33"/>
      <c r="L724" s="33"/>
    </row>
    <row r="725">
      <c r="A725" s="33"/>
      <c r="B725" s="33"/>
      <c r="C725" s="33"/>
      <c r="D725" s="33"/>
      <c r="E725" s="33"/>
      <c r="F725" s="33"/>
      <c r="G725" s="33"/>
      <c r="H725" s="33"/>
      <c r="I725" s="33"/>
      <c r="J725" s="33"/>
      <c r="K725" s="33"/>
      <c r="L725" s="33"/>
    </row>
    <row r="726">
      <c r="A726" s="33"/>
      <c r="B726" s="33"/>
      <c r="C726" s="33"/>
      <c r="D726" s="33"/>
      <c r="E726" s="33"/>
      <c r="F726" s="33"/>
      <c r="G726" s="33"/>
      <c r="H726" s="33"/>
      <c r="I726" s="33"/>
      <c r="J726" s="33"/>
      <c r="K726" s="33"/>
      <c r="L726" s="33"/>
    </row>
    <row r="727">
      <c r="A727" s="33"/>
      <c r="B727" s="33"/>
      <c r="C727" s="33"/>
      <c r="D727" s="33"/>
      <c r="E727" s="33"/>
      <c r="F727" s="33"/>
      <c r="G727" s="33"/>
      <c r="H727" s="33"/>
      <c r="I727" s="33"/>
      <c r="J727" s="33"/>
      <c r="K727" s="33"/>
      <c r="L727" s="33"/>
    </row>
    <row r="728">
      <c r="A728" s="33"/>
      <c r="B728" s="33"/>
      <c r="C728" s="33"/>
      <c r="D728" s="33"/>
      <c r="E728" s="33"/>
      <c r="F728" s="33"/>
      <c r="G728" s="33"/>
      <c r="H728" s="33"/>
      <c r="I728" s="33"/>
      <c r="J728" s="33"/>
      <c r="K728" s="33"/>
      <c r="L728" s="33"/>
    </row>
    <row r="729">
      <c r="A729" s="33"/>
      <c r="B729" s="33"/>
      <c r="C729" s="33"/>
      <c r="D729" s="33"/>
      <c r="E729" s="33"/>
      <c r="F729" s="33"/>
      <c r="G729" s="33"/>
      <c r="H729" s="33"/>
      <c r="I729" s="33"/>
      <c r="J729" s="33"/>
      <c r="K729" s="33"/>
      <c r="L729" s="33"/>
    </row>
    <row r="730">
      <c r="A730" s="33"/>
      <c r="B730" s="33"/>
      <c r="C730" s="33"/>
      <c r="D730" s="33"/>
      <c r="E730" s="33"/>
      <c r="F730" s="33"/>
      <c r="G730" s="33"/>
      <c r="H730" s="33"/>
      <c r="I730" s="33"/>
      <c r="J730" s="33"/>
      <c r="K730" s="33"/>
      <c r="L730" s="33"/>
    </row>
    <row r="731">
      <c r="A731" s="33"/>
      <c r="B731" s="33"/>
      <c r="C731" s="33"/>
      <c r="D731" s="33"/>
      <c r="E731" s="33"/>
      <c r="F731" s="33"/>
      <c r="G731" s="33"/>
      <c r="H731" s="33"/>
      <c r="I731" s="33"/>
      <c r="J731" s="33"/>
      <c r="K731" s="33"/>
      <c r="L731" s="33"/>
    </row>
    <row r="732">
      <c r="A732" s="33"/>
      <c r="B732" s="33"/>
      <c r="C732" s="33"/>
      <c r="D732" s="33"/>
      <c r="E732" s="33"/>
      <c r="F732" s="33"/>
      <c r="G732" s="33"/>
      <c r="H732" s="33"/>
      <c r="I732" s="33"/>
      <c r="J732" s="33"/>
      <c r="K732" s="33"/>
      <c r="L732" s="33"/>
    </row>
    <row r="733">
      <c r="A733" s="33"/>
      <c r="B733" s="33"/>
      <c r="C733" s="33"/>
      <c r="D733" s="33"/>
      <c r="E733" s="33"/>
      <c r="F733" s="33"/>
      <c r="G733" s="33"/>
      <c r="H733" s="33"/>
      <c r="I733" s="33"/>
      <c r="J733" s="33"/>
      <c r="K733" s="33"/>
      <c r="L733" s="33"/>
    </row>
    <row r="734">
      <c r="A734" s="33"/>
      <c r="B734" s="33"/>
      <c r="C734" s="33"/>
      <c r="D734" s="33"/>
      <c r="E734" s="33"/>
      <c r="F734" s="33"/>
      <c r="G734" s="33"/>
      <c r="H734" s="33"/>
      <c r="I734" s="33"/>
      <c r="J734" s="33"/>
      <c r="K734" s="33"/>
      <c r="L734" s="33"/>
    </row>
    <row r="735">
      <c r="A735" s="33"/>
      <c r="B735" s="33"/>
      <c r="C735" s="33"/>
      <c r="D735" s="33"/>
      <c r="E735" s="33"/>
      <c r="F735" s="33"/>
      <c r="G735" s="33"/>
      <c r="H735" s="33"/>
      <c r="I735" s="33"/>
      <c r="J735" s="33"/>
      <c r="K735" s="33"/>
      <c r="L735" s="33"/>
    </row>
    <row r="736">
      <c r="A736" s="33"/>
      <c r="B736" s="33"/>
      <c r="C736" s="33"/>
      <c r="D736" s="33"/>
      <c r="E736" s="33"/>
      <c r="F736" s="33"/>
      <c r="G736" s="33"/>
      <c r="H736" s="33"/>
      <c r="I736" s="33"/>
      <c r="J736" s="33"/>
      <c r="K736" s="33"/>
      <c r="L736" s="33"/>
    </row>
    <row r="737">
      <c r="A737" s="33"/>
      <c r="B737" s="33"/>
      <c r="C737" s="33"/>
      <c r="D737" s="33"/>
      <c r="E737" s="33"/>
      <c r="F737" s="33"/>
      <c r="G737" s="33"/>
      <c r="H737" s="33"/>
      <c r="I737" s="33"/>
      <c r="J737" s="33"/>
      <c r="K737" s="33"/>
      <c r="L737" s="33"/>
    </row>
    <row r="738">
      <c r="A738" s="33"/>
      <c r="B738" s="33"/>
      <c r="C738" s="33"/>
      <c r="D738" s="33"/>
      <c r="E738" s="33"/>
      <c r="F738" s="33"/>
      <c r="G738" s="33"/>
      <c r="H738" s="33"/>
      <c r="I738" s="33"/>
      <c r="J738" s="33"/>
      <c r="K738" s="33"/>
      <c r="L738" s="33"/>
    </row>
    <row r="739">
      <c r="A739" s="33"/>
      <c r="B739" s="33"/>
      <c r="C739" s="33"/>
      <c r="D739" s="33"/>
      <c r="E739" s="33"/>
      <c r="F739" s="33"/>
      <c r="G739" s="33"/>
      <c r="H739" s="33"/>
      <c r="I739" s="33"/>
      <c r="J739" s="33"/>
      <c r="K739" s="33"/>
      <c r="L739" s="33"/>
    </row>
    <row r="740">
      <c r="A740" s="33"/>
      <c r="B740" s="33"/>
      <c r="C740" s="33"/>
      <c r="D740" s="33"/>
      <c r="E740" s="33"/>
      <c r="F740" s="33"/>
      <c r="G740" s="33"/>
      <c r="H740" s="33"/>
      <c r="I740" s="33"/>
      <c r="J740" s="33"/>
      <c r="K740" s="33"/>
      <c r="L740" s="33"/>
    </row>
    <row r="741">
      <c r="A741" s="33"/>
      <c r="B741" s="33"/>
      <c r="C741" s="33"/>
      <c r="D741" s="33"/>
      <c r="E741" s="33"/>
      <c r="F741" s="33"/>
      <c r="G741" s="33"/>
      <c r="H741" s="33"/>
      <c r="I741" s="33"/>
      <c r="J741" s="33"/>
      <c r="K741" s="33"/>
      <c r="L741" s="33"/>
    </row>
    <row r="742">
      <c r="A742" s="33"/>
      <c r="B742" s="33"/>
      <c r="C742" s="33"/>
      <c r="D742" s="33"/>
      <c r="E742" s="33"/>
      <c r="F742" s="33"/>
      <c r="G742" s="33"/>
      <c r="H742" s="33"/>
      <c r="I742" s="33"/>
      <c r="J742" s="33"/>
      <c r="K742" s="33"/>
      <c r="L742" s="33"/>
    </row>
    <row r="743">
      <c r="A743" s="33"/>
      <c r="B743" s="33"/>
      <c r="C743" s="33"/>
      <c r="D743" s="33"/>
      <c r="E743" s="33"/>
      <c r="F743" s="33"/>
      <c r="G743" s="33"/>
      <c r="H743" s="33"/>
      <c r="I743" s="33"/>
      <c r="J743" s="33"/>
      <c r="K743" s="33"/>
      <c r="L743" s="33"/>
    </row>
    <row r="744">
      <c r="A744" s="33"/>
      <c r="B744" s="33"/>
      <c r="C744" s="33"/>
      <c r="D744" s="33"/>
      <c r="E744" s="33"/>
      <c r="F744" s="33"/>
      <c r="G744" s="33"/>
      <c r="H744" s="33"/>
      <c r="I744" s="33"/>
      <c r="J744" s="33"/>
      <c r="K744" s="33"/>
      <c r="L744" s="33"/>
    </row>
    <row r="745">
      <c r="A745" s="33"/>
      <c r="B745" s="33"/>
      <c r="C745" s="33"/>
      <c r="D745" s="33"/>
      <c r="E745" s="33"/>
      <c r="F745" s="33"/>
      <c r="G745" s="33"/>
      <c r="H745" s="33"/>
      <c r="I745" s="33"/>
      <c r="J745" s="33"/>
      <c r="K745" s="33"/>
      <c r="L745" s="33"/>
    </row>
    <row r="746">
      <c r="A746" s="33"/>
      <c r="B746" s="33"/>
      <c r="C746" s="33"/>
      <c r="D746" s="33"/>
      <c r="E746" s="33"/>
      <c r="F746" s="33"/>
      <c r="G746" s="33"/>
      <c r="H746" s="33"/>
      <c r="I746" s="33"/>
      <c r="J746" s="33"/>
      <c r="K746" s="33"/>
      <c r="L746" s="33"/>
    </row>
    <row r="747">
      <c r="A747" s="33"/>
      <c r="B747" s="33"/>
      <c r="C747" s="33"/>
      <c r="D747" s="33"/>
      <c r="E747" s="33"/>
      <c r="F747" s="33"/>
      <c r="G747" s="33"/>
      <c r="H747" s="33"/>
      <c r="I747" s="33"/>
      <c r="J747" s="33"/>
      <c r="K747" s="33"/>
      <c r="L747" s="33"/>
    </row>
    <row r="748">
      <c r="A748" s="33"/>
      <c r="B748" s="33"/>
      <c r="C748" s="33"/>
      <c r="D748" s="33"/>
      <c r="E748" s="33"/>
      <c r="F748" s="33"/>
      <c r="G748" s="33"/>
      <c r="H748" s="33"/>
      <c r="I748" s="33"/>
      <c r="J748" s="33"/>
      <c r="K748" s="33"/>
      <c r="L748" s="33"/>
    </row>
    <row r="749">
      <c r="A749" s="33"/>
      <c r="B749" s="33"/>
      <c r="C749" s="33"/>
      <c r="D749" s="33"/>
      <c r="E749" s="33"/>
      <c r="F749" s="33"/>
      <c r="G749" s="33"/>
      <c r="H749" s="33"/>
      <c r="I749" s="33"/>
      <c r="J749" s="33"/>
      <c r="K749" s="33"/>
      <c r="L749" s="33"/>
    </row>
    <row r="750">
      <c r="A750" s="33"/>
      <c r="B750" s="33"/>
      <c r="C750" s="33"/>
      <c r="D750" s="33"/>
      <c r="E750" s="33"/>
      <c r="F750" s="33"/>
      <c r="G750" s="33"/>
      <c r="H750" s="33"/>
      <c r="I750" s="33"/>
      <c r="J750" s="33"/>
      <c r="K750" s="33"/>
      <c r="L750" s="33"/>
    </row>
    <row r="751">
      <c r="A751" s="33"/>
      <c r="B751" s="33"/>
      <c r="C751" s="33"/>
      <c r="D751" s="33"/>
      <c r="E751" s="33"/>
      <c r="F751" s="33"/>
      <c r="G751" s="33"/>
      <c r="H751" s="33"/>
      <c r="I751" s="33"/>
      <c r="J751" s="33"/>
      <c r="K751" s="33"/>
      <c r="L751" s="33"/>
    </row>
    <row r="752">
      <c r="A752" s="33"/>
      <c r="B752" s="33"/>
      <c r="C752" s="33"/>
      <c r="D752" s="33"/>
      <c r="E752" s="33"/>
      <c r="F752" s="33"/>
      <c r="G752" s="33"/>
      <c r="H752" s="33"/>
      <c r="I752" s="33"/>
      <c r="J752" s="33"/>
      <c r="K752" s="33"/>
      <c r="L752" s="33"/>
    </row>
    <row r="753">
      <c r="A753" s="33"/>
      <c r="B753" s="33"/>
      <c r="C753" s="33"/>
      <c r="D753" s="33"/>
      <c r="E753" s="33"/>
      <c r="F753" s="33"/>
      <c r="G753" s="33"/>
      <c r="H753" s="33"/>
      <c r="I753" s="33"/>
      <c r="J753" s="33"/>
      <c r="K753" s="33"/>
      <c r="L753" s="33"/>
    </row>
    <row r="754">
      <c r="A754" s="33"/>
      <c r="B754" s="33"/>
      <c r="C754" s="33"/>
      <c r="D754" s="33"/>
      <c r="E754" s="33"/>
      <c r="F754" s="33"/>
      <c r="G754" s="33"/>
      <c r="H754" s="33"/>
      <c r="I754" s="33"/>
      <c r="J754" s="33"/>
      <c r="K754" s="33"/>
      <c r="L754" s="33"/>
    </row>
    <row r="755">
      <c r="A755" s="33"/>
      <c r="B755" s="33"/>
      <c r="C755" s="33"/>
      <c r="D755" s="33"/>
      <c r="E755" s="33"/>
      <c r="F755" s="33"/>
      <c r="G755" s="33"/>
      <c r="H755" s="33"/>
      <c r="I755" s="33"/>
      <c r="J755" s="33"/>
      <c r="K755" s="33"/>
      <c r="L755" s="33"/>
    </row>
    <row r="756">
      <c r="A756" s="33"/>
      <c r="B756" s="33"/>
      <c r="C756" s="33"/>
      <c r="D756" s="33"/>
      <c r="E756" s="33"/>
      <c r="F756" s="33"/>
      <c r="G756" s="33"/>
      <c r="H756" s="33"/>
      <c r="I756" s="33"/>
      <c r="J756" s="33"/>
      <c r="K756" s="33"/>
      <c r="L756" s="33"/>
    </row>
    <row r="757">
      <c r="A757" s="33"/>
      <c r="B757" s="33"/>
      <c r="C757" s="33"/>
      <c r="D757" s="33"/>
      <c r="E757" s="33"/>
      <c r="F757" s="33"/>
      <c r="G757" s="33"/>
      <c r="H757" s="33"/>
      <c r="I757" s="33"/>
      <c r="J757" s="33"/>
      <c r="K757" s="33"/>
      <c r="L757" s="33"/>
    </row>
    <row r="758">
      <c r="A758" s="33"/>
      <c r="B758" s="33"/>
      <c r="C758" s="33"/>
      <c r="D758" s="33"/>
      <c r="E758" s="33"/>
      <c r="F758" s="33"/>
      <c r="G758" s="33"/>
      <c r="H758" s="33"/>
      <c r="I758" s="33"/>
      <c r="J758" s="33"/>
      <c r="K758" s="33"/>
      <c r="L758" s="33"/>
    </row>
    <row r="759">
      <c r="A759" s="33"/>
      <c r="B759" s="33"/>
      <c r="C759" s="33"/>
      <c r="D759" s="33"/>
      <c r="E759" s="33"/>
      <c r="F759" s="33"/>
      <c r="G759" s="33"/>
      <c r="H759" s="33"/>
      <c r="I759" s="33"/>
      <c r="J759" s="33"/>
      <c r="K759" s="33"/>
      <c r="L759" s="33"/>
    </row>
    <row r="760">
      <c r="A760" s="33"/>
      <c r="B760" s="33"/>
      <c r="C760" s="33"/>
      <c r="D760" s="33"/>
      <c r="E760" s="33"/>
      <c r="F760" s="33"/>
      <c r="G760" s="33"/>
      <c r="H760" s="33"/>
      <c r="I760" s="33"/>
      <c r="J760" s="33"/>
      <c r="K760" s="33"/>
      <c r="L760" s="33"/>
    </row>
    <row r="761">
      <c r="A761" s="33"/>
      <c r="B761" s="33"/>
      <c r="C761" s="33"/>
      <c r="D761" s="33"/>
      <c r="E761" s="33"/>
      <c r="F761" s="33"/>
      <c r="G761" s="33"/>
      <c r="H761" s="33"/>
      <c r="I761" s="33"/>
      <c r="J761" s="33"/>
      <c r="K761" s="33"/>
      <c r="L761" s="33"/>
    </row>
    <row r="762">
      <c r="A762" s="33"/>
      <c r="B762" s="33"/>
      <c r="C762" s="33"/>
      <c r="D762" s="33"/>
      <c r="E762" s="33"/>
      <c r="F762" s="33"/>
      <c r="G762" s="33"/>
      <c r="H762" s="33"/>
      <c r="I762" s="33"/>
      <c r="J762" s="33"/>
      <c r="K762" s="33"/>
      <c r="L762" s="33"/>
    </row>
    <row r="763">
      <c r="A763" s="33"/>
      <c r="B763" s="33"/>
      <c r="C763" s="33"/>
      <c r="D763" s="33"/>
      <c r="E763" s="33"/>
      <c r="F763" s="33"/>
      <c r="G763" s="33"/>
      <c r="H763" s="33"/>
      <c r="I763" s="33"/>
      <c r="J763" s="33"/>
      <c r="K763" s="33"/>
      <c r="L763" s="33"/>
    </row>
    <row r="764">
      <c r="A764" s="33"/>
      <c r="B764" s="33"/>
      <c r="C764" s="33"/>
      <c r="D764" s="33"/>
      <c r="E764" s="33"/>
      <c r="F764" s="33"/>
      <c r="G764" s="33"/>
      <c r="H764" s="33"/>
      <c r="I764" s="33"/>
      <c r="J764" s="33"/>
      <c r="K764" s="33"/>
      <c r="L764" s="33"/>
    </row>
    <row r="765">
      <c r="A765" s="33"/>
      <c r="B765" s="33"/>
      <c r="C765" s="33"/>
      <c r="D765" s="33"/>
      <c r="E765" s="33"/>
      <c r="F765" s="33"/>
      <c r="G765" s="33"/>
      <c r="H765" s="33"/>
      <c r="I765" s="33"/>
      <c r="J765" s="33"/>
      <c r="K765" s="33"/>
      <c r="L765" s="33"/>
    </row>
    <row r="766">
      <c r="A766" s="33"/>
      <c r="B766" s="33"/>
      <c r="C766" s="33"/>
      <c r="D766" s="33"/>
      <c r="E766" s="33"/>
      <c r="F766" s="33"/>
      <c r="G766" s="33"/>
      <c r="H766" s="33"/>
      <c r="I766" s="33"/>
      <c r="J766" s="33"/>
      <c r="K766" s="33"/>
      <c r="L766" s="33"/>
    </row>
    <row r="767">
      <c r="A767" s="33"/>
      <c r="B767" s="33"/>
      <c r="C767" s="33"/>
      <c r="D767" s="33"/>
      <c r="E767" s="33"/>
      <c r="F767" s="33"/>
      <c r="G767" s="33"/>
      <c r="H767" s="33"/>
      <c r="I767" s="33"/>
      <c r="J767" s="33"/>
      <c r="K767" s="33"/>
      <c r="L767" s="33"/>
    </row>
    <row r="768">
      <c r="A768" s="33"/>
      <c r="B768" s="33"/>
      <c r="C768" s="33"/>
      <c r="D768" s="33"/>
      <c r="E768" s="33"/>
      <c r="F768" s="33"/>
      <c r="G768" s="33"/>
      <c r="H768" s="33"/>
      <c r="I768" s="33"/>
      <c r="J768" s="33"/>
      <c r="K768" s="33"/>
      <c r="L768" s="33"/>
    </row>
    <row r="769">
      <c r="A769" s="33"/>
      <c r="B769" s="33"/>
      <c r="C769" s="33"/>
      <c r="D769" s="33"/>
      <c r="E769" s="33"/>
      <c r="F769" s="33"/>
      <c r="G769" s="33"/>
      <c r="H769" s="33"/>
      <c r="I769" s="33"/>
      <c r="J769" s="33"/>
      <c r="K769" s="33"/>
      <c r="L769" s="33"/>
    </row>
    <row r="770">
      <c r="A770" s="33"/>
      <c r="B770" s="33"/>
      <c r="C770" s="33"/>
      <c r="D770" s="33"/>
      <c r="E770" s="33"/>
      <c r="F770" s="33"/>
      <c r="G770" s="33"/>
      <c r="H770" s="33"/>
      <c r="I770" s="33"/>
      <c r="J770" s="33"/>
      <c r="K770" s="33"/>
      <c r="L770" s="33"/>
    </row>
    <row r="771">
      <c r="A771" s="33"/>
      <c r="B771" s="33"/>
      <c r="C771" s="33"/>
      <c r="D771" s="33"/>
      <c r="E771" s="33"/>
      <c r="F771" s="33"/>
      <c r="G771" s="33"/>
      <c r="H771" s="33"/>
      <c r="I771" s="33"/>
      <c r="J771" s="33"/>
      <c r="K771" s="33"/>
      <c r="L771" s="33"/>
    </row>
    <row r="772">
      <c r="A772" s="33"/>
      <c r="B772" s="33"/>
      <c r="C772" s="33"/>
      <c r="D772" s="33"/>
      <c r="E772" s="33"/>
      <c r="F772" s="33"/>
      <c r="G772" s="33"/>
      <c r="H772" s="33"/>
      <c r="I772" s="33"/>
      <c r="J772" s="33"/>
      <c r="K772" s="33"/>
      <c r="L772" s="33"/>
    </row>
    <row r="773">
      <c r="A773" s="33"/>
      <c r="B773" s="33"/>
      <c r="C773" s="33"/>
      <c r="D773" s="33"/>
      <c r="E773" s="33"/>
      <c r="F773" s="33"/>
      <c r="G773" s="33"/>
      <c r="H773" s="33"/>
      <c r="I773" s="33"/>
      <c r="J773" s="33"/>
      <c r="K773" s="33"/>
      <c r="L773" s="33"/>
    </row>
    <row r="774">
      <c r="A774" s="33"/>
      <c r="B774" s="33"/>
      <c r="C774" s="33"/>
      <c r="D774" s="33"/>
      <c r="E774" s="33"/>
      <c r="F774" s="33"/>
      <c r="G774" s="33"/>
      <c r="H774" s="33"/>
      <c r="I774" s="33"/>
      <c r="J774" s="33"/>
      <c r="K774" s="33"/>
      <c r="L774" s="33"/>
    </row>
    <row r="775">
      <c r="A775" s="33"/>
      <c r="B775" s="33"/>
      <c r="C775" s="33"/>
      <c r="D775" s="33"/>
      <c r="E775" s="33"/>
      <c r="F775" s="33"/>
      <c r="G775" s="33"/>
      <c r="H775" s="33"/>
      <c r="I775" s="33"/>
      <c r="J775" s="33"/>
      <c r="K775" s="33"/>
      <c r="L775" s="33"/>
    </row>
    <row r="776">
      <c r="A776" s="33"/>
      <c r="B776" s="33"/>
      <c r="C776" s="33"/>
      <c r="D776" s="33"/>
      <c r="E776" s="33"/>
      <c r="F776" s="33"/>
      <c r="G776" s="33"/>
      <c r="H776" s="33"/>
      <c r="I776" s="33"/>
      <c r="J776" s="33"/>
      <c r="K776" s="33"/>
      <c r="L776" s="33"/>
    </row>
    <row r="777">
      <c r="A777" s="33"/>
      <c r="B777" s="33"/>
      <c r="C777" s="33"/>
      <c r="D777" s="33"/>
      <c r="E777" s="33"/>
      <c r="F777" s="33"/>
      <c r="G777" s="33"/>
      <c r="H777" s="33"/>
      <c r="I777" s="33"/>
      <c r="J777" s="33"/>
      <c r="K777" s="33"/>
      <c r="L777" s="33"/>
    </row>
    <row r="778">
      <c r="A778" s="33"/>
      <c r="B778" s="33"/>
      <c r="C778" s="33"/>
      <c r="D778" s="33"/>
      <c r="E778" s="33"/>
      <c r="F778" s="33"/>
      <c r="G778" s="33"/>
      <c r="H778" s="33"/>
      <c r="I778" s="33"/>
      <c r="J778" s="33"/>
      <c r="K778" s="33"/>
      <c r="L778" s="33"/>
    </row>
    <row r="779">
      <c r="A779" s="33"/>
      <c r="B779" s="33"/>
      <c r="C779" s="33"/>
      <c r="D779" s="33"/>
      <c r="E779" s="33"/>
      <c r="F779" s="33"/>
      <c r="G779" s="33"/>
      <c r="H779" s="33"/>
      <c r="I779" s="33"/>
      <c r="J779" s="33"/>
      <c r="K779" s="33"/>
      <c r="L779" s="33"/>
    </row>
    <row r="780">
      <c r="A780" s="33"/>
      <c r="B780" s="33"/>
      <c r="C780" s="33"/>
      <c r="D780" s="33"/>
      <c r="E780" s="33"/>
      <c r="F780" s="33"/>
      <c r="G780" s="33"/>
      <c r="H780" s="33"/>
      <c r="I780" s="33"/>
      <c r="J780" s="33"/>
      <c r="K780" s="33"/>
      <c r="L780" s="33"/>
    </row>
    <row r="781">
      <c r="A781" s="33"/>
      <c r="B781" s="33"/>
      <c r="C781" s="33"/>
      <c r="D781" s="33"/>
      <c r="E781" s="33"/>
      <c r="F781" s="33"/>
      <c r="G781" s="33"/>
      <c r="H781" s="33"/>
      <c r="I781" s="33"/>
      <c r="J781" s="33"/>
      <c r="K781" s="33"/>
      <c r="L781" s="33"/>
    </row>
    <row r="782">
      <c r="A782" s="33"/>
      <c r="B782" s="33"/>
      <c r="C782" s="33"/>
      <c r="D782" s="33"/>
      <c r="E782" s="33"/>
      <c r="F782" s="33"/>
      <c r="G782" s="33"/>
      <c r="H782" s="33"/>
      <c r="I782" s="33"/>
      <c r="J782" s="33"/>
      <c r="K782" s="33"/>
      <c r="L782" s="33"/>
    </row>
    <row r="783">
      <c r="A783" s="33"/>
      <c r="B783" s="33"/>
      <c r="C783" s="33"/>
      <c r="D783" s="33"/>
      <c r="E783" s="33"/>
      <c r="F783" s="33"/>
      <c r="G783" s="33"/>
      <c r="H783" s="33"/>
      <c r="I783" s="33"/>
      <c r="J783" s="33"/>
      <c r="K783" s="33"/>
      <c r="L783" s="33"/>
    </row>
    <row r="784">
      <c r="A784" s="33"/>
      <c r="B784" s="33"/>
      <c r="C784" s="33"/>
      <c r="D784" s="33"/>
      <c r="E784" s="33"/>
      <c r="F784" s="33"/>
      <c r="G784" s="33"/>
      <c r="H784" s="33"/>
      <c r="I784" s="33"/>
      <c r="J784" s="33"/>
      <c r="K784" s="33"/>
      <c r="L784" s="33"/>
    </row>
    <row r="785">
      <c r="A785" s="33"/>
      <c r="B785" s="33"/>
      <c r="C785" s="33"/>
      <c r="D785" s="33"/>
      <c r="E785" s="33"/>
      <c r="F785" s="33"/>
      <c r="G785" s="33"/>
      <c r="H785" s="33"/>
      <c r="I785" s="33"/>
      <c r="J785" s="33"/>
      <c r="K785" s="33"/>
      <c r="L785" s="33"/>
    </row>
    <row r="786">
      <c r="A786" s="33"/>
      <c r="B786" s="33"/>
      <c r="C786" s="33"/>
      <c r="D786" s="33"/>
      <c r="E786" s="33"/>
      <c r="F786" s="33"/>
      <c r="G786" s="33"/>
      <c r="H786" s="33"/>
      <c r="I786" s="33"/>
      <c r="J786" s="33"/>
      <c r="K786" s="33"/>
      <c r="L786" s="33"/>
    </row>
    <row r="787">
      <c r="A787" s="33"/>
      <c r="B787" s="33"/>
      <c r="C787" s="33"/>
      <c r="D787" s="33"/>
      <c r="E787" s="33"/>
      <c r="F787" s="33"/>
      <c r="G787" s="33"/>
      <c r="H787" s="33"/>
      <c r="I787" s="33"/>
      <c r="J787" s="33"/>
      <c r="K787" s="33"/>
      <c r="L787" s="33"/>
    </row>
    <row r="788">
      <c r="A788" s="33"/>
      <c r="B788" s="33"/>
      <c r="C788" s="33"/>
      <c r="D788" s="33"/>
      <c r="E788" s="33"/>
      <c r="F788" s="33"/>
      <c r="G788" s="33"/>
      <c r="H788" s="33"/>
      <c r="I788" s="33"/>
      <c r="J788" s="33"/>
      <c r="K788" s="33"/>
      <c r="L788" s="33"/>
    </row>
    <row r="789">
      <c r="A789" s="33"/>
      <c r="B789" s="33"/>
      <c r="C789" s="33"/>
      <c r="D789" s="33"/>
      <c r="E789" s="33"/>
      <c r="F789" s="33"/>
      <c r="G789" s="33"/>
      <c r="H789" s="33"/>
      <c r="I789" s="33"/>
      <c r="J789" s="33"/>
      <c r="K789" s="33"/>
      <c r="L789" s="33"/>
    </row>
    <row r="790">
      <c r="A790" s="33"/>
      <c r="B790" s="33"/>
      <c r="C790" s="33"/>
      <c r="D790" s="33"/>
      <c r="E790" s="33"/>
      <c r="F790" s="33"/>
      <c r="G790" s="33"/>
      <c r="H790" s="33"/>
      <c r="I790" s="33"/>
      <c r="J790" s="33"/>
      <c r="K790" s="33"/>
      <c r="L790" s="33"/>
    </row>
    <row r="791">
      <c r="A791" s="33"/>
      <c r="B791" s="33"/>
      <c r="C791" s="33"/>
      <c r="D791" s="33"/>
      <c r="E791" s="33"/>
      <c r="F791" s="33"/>
      <c r="G791" s="33"/>
      <c r="H791" s="33"/>
      <c r="I791" s="33"/>
      <c r="J791" s="33"/>
      <c r="K791" s="33"/>
      <c r="L791" s="33"/>
    </row>
    <row r="792">
      <c r="A792" s="33"/>
      <c r="B792" s="33"/>
      <c r="C792" s="33"/>
      <c r="D792" s="33"/>
      <c r="E792" s="33"/>
      <c r="F792" s="33"/>
      <c r="G792" s="33"/>
      <c r="H792" s="33"/>
      <c r="I792" s="33"/>
      <c r="J792" s="33"/>
      <c r="K792" s="33"/>
      <c r="L792" s="33"/>
    </row>
    <row r="793">
      <c r="A793" s="33"/>
      <c r="B793" s="33"/>
      <c r="C793" s="33"/>
      <c r="D793" s="33"/>
      <c r="E793" s="33"/>
      <c r="F793" s="33"/>
      <c r="G793" s="33"/>
      <c r="H793" s="33"/>
      <c r="I793" s="33"/>
      <c r="J793" s="33"/>
      <c r="K793" s="33"/>
      <c r="L793" s="33"/>
    </row>
    <row r="794">
      <c r="A794" s="33"/>
      <c r="B794" s="33"/>
      <c r="C794" s="33"/>
      <c r="D794" s="33"/>
      <c r="E794" s="33"/>
      <c r="F794" s="33"/>
      <c r="G794" s="33"/>
      <c r="H794" s="33"/>
      <c r="I794" s="33"/>
      <c r="J794" s="33"/>
      <c r="K794" s="33"/>
      <c r="L794" s="33"/>
    </row>
    <row r="795">
      <c r="A795" s="33"/>
      <c r="B795" s="33"/>
      <c r="C795" s="33"/>
      <c r="D795" s="33"/>
      <c r="E795" s="33"/>
      <c r="F795" s="33"/>
      <c r="G795" s="33"/>
      <c r="H795" s="33"/>
      <c r="I795" s="33"/>
      <c r="J795" s="33"/>
      <c r="K795" s="33"/>
      <c r="L795" s="33"/>
    </row>
    <row r="796">
      <c r="A796" s="33"/>
      <c r="B796" s="33"/>
      <c r="C796" s="33"/>
      <c r="D796" s="33"/>
      <c r="E796" s="33"/>
      <c r="F796" s="33"/>
      <c r="G796" s="33"/>
      <c r="H796" s="33"/>
      <c r="I796" s="33"/>
      <c r="J796" s="33"/>
      <c r="K796" s="33"/>
      <c r="L796" s="33"/>
    </row>
    <row r="797">
      <c r="A797" s="33"/>
      <c r="B797" s="33"/>
      <c r="C797" s="33"/>
      <c r="D797" s="33"/>
      <c r="E797" s="33"/>
      <c r="F797" s="33"/>
      <c r="G797" s="33"/>
      <c r="H797" s="33"/>
      <c r="I797" s="33"/>
      <c r="J797" s="33"/>
      <c r="K797" s="33"/>
      <c r="L797" s="33"/>
    </row>
    <row r="798">
      <c r="A798" s="33"/>
      <c r="B798" s="33"/>
      <c r="C798" s="33"/>
      <c r="D798" s="33"/>
      <c r="E798" s="33"/>
      <c r="F798" s="33"/>
      <c r="G798" s="33"/>
      <c r="H798" s="33"/>
      <c r="I798" s="33"/>
      <c r="J798" s="33"/>
      <c r="K798" s="33"/>
      <c r="L798" s="33"/>
    </row>
    <row r="799">
      <c r="A799" s="33"/>
      <c r="B799" s="33"/>
      <c r="C799" s="33"/>
      <c r="D799" s="33"/>
      <c r="E799" s="33"/>
      <c r="F799" s="33"/>
      <c r="G799" s="33"/>
      <c r="H799" s="33"/>
      <c r="I799" s="33"/>
      <c r="J799" s="33"/>
      <c r="K799" s="33"/>
      <c r="L799" s="33"/>
    </row>
    <row r="800">
      <c r="A800" s="33"/>
      <c r="B800" s="33"/>
      <c r="C800" s="33"/>
      <c r="D800" s="33"/>
      <c r="E800" s="33"/>
      <c r="F800" s="33"/>
      <c r="G800" s="33"/>
      <c r="H800" s="33"/>
      <c r="I800" s="33"/>
      <c r="J800" s="33"/>
      <c r="K800" s="33"/>
      <c r="L800" s="33"/>
    </row>
    <row r="801">
      <c r="A801" s="33"/>
      <c r="B801" s="33"/>
      <c r="C801" s="33"/>
      <c r="D801" s="33"/>
      <c r="E801" s="33"/>
      <c r="F801" s="33"/>
      <c r="G801" s="33"/>
      <c r="H801" s="33"/>
      <c r="I801" s="33"/>
      <c r="J801" s="33"/>
      <c r="K801" s="33"/>
      <c r="L801" s="33"/>
    </row>
    <row r="802">
      <c r="A802" s="33"/>
      <c r="B802" s="33"/>
      <c r="C802" s="33"/>
      <c r="D802" s="33"/>
      <c r="E802" s="33"/>
      <c r="F802" s="33"/>
      <c r="G802" s="33"/>
      <c r="H802" s="33"/>
      <c r="I802" s="33"/>
      <c r="J802" s="33"/>
      <c r="K802" s="33"/>
      <c r="L802" s="33"/>
    </row>
    <row r="803">
      <c r="A803" s="33"/>
      <c r="B803" s="33"/>
      <c r="C803" s="33"/>
      <c r="D803" s="33"/>
      <c r="E803" s="33"/>
      <c r="F803" s="33"/>
      <c r="G803" s="33"/>
      <c r="H803" s="33"/>
      <c r="I803" s="33"/>
      <c r="J803" s="33"/>
      <c r="K803" s="33"/>
      <c r="L803" s="33"/>
    </row>
    <row r="804">
      <c r="A804" s="33"/>
      <c r="B804" s="33"/>
      <c r="C804" s="33"/>
      <c r="D804" s="33"/>
      <c r="E804" s="33"/>
      <c r="F804" s="33"/>
      <c r="G804" s="33"/>
      <c r="H804" s="33"/>
      <c r="I804" s="33"/>
      <c r="J804" s="33"/>
      <c r="K804" s="33"/>
      <c r="L804" s="33"/>
    </row>
    <row r="805">
      <c r="A805" s="33"/>
      <c r="B805" s="33"/>
      <c r="C805" s="33"/>
      <c r="D805" s="33"/>
      <c r="E805" s="33"/>
      <c r="F805" s="33"/>
      <c r="G805" s="33"/>
      <c r="H805" s="33"/>
      <c r="I805" s="33"/>
      <c r="J805" s="33"/>
      <c r="K805" s="33"/>
      <c r="L805" s="33"/>
    </row>
    <row r="806">
      <c r="A806" s="33"/>
      <c r="B806" s="33"/>
      <c r="C806" s="33"/>
      <c r="D806" s="33"/>
      <c r="E806" s="33"/>
      <c r="F806" s="33"/>
      <c r="G806" s="33"/>
      <c r="H806" s="33"/>
      <c r="I806" s="33"/>
      <c r="J806" s="33"/>
      <c r="K806" s="33"/>
      <c r="L806" s="33"/>
    </row>
    <row r="807">
      <c r="A807" s="33"/>
      <c r="B807" s="33"/>
      <c r="C807" s="33"/>
      <c r="D807" s="33"/>
      <c r="E807" s="33"/>
      <c r="F807" s="33"/>
      <c r="G807" s="33"/>
      <c r="H807" s="33"/>
      <c r="I807" s="33"/>
      <c r="J807" s="33"/>
      <c r="K807" s="33"/>
      <c r="L807" s="33"/>
    </row>
    <row r="808">
      <c r="A808" s="33"/>
      <c r="B808" s="33"/>
      <c r="C808" s="33"/>
      <c r="D808" s="33"/>
      <c r="E808" s="33"/>
      <c r="F808" s="33"/>
      <c r="G808" s="33"/>
      <c r="H808" s="33"/>
      <c r="I808" s="33"/>
      <c r="J808" s="33"/>
      <c r="K808" s="33"/>
      <c r="L808" s="33"/>
    </row>
    <row r="809">
      <c r="A809" s="33"/>
      <c r="B809" s="33"/>
      <c r="C809" s="33"/>
      <c r="D809" s="33"/>
      <c r="E809" s="33"/>
      <c r="F809" s="33"/>
      <c r="G809" s="33"/>
      <c r="H809" s="33"/>
      <c r="I809" s="33"/>
      <c r="J809" s="33"/>
      <c r="K809" s="33"/>
      <c r="L809" s="33"/>
    </row>
    <row r="810">
      <c r="A810" s="33"/>
      <c r="B810" s="33"/>
      <c r="C810" s="33"/>
      <c r="D810" s="33"/>
      <c r="E810" s="33"/>
      <c r="F810" s="33"/>
      <c r="G810" s="33"/>
      <c r="H810" s="33"/>
      <c r="I810" s="33"/>
      <c r="J810" s="33"/>
      <c r="K810" s="33"/>
      <c r="L810" s="33"/>
    </row>
    <row r="811">
      <c r="A811" s="33"/>
      <c r="B811" s="33"/>
      <c r="C811" s="33"/>
      <c r="D811" s="33"/>
      <c r="E811" s="33"/>
      <c r="F811" s="33"/>
      <c r="G811" s="33"/>
      <c r="H811" s="33"/>
      <c r="I811" s="33"/>
      <c r="J811" s="33"/>
      <c r="K811" s="33"/>
      <c r="L811" s="33"/>
    </row>
    <row r="812">
      <c r="A812" s="33"/>
      <c r="B812" s="33"/>
      <c r="C812" s="33"/>
      <c r="D812" s="33"/>
      <c r="E812" s="33"/>
      <c r="F812" s="33"/>
      <c r="G812" s="33"/>
      <c r="H812" s="33"/>
      <c r="I812" s="33"/>
      <c r="J812" s="33"/>
      <c r="K812" s="33"/>
      <c r="L812" s="33"/>
    </row>
    <row r="813">
      <c r="A813" s="33"/>
      <c r="B813" s="33"/>
      <c r="C813" s="33"/>
      <c r="D813" s="33"/>
      <c r="E813" s="33"/>
      <c r="F813" s="33"/>
      <c r="G813" s="33"/>
      <c r="H813" s="33"/>
      <c r="I813" s="33"/>
      <c r="J813" s="33"/>
      <c r="K813" s="33"/>
      <c r="L813" s="33"/>
    </row>
    <row r="814">
      <c r="A814" s="33"/>
      <c r="B814" s="33"/>
      <c r="C814" s="33"/>
      <c r="D814" s="33"/>
      <c r="E814" s="33"/>
      <c r="F814" s="33"/>
      <c r="G814" s="33"/>
      <c r="H814" s="33"/>
      <c r="I814" s="33"/>
      <c r="J814" s="33"/>
      <c r="K814" s="33"/>
      <c r="L814" s="33"/>
    </row>
    <row r="815">
      <c r="A815" s="33"/>
      <c r="B815" s="33"/>
      <c r="C815" s="33"/>
      <c r="D815" s="33"/>
      <c r="E815" s="33"/>
      <c r="F815" s="33"/>
      <c r="G815" s="33"/>
      <c r="H815" s="33"/>
      <c r="I815" s="33"/>
      <c r="J815" s="33"/>
      <c r="K815" s="33"/>
      <c r="L815" s="33"/>
    </row>
    <row r="816">
      <c r="A816" s="33"/>
      <c r="B816" s="33"/>
      <c r="C816" s="33"/>
      <c r="D816" s="33"/>
      <c r="E816" s="33"/>
      <c r="F816" s="33"/>
      <c r="G816" s="33"/>
      <c r="H816" s="33"/>
      <c r="I816" s="33"/>
      <c r="J816" s="33"/>
      <c r="K816" s="33"/>
      <c r="L816" s="33"/>
    </row>
    <row r="817">
      <c r="A817" s="33"/>
      <c r="B817" s="33"/>
      <c r="C817" s="33"/>
      <c r="D817" s="33"/>
      <c r="E817" s="33"/>
      <c r="F817" s="33"/>
      <c r="G817" s="33"/>
      <c r="H817" s="33"/>
      <c r="I817" s="33"/>
      <c r="J817" s="33"/>
      <c r="K817" s="33"/>
      <c r="L817" s="33"/>
    </row>
    <row r="818">
      <c r="A818" s="33"/>
      <c r="B818" s="33"/>
      <c r="C818" s="33"/>
      <c r="D818" s="33"/>
      <c r="E818" s="33"/>
      <c r="F818" s="33"/>
      <c r="G818" s="33"/>
      <c r="H818" s="33"/>
      <c r="I818" s="33"/>
      <c r="J818" s="33"/>
      <c r="K818" s="33"/>
      <c r="L818" s="33"/>
    </row>
    <row r="819">
      <c r="A819" s="33"/>
      <c r="B819" s="33"/>
      <c r="C819" s="33"/>
      <c r="D819" s="33"/>
      <c r="E819" s="33"/>
      <c r="F819" s="33"/>
      <c r="G819" s="33"/>
      <c r="H819" s="33"/>
      <c r="I819" s="33"/>
      <c r="J819" s="33"/>
      <c r="K819" s="33"/>
      <c r="L819" s="33"/>
    </row>
    <row r="820">
      <c r="A820" s="33"/>
      <c r="B820" s="33"/>
      <c r="C820" s="33"/>
      <c r="D820" s="33"/>
      <c r="E820" s="33"/>
      <c r="F820" s="33"/>
      <c r="G820" s="33"/>
      <c r="H820" s="33"/>
      <c r="I820" s="33"/>
      <c r="J820" s="33"/>
      <c r="K820" s="33"/>
      <c r="L820" s="33"/>
    </row>
    <row r="821">
      <c r="A821" s="33"/>
      <c r="B821" s="33"/>
      <c r="C821" s="33"/>
      <c r="D821" s="33"/>
      <c r="E821" s="33"/>
      <c r="F821" s="33"/>
      <c r="G821" s="33"/>
      <c r="H821" s="33"/>
      <c r="I821" s="33"/>
      <c r="J821" s="33"/>
      <c r="K821" s="33"/>
      <c r="L821" s="33"/>
    </row>
    <row r="822">
      <c r="A822" s="33"/>
      <c r="B822" s="33"/>
      <c r="C822" s="33"/>
      <c r="D822" s="33"/>
      <c r="E822" s="33"/>
      <c r="F822" s="33"/>
      <c r="G822" s="33"/>
      <c r="H822" s="33"/>
      <c r="I822" s="33"/>
      <c r="J822" s="33"/>
      <c r="K822" s="33"/>
      <c r="L822" s="33"/>
    </row>
    <row r="823">
      <c r="A823" s="33"/>
      <c r="B823" s="33"/>
      <c r="C823" s="33"/>
      <c r="D823" s="33"/>
      <c r="E823" s="33"/>
      <c r="F823" s="33"/>
      <c r="G823" s="33"/>
      <c r="H823" s="33"/>
      <c r="I823" s="33"/>
      <c r="J823" s="33"/>
      <c r="K823" s="33"/>
      <c r="L823" s="33"/>
    </row>
    <row r="824">
      <c r="A824" s="33"/>
      <c r="B824" s="33"/>
      <c r="C824" s="33"/>
      <c r="D824" s="33"/>
      <c r="E824" s="33"/>
      <c r="F824" s="33"/>
      <c r="G824" s="33"/>
      <c r="H824" s="33"/>
      <c r="I824" s="33"/>
      <c r="J824" s="33"/>
      <c r="K824" s="33"/>
      <c r="L824" s="33"/>
    </row>
    <row r="825">
      <c r="A825" s="33"/>
      <c r="B825" s="33"/>
      <c r="C825" s="33"/>
      <c r="D825" s="33"/>
      <c r="E825" s="33"/>
      <c r="F825" s="33"/>
      <c r="G825" s="33"/>
      <c r="H825" s="33"/>
      <c r="I825" s="33"/>
      <c r="J825" s="33"/>
      <c r="K825" s="33"/>
      <c r="L825" s="33"/>
    </row>
    <row r="826">
      <c r="A826" s="33"/>
      <c r="B826" s="33"/>
      <c r="C826" s="33"/>
      <c r="D826" s="33"/>
      <c r="E826" s="33"/>
      <c r="F826" s="33"/>
      <c r="G826" s="33"/>
      <c r="H826" s="33"/>
      <c r="I826" s="33"/>
      <c r="J826" s="33"/>
      <c r="K826" s="33"/>
      <c r="L826" s="33"/>
    </row>
    <row r="827">
      <c r="A827" s="33"/>
      <c r="B827" s="33"/>
      <c r="C827" s="33"/>
      <c r="D827" s="33"/>
      <c r="E827" s="33"/>
      <c r="F827" s="33"/>
      <c r="G827" s="33"/>
      <c r="H827" s="33"/>
      <c r="I827" s="33"/>
      <c r="J827" s="33"/>
      <c r="K827" s="33"/>
      <c r="L827" s="33"/>
    </row>
    <row r="828">
      <c r="A828" s="33"/>
      <c r="B828" s="33"/>
      <c r="C828" s="33"/>
      <c r="D828" s="33"/>
      <c r="E828" s="33"/>
      <c r="F828" s="33"/>
      <c r="G828" s="33"/>
      <c r="H828" s="33"/>
      <c r="I828" s="33"/>
      <c r="J828" s="33"/>
      <c r="K828" s="33"/>
      <c r="L828" s="33"/>
    </row>
    <row r="829">
      <c r="A829" s="33"/>
      <c r="B829" s="33"/>
      <c r="C829" s="33"/>
      <c r="D829" s="33"/>
      <c r="E829" s="33"/>
      <c r="F829" s="33"/>
      <c r="G829" s="33"/>
      <c r="H829" s="33"/>
      <c r="I829" s="33"/>
      <c r="J829" s="33"/>
      <c r="K829" s="33"/>
      <c r="L829" s="33"/>
    </row>
    <row r="830">
      <c r="A830" s="33"/>
      <c r="B830" s="33"/>
      <c r="C830" s="33"/>
      <c r="D830" s="33"/>
      <c r="E830" s="33"/>
      <c r="F830" s="33"/>
      <c r="G830" s="33"/>
      <c r="H830" s="33"/>
      <c r="I830" s="33"/>
      <c r="J830" s="33"/>
      <c r="K830" s="33"/>
      <c r="L830" s="33"/>
    </row>
    <row r="831">
      <c r="A831" s="33"/>
      <c r="B831" s="33"/>
      <c r="C831" s="33"/>
      <c r="D831" s="33"/>
      <c r="E831" s="33"/>
      <c r="F831" s="33"/>
      <c r="G831" s="33"/>
      <c r="H831" s="33"/>
      <c r="I831" s="33"/>
      <c r="J831" s="33"/>
      <c r="K831" s="33"/>
      <c r="L831" s="33"/>
    </row>
    <row r="832">
      <c r="A832" s="33"/>
      <c r="B832" s="33"/>
      <c r="C832" s="33"/>
      <c r="D832" s="33"/>
      <c r="E832" s="33"/>
      <c r="F832" s="33"/>
      <c r="G832" s="33"/>
      <c r="H832" s="33"/>
      <c r="I832" s="33"/>
      <c r="J832" s="33"/>
      <c r="K832" s="33"/>
      <c r="L832" s="33"/>
    </row>
    <row r="833">
      <c r="A833" s="33"/>
      <c r="B833" s="33"/>
      <c r="C833" s="33"/>
      <c r="D833" s="33"/>
      <c r="E833" s="33"/>
      <c r="F833" s="33"/>
      <c r="G833" s="33"/>
      <c r="H833" s="33"/>
      <c r="I833" s="33"/>
      <c r="J833" s="33"/>
      <c r="K833" s="33"/>
      <c r="L833" s="33"/>
    </row>
    <row r="834">
      <c r="A834" s="33"/>
      <c r="B834" s="33"/>
      <c r="C834" s="33"/>
      <c r="D834" s="33"/>
      <c r="E834" s="33"/>
      <c r="F834" s="33"/>
      <c r="G834" s="33"/>
      <c r="H834" s="33"/>
      <c r="I834" s="33"/>
      <c r="J834" s="33"/>
      <c r="K834" s="33"/>
      <c r="L834" s="33"/>
    </row>
    <row r="835">
      <c r="A835" s="33"/>
      <c r="B835" s="33"/>
      <c r="C835" s="33"/>
      <c r="D835" s="33"/>
      <c r="E835" s="33"/>
      <c r="F835" s="33"/>
      <c r="G835" s="33"/>
      <c r="H835" s="33"/>
      <c r="I835" s="33"/>
      <c r="J835" s="33"/>
      <c r="K835" s="33"/>
      <c r="L835" s="33"/>
    </row>
    <row r="836">
      <c r="A836" s="33"/>
      <c r="B836" s="33"/>
      <c r="C836" s="33"/>
      <c r="D836" s="33"/>
      <c r="E836" s="33"/>
      <c r="F836" s="33"/>
      <c r="G836" s="33"/>
      <c r="H836" s="33"/>
      <c r="I836" s="33"/>
      <c r="J836" s="33"/>
      <c r="K836" s="33"/>
      <c r="L836" s="33"/>
    </row>
    <row r="837">
      <c r="A837" s="33"/>
      <c r="B837" s="33"/>
      <c r="C837" s="33"/>
      <c r="D837" s="33"/>
      <c r="E837" s="33"/>
      <c r="F837" s="33"/>
      <c r="G837" s="33"/>
      <c r="H837" s="33"/>
      <c r="I837" s="33"/>
      <c r="J837" s="33"/>
      <c r="K837" s="33"/>
      <c r="L837" s="33"/>
    </row>
    <row r="838">
      <c r="A838" s="33"/>
      <c r="B838" s="33"/>
      <c r="C838" s="33"/>
      <c r="D838" s="33"/>
      <c r="E838" s="33"/>
      <c r="F838" s="33"/>
      <c r="G838" s="33"/>
      <c r="H838" s="33"/>
      <c r="I838" s="33"/>
      <c r="J838" s="33"/>
      <c r="K838" s="33"/>
      <c r="L838" s="33"/>
    </row>
    <row r="839">
      <c r="A839" s="33"/>
      <c r="B839" s="33"/>
      <c r="C839" s="33"/>
      <c r="D839" s="33"/>
      <c r="E839" s="33"/>
      <c r="F839" s="33"/>
      <c r="G839" s="33"/>
      <c r="H839" s="33"/>
      <c r="I839" s="33"/>
      <c r="J839" s="33"/>
      <c r="K839" s="33"/>
      <c r="L839" s="33"/>
    </row>
    <row r="840">
      <c r="A840" s="33"/>
      <c r="B840" s="33"/>
      <c r="C840" s="33"/>
      <c r="D840" s="33"/>
      <c r="E840" s="33"/>
      <c r="F840" s="33"/>
      <c r="G840" s="33"/>
      <c r="H840" s="33"/>
      <c r="I840" s="33"/>
      <c r="J840" s="33"/>
      <c r="K840" s="33"/>
      <c r="L840" s="33"/>
    </row>
    <row r="841">
      <c r="A841" s="33"/>
      <c r="B841" s="33"/>
      <c r="C841" s="33"/>
      <c r="D841" s="33"/>
      <c r="E841" s="33"/>
      <c r="F841" s="33"/>
      <c r="G841" s="33"/>
      <c r="H841" s="33"/>
      <c r="I841" s="33"/>
      <c r="J841" s="33"/>
      <c r="K841" s="33"/>
      <c r="L841" s="33"/>
    </row>
    <row r="842">
      <c r="A842" s="33"/>
      <c r="B842" s="33"/>
      <c r="C842" s="33"/>
      <c r="D842" s="33"/>
      <c r="E842" s="33"/>
      <c r="F842" s="33"/>
      <c r="G842" s="33"/>
      <c r="H842" s="33"/>
      <c r="I842" s="33"/>
      <c r="J842" s="33"/>
      <c r="K842" s="33"/>
      <c r="L842" s="33"/>
    </row>
    <row r="843">
      <c r="A843" s="33"/>
      <c r="B843" s="33"/>
      <c r="C843" s="33"/>
      <c r="D843" s="33"/>
      <c r="E843" s="33"/>
      <c r="F843" s="33"/>
      <c r="G843" s="33"/>
      <c r="H843" s="33"/>
      <c r="I843" s="33"/>
      <c r="J843" s="33"/>
      <c r="K843" s="33"/>
      <c r="L843" s="33"/>
    </row>
    <row r="844">
      <c r="A844" s="33"/>
      <c r="B844" s="33"/>
      <c r="C844" s="33"/>
      <c r="D844" s="33"/>
      <c r="E844" s="33"/>
      <c r="F844" s="33"/>
      <c r="G844" s="33"/>
      <c r="H844" s="33"/>
      <c r="I844" s="33"/>
      <c r="J844" s="33"/>
      <c r="K844" s="33"/>
      <c r="L844" s="33"/>
    </row>
    <row r="845">
      <c r="A845" s="33"/>
      <c r="B845" s="33"/>
      <c r="C845" s="33"/>
      <c r="D845" s="33"/>
      <c r="E845" s="33"/>
      <c r="F845" s="33"/>
      <c r="G845" s="33"/>
      <c r="H845" s="33"/>
      <c r="I845" s="33"/>
      <c r="J845" s="33"/>
      <c r="K845" s="33"/>
      <c r="L845" s="33"/>
    </row>
    <row r="846">
      <c r="A846" s="33"/>
      <c r="B846" s="33"/>
      <c r="C846" s="33"/>
      <c r="D846" s="33"/>
      <c r="E846" s="33"/>
      <c r="F846" s="33"/>
      <c r="G846" s="33"/>
      <c r="H846" s="33"/>
      <c r="I846" s="33"/>
      <c r="J846" s="33"/>
      <c r="K846" s="33"/>
      <c r="L846" s="33"/>
    </row>
    <row r="847">
      <c r="A847" s="33"/>
      <c r="B847" s="33"/>
      <c r="C847" s="33"/>
      <c r="D847" s="33"/>
      <c r="E847" s="33"/>
      <c r="F847" s="33"/>
      <c r="G847" s="33"/>
      <c r="H847" s="33"/>
      <c r="I847" s="33"/>
      <c r="J847" s="33"/>
      <c r="K847" s="33"/>
      <c r="L847" s="33"/>
    </row>
    <row r="848">
      <c r="A848" s="33"/>
      <c r="B848" s="33"/>
      <c r="C848" s="33"/>
      <c r="D848" s="33"/>
      <c r="E848" s="33"/>
      <c r="F848" s="33"/>
      <c r="G848" s="33"/>
      <c r="H848" s="33"/>
      <c r="I848" s="33"/>
      <c r="J848" s="33"/>
      <c r="K848" s="33"/>
      <c r="L848" s="33"/>
    </row>
    <row r="849">
      <c r="A849" s="33"/>
      <c r="B849" s="33"/>
      <c r="C849" s="33"/>
      <c r="D849" s="33"/>
      <c r="E849" s="33"/>
      <c r="F849" s="33"/>
      <c r="G849" s="33"/>
      <c r="H849" s="33"/>
      <c r="I849" s="33"/>
      <c r="J849" s="33"/>
      <c r="K849" s="33"/>
      <c r="L849" s="33"/>
    </row>
    <row r="850">
      <c r="A850" s="33"/>
      <c r="B850" s="33"/>
      <c r="C850" s="33"/>
      <c r="D850" s="33"/>
      <c r="E850" s="33"/>
      <c r="F850" s="33"/>
      <c r="G850" s="33"/>
      <c r="H850" s="33"/>
      <c r="I850" s="33"/>
      <c r="J850" s="33"/>
      <c r="K850" s="33"/>
      <c r="L850" s="33"/>
    </row>
    <row r="851">
      <c r="A851" s="33"/>
      <c r="B851" s="33"/>
      <c r="C851" s="33"/>
      <c r="D851" s="33"/>
      <c r="E851" s="33"/>
      <c r="F851" s="33"/>
      <c r="G851" s="33"/>
      <c r="H851" s="33"/>
      <c r="I851" s="33"/>
      <c r="J851" s="33"/>
      <c r="K851" s="33"/>
      <c r="L851" s="33"/>
    </row>
    <row r="852">
      <c r="A852" s="33"/>
      <c r="B852" s="33"/>
      <c r="C852" s="33"/>
      <c r="D852" s="33"/>
      <c r="E852" s="33"/>
      <c r="F852" s="33"/>
      <c r="G852" s="33"/>
      <c r="H852" s="33"/>
      <c r="I852" s="33"/>
      <c r="J852" s="33"/>
      <c r="K852" s="33"/>
      <c r="L852" s="33"/>
    </row>
    <row r="853">
      <c r="A853" s="33"/>
      <c r="B853" s="33"/>
      <c r="C853" s="33"/>
      <c r="D853" s="33"/>
      <c r="E853" s="33"/>
      <c r="F853" s="33"/>
      <c r="G853" s="33"/>
      <c r="H853" s="33"/>
      <c r="I853" s="33"/>
      <c r="J853" s="33"/>
      <c r="K853" s="33"/>
      <c r="L853" s="33"/>
    </row>
    <row r="854">
      <c r="A854" s="33"/>
      <c r="B854" s="33"/>
      <c r="C854" s="33"/>
      <c r="D854" s="33"/>
      <c r="E854" s="33"/>
      <c r="F854" s="33"/>
      <c r="G854" s="33"/>
      <c r="H854" s="33"/>
      <c r="I854" s="33"/>
      <c r="J854" s="33"/>
      <c r="K854" s="33"/>
      <c r="L854" s="33"/>
    </row>
    <row r="855">
      <c r="A855" s="33"/>
      <c r="B855" s="33"/>
      <c r="C855" s="33"/>
      <c r="D855" s="33"/>
      <c r="E855" s="33"/>
      <c r="F855" s="33"/>
      <c r="G855" s="33"/>
      <c r="H855" s="33"/>
      <c r="I855" s="33"/>
      <c r="J855" s="33"/>
      <c r="K855" s="33"/>
      <c r="L855" s="33"/>
    </row>
    <row r="856">
      <c r="A856" s="33"/>
      <c r="B856" s="33"/>
      <c r="C856" s="33"/>
      <c r="D856" s="33"/>
      <c r="E856" s="33"/>
      <c r="F856" s="33"/>
      <c r="G856" s="33"/>
      <c r="H856" s="33"/>
      <c r="I856" s="33"/>
      <c r="J856" s="33"/>
      <c r="K856" s="33"/>
      <c r="L856" s="33"/>
    </row>
    <row r="857">
      <c r="A857" s="33"/>
      <c r="B857" s="33"/>
      <c r="C857" s="33"/>
      <c r="D857" s="33"/>
      <c r="E857" s="33"/>
      <c r="F857" s="33"/>
      <c r="G857" s="33"/>
      <c r="H857" s="33"/>
      <c r="I857" s="33"/>
      <c r="J857" s="33"/>
      <c r="K857" s="33"/>
      <c r="L857" s="33"/>
    </row>
    <row r="858">
      <c r="A858" s="33"/>
      <c r="B858" s="33"/>
      <c r="C858" s="33"/>
      <c r="D858" s="33"/>
      <c r="E858" s="33"/>
      <c r="F858" s="33"/>
      <c r="G858" s="33"/>
      <c r="H858" s="33"/>
      <c r="I858" s="33"/>
      <c r="J858" s="33"/>
      <c r="K858" s="33"/>
      <c r="L858" s="33"/>
    </row>
    <row r="859">
      <c r="A859" s="33"/>
      <c r="B859" s="33"/>
      <c r="C859" s="33"/>
      <c r="D859" s="33"/>
      <c r="E859" s="33"/>
      <c r="F859" s="33"/>
      <c r="G859" s="33"/>
      <c r="H859" s="33"/>
      <c r="I859" s="33"/>
      <c r="J859" s="33"/>
      <c r="K859" s="33"/>
      <c r="L859" s="33"/>
    </row>
    <row r="860">
      <c r="A860" s="33"/>
      <c r="B860" s="33"/>
      <c r="C860" s="33"/>
      <c r="D860" s="33"/>
      <c r="E860" s="33"/>
      <c r="F860" s="33"/>
      <c r="G860" s="33"/>
      <c r="H860" s="33"/>
      <c r="I860" s="33"/>
      <c r="J860" s="33"/>
      <c r="K860" s="33"/>
      <c r="L860" s="33"/>
    </row>
    <row r="861">
      <c r="A861" s="33"/>
      <c r="B861" s="33"/>
      <c r="C861" s="33"/>
      <c r="D861" s="33"/>
      <c r="E861" s="33"/>
      <c r="F861" s="33"/>
      <c r="G861" s="33"/>
      <c r="H861" s="33"/>
      <c r="I861" s="33"/>
      <c r="J861" s="33"/>
      <c r="K861" s="33"/>
      <c r="L861" s="33"/>
    </row>
    <row r="862">
      <c r="A862" s="33"/>
      <c r="B862" s="33"/>
      <c r="C862" s="33"/>
      <c r="D862" s="33"/>
      <c r="E862" s="33"/>
      <c r="F862" s="33"/>
      <c r="G862" s="33"/>
      <c r="H862" s="33"/>
      <c r="I862" s="33"/>
      <c r="J862" s="33"/>
      <c r="K862" s="33"/>
      <c r="L862" s="33"/>
    </row>
    <row r="863">
      <c r="A863" s="33"/>
      <c r="B863" s="33"/>
      <c r="C863" s="33"/>
      <c r="D863" s="33"/>
      <c r="E863" s="33"/>
      <c r="F863" s="33"/>
      <c r="G863" s="33"/>
      <c r="H863" s="33"/>
      <c r="I863" s="33"/>
      <c r="J863" s="33"/>
      <c r="K863" s="33"/>
      <c r="L863" s="33"/>
    </row>
    <row r="864">
      <c r="A864" s="33"/>
      <c r="B864" s="33"/>
      <c r="C864" s="33"/>
      <c r="D864" s="33"/>
      <c r="E864" s="33"/>
      <c r="F864" s="33"/>
      <c r="G864" s="33"/>
      <c r="H864" s="33"/>
      <c r="I864" s="33"/>
      <c r="J864" s="33"/>
      <c r="K864" s="33"/>
      <c r="L864" s="33"/>
    </row>
    <row r="865">
      <c r="A865" s="33"/>
      <c r="B865" s="33"/>
      <c r="C865" s="33"/>
      <c r="D865" s="33"/>
      <c r="E865" s="33"/>
      <c r="F865" s="33"/>
      <c r="G865" s="33"/>
      <c r="H865" s="33"/>
      <c r="I865" s="33"/>
      <c r="J865" s="33"/>
      <c r="K865" s="33"/>
      <c r="L865" s="33"/>
    </row>
    <row r="866">
      <c r="A866" s="33"/>
      <c r="B866" s="33"/>
      <c r="C866" s="33"/>
      <c r="D866" s="33"/>
      <c r="E866" s="33"/>
      <c r="F866" s="33"/>
      <c r="G866" s="33"/>
      <c r="H866" s="33"/>
      <c r="I866" s="33"/>
      <c r="J866" s="33"/>
      <c r="K866" s="33"/>
      <c r="L866" s="33"/>
    </row>
    <row r="867">
      <c r="A867" s="33"/>
      <c r="B867" s="33"/>
      <c r="C867" s="33"/>
      <c r="D867" s="33"/>
      <c r="E867" s="33"/>
      <c r="F867" s="33"/>
      <c r="G867" s="33"/>
      <c r="H867" s="33"/>
      <c r="I867" s="33"/>
      <c r="J867" s="33"/>
      <c r="K867" s="33"/>
      <c r="L867" s="33"/>
    </row>
    <row r="868">
      <c r="A868" s="33"/>
      <c r="B868" s="33"/>
      <c r="C868" s="33"/>
      <c r="D868" s="33"/>
      <c r="E868" s="33"/>
      <c r="F868" s="33"/>
      <c r="G868" s="33"/>
      <c r="H868" s="33"/>
      <c r="I868" s="33"/>
      <c r="J868" s="33"/>
      <c r="K868" s="33"/>
      <c r="L868" s="33"/>
    </row>
    <row r="869">
      <c r="A869" s="33"/>
      <c r="B869" s="33"/>
      <c r="C869" s="33"/>
      <c r="D869" s="33"/>
      <c r="E869" s="33"/>
      <c r="F869" s="33"/>
      <c r="G869" s="33"/>
      <c r="H869" s="33"/>
      <c r="I869" s="33"/>
      <c r="J869" s="33"/>
      <c r="K869" s="33"/>
      <c r="L869" s="33"/>
    </row>
    <row r="870">
      <c r="A870" s="33"/>
      <c r="B870" s="33"/>
      <c r="C870" s="33"/>
      <c r="D870" s="33"/>
      <c r="E870" s="33"/>
      <c r="F870" s="33"/>
      <c r="G870" s="33"/>
      <c r="H870" s="33"/>
      <c r="I870" s="33"/>
      <c r="J870" s="33"/>
      <c r="K870" s="33"/>
      <c r="L870" s="33"/>
    </row>
    <row r="871">
      <c r="A871" s="33"/>
      <c r="B871" s="33"/>
      <c r="C871" s="33"/>
      <c r="D871" s="33"/>
      <c r="E871" s="33"/>
      <c r="F871" s="33"/>
      <c r="G871" s="33"/>
      <c r="H871" s="33"/>
      <c r="I871" s="33"/>
      <c r="J871" s="33"/>
      <c r="K871" s="33"/>
      <c r="L871" s="33"/>
    </row>
    <row r="872">
      <c r="A872" s="33"/>
      <c r="B872" s="33"/>
      <c r="C872" s="33"/>
      <c r="D872" s="33"/>
      <c r="E872" s="33"/>
      <c r="F872" s="33"/>
      <c r="G872" s="33"/>
      <c r="H872" s="33"/>
      <c r="I872" s="33"/>
      <c r="J872" s="33"/>
      <c r="K872" s="33"/>
      <c r="L872" s="33"/>
    </row>
    <row r="873">
      <c r="A873" s="33"/>
      <c r="B873" s="33"/>
      <c r="C873" s="33"/>
      <c r="D873" s="33"/>
      <c r="E873" s="33"/>
      <c r="F873" s="33"/>
      <c r="G873" s="33"/>
      <c r="H873" s="33"/>
      <c r="I873" s="33"/>
      <c r="J873" s="33"/>
      <c r="K873" s="33"/>
      <c r="L873" s="33"/>
    </row>
    <row r="874">
      <c r="A874" s="33"/>
      <c r="B874" s="33"/>
      <c r="C874" s="33"/>
      <c r="D874" s="33"/>
      <c r="E874" s="33"/>
      <c r="F874" s="33"/>
      <c r="G874" s="33"/>
      <c r="H874" s="33"/>
      <c r="I874" s="33"/>
      <c r="J874" s="33"/>
      <c r="K874" s="33"/>
      <c r="L874" s="33"/>
    </row>
    <row r="875">
      <c r="A875" s="33"/>
      <c r="B875" s="33"/>
      <c r="C875" s="33"/>
      <c r="D875" s="33"/>
      <c r="E875" s="33"/>
      <c r="F875" s="33"/>
      <c r="G875" s="33"/>
      <c r="H875" s="33"/>
      <c r="I875" s="33"/>
      <c r="J875" s="33"/>
      <c r="K875" s="33"/>
      <c r="L875" s="33"/>
    </row>
    <row r="876">
      <c r="A876" s="33"/>
      <c r="B876" s="33"/>
      <c r="C876" s="33"/>
      <c r="D876" s="33"/>
      <c r="E876" s="33"/>
      <c r="F876" s="33"/>
      <c r="G876" s="33"/>
      <c r="H876" s="33"/>
      <c r="I876" s="33"/>
      <c r="J876" s="33"/>
      <c r="K876" s="33"/>
      <c r="L876" s="33"/>
    </row>
    <row r="877">
      <c r="A877" s="33"/>
      <c r="B877" s="33"/>
      <c r="C877" s="33"/>
      <c r="D877" s="33"/>
      <c r="E877" s="33"/>
      <c r="F877" s="33"/>
      <c r="G877" s="33"/>
      <c r="H877" s="33"/>
      <c r="I877" s="33"/>
      <c r="J877" s="33"/>
      <c r="K877" s="33"/>
      <c r="L877" s="33"/>
    </row>
    <row r="878">
      <c r="A878" s="33"/>
      <c r="B878" s="33"/>
      <c r="C878" s="33"/>
      <c r="D878" s="33"/>
      <c r="E878" s="33"/>
      <c r="F878" s="33"/>
      <c r="G878" s="33"/>
      <c r="H878" s="33"/>
      <c r="I878" s="33"/>
      <c r="J878" s="33"/>
      <c r="K878" s="33"/>
      <c r="L878" s="33"/>
    </row>
    <row r="879">
      <c r="A879" s="33"/>
      <c r="B879" s="33"/>
      <c r="C879" s="33"/>
      <c r="D879" s="33"/>
      <c r="E879" s="33"/>
      <c r="F879" s="33"/>
      <c r="G879" s="33"/>
      <c r="H879" s="33"/>
      <c r="I879" s="33"/>
      <c r="J879" s="33"/>
      <c r="K879" s="33"/>
      <c r="L879" s="33"/>
    </row>
    <row r="880">
      <c r="A880" s="33"/>
      <c r="B880" s="33"/>
      <c r="C880" s="33"/>
      <c r="D880" s="33"/>
      <c r="E880" s="33"/>
      <c r="F880" s="33"/>
      <c r="G880" s="33"/>
      <c r="H880" s="33"/>
      <c r="I880" s="33"/>
      <c r="J880" s="33"/>
      <c r="K880" s="33"/>
      <c r="L880" s="33"/>
    </row>
    <row r="881">
      <c r="A881" s="33"/>
      <c r="B881" s="33"/>
      <c r="C881" s="33"/>
      <c r="D881" s="33"/>
      <c r="E881" s="33"/>
      <c r="F881" s="33"/>
      <c r="G881" s="33"/>
      <c r="H881" s="33"/>
      <c r="I881" s="33"/>
      <c r="J881" s="33"/>
      <c r="K881" s="33"/>
      <c r="L881" s="33"/>
    </row>
    <row r="882">
      <c r="A882" s="33"/>
      <c r="B882" s="33"/>
      <c r="C882" s="33"/>
      <c r="D882" s="33"/>
      <c r="E882" s="33"/>
      <c r="F882" s="33"/>
      <c r="G882" s="33"/>
      <c r="H882" s="33"/>
      <c r="I882" s="33"/>
      <c r="J882" s="33"/>
      <c r="K882" s="33"/>
      <c r="L882" s="33"/>
    </row>
    <row r="883">
      <c r="A883" s="33"/>
      <c r="B883" s="33"/>
      <c r="C883" s="33"/>
      <c r="D883" s="33"/>
      <c r="E883" s="33"/>
      <c r="F883" s="33"/>
      <c r="G883" s="33"/>
      <c r="H883" s="33"/>
      <c r="I883" s="33"/>
      <c r="J883" s="33"/>
      <c r="K883" s="33"/>
      <c r="L883" s="33"/>
    </row>
    <row r="884">
      <c r="A884" s="33"/>
      <c r="B884" s="33"/>
      <c r="C884" s="33"/>
      <c r="D884" s="33"/>
      <c r="E884" s="33"/>
      <c r="F884" s="33"/>
      <c r="G884" s="33"/>
      <c r="H884" s="33"/>
      <c r="I884" s="33"/>
      <c r="J884" s="33"/>
      <c r="K884" s="33"/>
      <c r="L884" s="33"/>
    </row>
    <row r="885">
      <c r="A885" s="33"/>
      <c r="B885" s="33"/>
      <c r="C885" s="33"/>
      <c r="D885" s="33"/>
      <c r="E885" s="33"/>
      <c r="F885" s="33"/>
      <c r="G885" s="33"/>
      <c r="H885" s="33"/>
      <c r="I885" s="33"/>
      <c r="J885" s="33"/>
      <c r="K885" s="33"/>
      <c r="L885" s="33"/>
    </row>
    <row r="886">
      <c r="A886" s="33"/>
      <c r="B886" s="33"/>
      <c r="C886" s="33"/>
      <c r="D886" s="33"/>
      <c r="E886" s="33"/>
      <c r="F886" s="33"/>
      <c r="G886" s="33"/>
      <c r="H886" s="33"/>
      <c r="I886" s="33"/>
      <c r="J886" s="33"/>
      <c r="K886" s="33"/>
      <c r="L886" s="33"/>
    </row>
    <row r="887">
      <c r="A887" s="33"/>
      <c r="B887" s="33"/>
      <c r="C887" s="33"/>
      <c r="D887" s="33"/>
      <c r="E887" s="33"/>
      <c r="F887" s="33"/>
      <c r="G887" s="33"/>
      <c r="H887" s="33"/>
      <c r="I887" s="33"/>
      <c r="J887" s="33"/>
      <c r="K887" s="33"/>
      <c r="L887" s="33"/>
    </row>
    <row r="888">
      <c r="A888" s="33"/>
      <c r="B888" s="33"/>
      <c r="C888" s="33"/>
      <c r="D888" s="33"/>
      <c r="E888" s="33"/>
      <c r="F888" s="33"/>
      <c r="G888" s="33"/>
      <c r="H888" s="33"/>
      <c r="I888" s="33"/>
      <c r="J888" s="33"/>
      <c r="K888" s="33"/>
      <c r="L888" s="33"/>
    </row>
    <row r="889">
      <c r="A889" s="33"/>
      <c r="B889" s="33"/>
      <c r="C889" s="33"/>
      <c r="D889" s="33"/>
      <c r="E889" s="33"/>
      <c r="F889" s="33"/>
      <c r="G889" s="33"/>
      <c r="H889" s="33"/>
      <c r="I889" s="33"/>
      <c r="J889" s="33"/>
      <c r="K889" s="33"/>
      <c r="L889" s="33"/>
    </row>
    <row r="890">
      <c r="A890" s="33"/>
      <c r="B890" s="33"/>
      <c r="C890" s="33"/>
      <c r="D890" s="33"/>
      <c r="E890" s="33"/>
      <c r="F890" s="33"/>
      <c r="G890" s="33"/>
      <c r="H890" s="33"/>
      <c r="I890" s="33"/>
      <c r="J890" s="33"/>
      <c r="K890" s="33"/>
      <c r="L890" s="33"/>
    </row>
    <row r="891">
      <c r="A891" s="33"/>
      <c r="B891" s="33"/>
      <c r="C891" s="33"/>
      <c r="D891" s="33"/>
      <c r="E891" s="33"/>
      <c r="F891" s="33"/>
      <c r="G891" s="33"/>
      <c r="H891" s="33"/>
      <c r="I891" s="33"/>
      <c r="J891" s="33"/>
      <c r="K891" s="33"/>
      <c r="L891" s="33"/>
    </row>
    <row r="892">
      <c r="A892" s="33"/>
      <c r="B892" s="33"/>
      <c r="C892" s="33"/>
      <c r="D892" s="33"/>
      <c r="E892" s="33"/>
      <c r="F892" s="33"/>
      <c r="G892" s="33"/>
      <c r="H892" s="33"/>
      <c r="I892" s="33"/>
      <c r="J892" s="33"/>
      <c r="K892" s="33"/>
      <c r="L892" s="33"/>
    </row>
    <row r="893">
      <c r="A893" s="33"/>
      <c r="B893" s="33"/>
      <c r="C893" s="33"/>
      <c r="D893" s="33"/>
      <c r="E893" s="33"/>
      <c r="F893" s="33"/>
      <c r="G893" s="33"/>
      <c r="H893" s="33"/>
      <c r="I893" s="33"/>
      <c r="J893" s="33"/>
      <c r="K893" s="33"/>
      <c r="L893" s="33"/>
    </row>
    <row r="894">
      <c r="A894" s="33"/>
      <c r="B894" s="33"/>
      <c r="C894" s="33"/>
      <c r="D894" s="33"/>
      <c r="E894" s="33"/>
      <c r="F894" s="33"/>
      <c r="G894" s="33"/>
      <c r="H894" s="33"/>
      <c r="I894" s="33"/>
      <c r="J894" s="33"/>
      <c r="K894" s="33"/>
      <c r="L894" s="33"/>
    </row>
    <row r="895">
      <c r="A895" s="33"/>
      <c r="B895" s="33"/>
      <c r="C895" s="33"/>
      <c r="D895" s="33"/>
      <c r="E895" s="33"/>
      <c r="F895" s="33"/>
      <c r="G895" s="33"/>
      <c r="H895" s="33"/>
      <c r="I895" s="33"/>
      <c r="J895" s="33"/>
      <c r="K895" s="33"/>
      <c r="L895" s="33"/>
    </row>
    <row r="896">
      <c r="A896" s="33"/>
      <c r="B896" s="33"/>
      <c r="C896" s="33"/>
      <c r="D896" s="33"/>
      <c r="E896" s="33"/>
      <c r="F896" s="33"/>
      <c r="G896" s="33"/>
      <c r="H896" s="33"/>
      <c r="I896" s="33"/>
      <c r="J896" s="33"/>
      <c r="K896" s="33"/>
      <c r="L896" s="33"/>
    </row>
    <row r="897">
      <c r="A897" s="33"/>
      <c r="B897" s="33"/>
      <c r="C897" s="33"/>
      <c r="D897" s="33"/>
      <c r="E897" s="33"/>
      <c r="F897" s="33"/>
      <c r="G897" s="33"/>
      <c r="H897" s="33"/>
      <c r="I897" s="33"/>
      <c r="J897" s="33"/>
      <c r="K897" s="33"/>
      <c r="L897" s="33"/>
    </row>
    <row r="898">
      <c r="A898" s="33"/>
      <c r="B898" s="33"/>
      <c r="C898" s="33"/>
      <c r="D898" s="33"/>
      <c r="E898" s="33"/>
      <c r="F898" s="33"/>
      <c r="G898" s="33"/>
      <c r="H898" s="33"/>
      <c r="I898" s="33"/>
      <c r="J898" s="33"/>
      <c r="K898" s="33"/>
      <c r="L898" s="33"/>
    </row>
    <row r="899">
      <c r="A899" s="33"/>
      <c r="B899" s="33"/>
      <c r="C899" s="33"/>
      <c r="D899" s="33"/>
      <c r="E899" s="33"/>
      <c r="F899" s="33"/>
      <c r="G899" s="33"/>
      <c r="H899" s="33"/>
      <c r="I899" s="33"/>
      <c r="J899" s="33"/>
      <c r="K899" s="33"/>
      <c r="L899" s="33"/>
    </row>
    <row r="900">
      <c r="A900" s="33"/>
      <c r="B900" s="33"/>
      <c r="C900" s="33"/>
      <c r="D900" s="33"/>
      <c r="E900" s="33"/>
      <c r="F900" s="33"/>
      <c r="G900" s="33"/>
      <c r="H900" s="33"/>
      <c r="I900" s="33"/>
      <c r="J900" s="33"/>
      <c r="K900" s="33"/>
      <c r="L900" s="33"/>
    </row>
    <row r="901">
      <c r="A901" s="33"/>
      <c r="B901" s="33"/>
      <c r="C901" s="33"/>
      <c r="D901" s="33"/>
      <c r="E901" s="33"/>
      <c r="F901" s="33"/>
      <c r="G901" s="33"/>
      <c r="H901" s="33"/>
      <c r="I901" s="33"/>
      <c r="J901" s="33"/>
      <c r="K901" s="33"/>
      <c r="L901" s="33"/>
    </row>
    <row r="902">
      <c r="A902" s="33"/>
      <c r="B902" s="33"/>
      <c r="C902" s="33"/>
      <c r="D902" s="33"/>
      <c r="E902" s="33"/>
      <c r="F902" s="33"/>
      <c r="G902" s="33"/>
      <c r="H902" s="33"/>
      <c r="I902" s="33"/>
      <c r="J902" s="33"/>
      <c r="K902" s="33"/>
      <c r="L902" s="33"/>
    </row>
    <row r="903">
      <c r="A903" s="33"/>
      <c r="B903" s="33"/>
      <c r="C903" s="33"/>
      <c r="D903" s="33"/>
      <c r="E903" s="33"/>
      <c r="F903" s="33"/>
      <c r="G903" s="33"/>
      <c r="H903" s="33"/>
      <c r="I903" s="33"/>
      <c r="J903" s="33"/>
      <c r="K903" s="33"/>
      <c r="L903" s="33"/>
    </row>
    <row r="904">
      <c r="A904" s="33"/>
      <c r="B904" s="33"/>
      <c r="C904" s="33"/>
      <c r="D904" s="33"/>
      <c r="E904" s="33"/>
      <c r="F904" s="33"/>
      <c r="G904" s="33"/>
      <c r="H904" s="33"/>
      <c r="I904" s="33"/>
      <c r="J904" s="33"/>
      <c r="K904" s="33"/>
      <c r="L904" s="33"/>
    </row>
    <row r="905">
      <c r="A905" s="33"/>
      <c r="B905" s="33"/>
      <c r="C905" s="33"/>
      <c r="D905" s="33"/>
      <c r="E905" s="33"/>
      <c r="F905" s="33"/>
      <c r="G905" s="33"/>
      <c r="H905" s="33"/>
      <c r="I905" s="33"/>
      <c r="J905" s="33"/>
      <c r="K905" s="33"/>
      <c r="L905" s="33"/>
    </row>
    <row r="906">
      <c r="A906" s="33"/>
      <c r="B906" s="33"/>
      <c r="C906" s="33"/>
      <c r="D906" s="33"/>
      <c r="E906" s="33"/>
      <c r="F906" s="33"/>
      <c r="G906" s="33"/>
      <c r="H906" s="33"/>
      <c r="I906" s="33"/>
      <c r="J906" s="33"/>
      <c r="K906" s="33"/>
      <c r="L906" s="33"/>
    </row>
    <row r="907">
      <c r="A907" s="33"/>
      <c r="B907" s="33"/>
      <c r="C907" s="33"/>
      <c r="D907" s="33"/>
      <c r="E907" s="33"/>
      <c r="F907" s="33"/>
      <c r="G907" s="33"/>
      <c r="H907" s="33"/>
      <c r="I907" s="33"/>
      <c r="J907" s="33"/>
      <c r="K907" s="33"/>
      <c r="L907" s="33"/>
    </row>
    <row r="908">
      <c r="A908" s="33"/>
      <c r="B908" s="33"/>
      <c r="C908" s="33"/>
      <c r="D908" s="33"/>
      <c r="E908" s="33"/>
      <c r="F908" s="33"/>
      <c r="G908" s="33"/>
      <c r="H908" s="33"/>
      <c r="I908" s="33"/>
      <c r="J908" s="33"/>
      <c r="K908" s="33"/>
      <c r="L908" s="33"/>
    </row>
    <row r="909">
      <c r="A909" s="33"/>
      <c r="B909" s="33"/>
      <c r="C909" s="33"/>
      <c r="D909" s="33"/>
      <c r="E909" s="33"/>
      <c r="F909" s="33"/>
      <c r="G909" s="33"/>
      <c r="H909" s="33"/>
      <c r="I909" s="33"/>
      <c r="J909" s="33"/>
      <c r="K909" s="33"/>
      <c r="L909" s="33"/>
    </row>
    <row r="910">
      <c r="A910" s="33"/>
      <c r="B910" s="33"/>
      <c r="C910" s="33"/>
      <c r="D910" s="33"/>
      <c r="E910" s="33"/>
      <c r="F910" s="33"/>
      <c r="G910" s="33"/>
      <c r="H910" s="33"/>
      <c r="I910" s="33"/>
      <c r="J910" s="33"/>
      <c r="K910" s="33"/>
      <c r="L910" s="33"/>
    </row>
    <row r="911">
      <c r="A911" s="33"/>
      <c r="B911" s="33"/>
      <c r="C911" s="33"/>
      <c r="D911" s="33"/>
      <c r="E911" s="33"/>
      <c r="F911" s="33"/>
      <c r="G911" s="33"/>
      <c r="H911" s="33"/>
      <c r="I911" s="33"/>
      <c r="J911" s="33"/>
      <c r="K911" s="33"/>
      <c r="L911" s="33"/>
    </row>
    <row r="912">
      <c r="A912" s="33"/>
      <c r="B912" s="33"/>
      <c r="C912" s="33"/>
      <c r="D912" s="33"/>
      <c r="E912" s="33"/>
      <c r="F912" s="33"/>
      <c r="G912" s="33"/>
      <c r="H912" s="33"/>
      <c r="I912" s="33"/>
      <c r="J912" s="33"/>
      <c r="K912" s="33"/>
      <c r="L912" s="33"/>
    </row>
    <row r="913">
      <c r="A913" s="33"/>
      <c r="B913" s="33"/>
      <c r="C913" s="33"/>
      <c r="D913" s="33"/>
      <c r="E913" s="33"/>
      <c r="F913" s="33"/>
      <c r="G913" s="33"/>
      <c r="H913" s="33"/>
      <c r="I913" s="33"/>
      <c r="J913" s="33"/>
      <c r="K913" s="33"/>
      <c r="L913" s="33"/>
    </row>
    <row r="914">
      <c r="A914" s="33"/>
      <c r="B914" s="33"/>
      <c r="C914" s="33"/>
      <c r="D914" s="33"/>
      <c r="E914" s="33"/>
      <c r="F914" s="33"/>
      <c r="G914" s="33"/>
      <c r="H914" s="33"/>
      <c r="I914" s="33"/>
      <c r="J914" s="33"/>
      <c r="K914" s="33"/>
      <c r="L914" s="33"/>
    </row>
    <row r="915">
      <c r="A915" s="33"/>
      <c r="B915" s="33"/>
      <c r="C915" s="33"/>
      <c r="D915" s="33"/>
      <c r="E915" s="33"/>
      <c r="F915" s="33"/>
      <c r="G915" s="33"/>
      <c r="H915" s="33"/>
      <c r="I915" s="33"/>
      <c r="J915" s="33"/>
      <c r="K915" s="33"/>
      <c r="L915" s="33"/>
    </row>
    <row r="916">
      <c r="A916" s="33"/>
      <c r="B916" s="33"/>
      <c r="C916" s="33"/>
      <c r="D916" s="33"/>
      <c r="E916" s="33"/>
      <c r="F916" s="33"/>
      <c r="G916" s="33"/>
      <c r="H916" s="33"/>
      <c r="I916" s="33"/>
      <c r="J916" s="33"/>
      <c r="K916" s="33"/>
      <c r="L916" s="33"/>
    </row>
    <row r="917">
      <c r="A917" s="33"/>
      <c r="B917" s="33"/>
      <c r="C917" s="33"/>
      <c r="D917" s="33"/>
      <c r="E917" s="33"/>
      <c r="F917" s="33"/>
      <c r="G917" s="33"/>
      <c r="H917" s="33"/>
      <c r="I917" s="33"/>
      <c r="J917" s="33"/>
      <c r="K917" s="33"/>
      <c r="L917" s="33"/>
    </row>
    <row r="918">
      <c r="A918" s="33"/>
      <c r="B918" s="33"/>
      <c r="C918" s="33"/>
      <c r="D918" s="33"/>
      <c r="E918" s="33"/>
      <c r="F918" s="33"/>
      <c r="G918" s="33"/>
      <c r="H918" s="33"/>
      <c r="I918" s="33"/>
      <c r="J918" s="33"/>
      <c r="K918" s="33"/>
      <c r="L918" s="33"/>
    </row>
    <row r="919">
      <c r="A919" s="33"/>
      <c r="B919" s="33"/>
      <c r="C919" s="33"/>
      <c r="D919" s="33"/>
      <c r="E919" s="33"/>
      <c r="F919" s="33"/>
      <c r="G919" s="33"/>
      <c r="H919" s="33"/>
      <c r="I919" s="33"/>
      <c r="J919" s="33"/>
      <c r="K919" s="33"/>
      <c r="L919" s="33"/>
    </row>
    <row r="920">
      <c r="A920" s="33"/>
      <c r="B920" s="33"/>
      <c r="C920" s="33"/>
      <c r="D920" s="33"/>
      <c r="E920" s="33"/>
      <c r="F920" s="33"/>
      <c r="G920" s="33"/>
      <c r="H920" s="33"/>
      <c r="I920" s="33"/>
      <c r="J920" s="33"/>
      <c r="K920" s="33"/>
      <c r="L920" s="33"/>
    </row>
    <row r="921">
      <c r="A921" s="33"/>
      <c r="B921" s="33"/>
      <c r="C921" s="33"/>
      <c r="D921" s="33"/>
      <c r="E921" s="33"/>
      <c r="F921" s="33"/>
      <c r="G921" s="33"/>
      <c r="H921" s="33"/>
      <c r="I921" s="33"/>
      <c r="J921" s="33"/>
      <c r="K921" s="33"/>
      <c r="L921" s="33"/>
    </row>
    <row r="922">
      <c r="A922" s="33"/>
      <c r="B922" s="33"/>
      <c r="C922" s="33"/>
      <c r="D922" s="33"/>
      <c r="E922" s="33"/>
      <c r="F922" s="33"/>
      <c r="G922" s="33"/>
      <c r="H922" s="33"/>
      <c r="I922" s="33"/>
      <c r="J922" s="33"/>
      <c r="K922" s="33"/>
      <c r="L922" s="33"/>
    </row>
    <row r="923">
      <c r="A923" s="33"/>
      <c r="B923" s="33"/>
      <c r="C923" s="33"/>
      <c r="D923" s="33"/>
      <c r="E923" s="33"/>
      <c r="F923" s="33"/>
      <c r="G923" s="33"/>
      <c r="H923" s="33"/>
      <c r="I923" s="33"/>
      <c r="J923" s="33"/>
      <c r="K923" s="33"/>
      <c r="L923" s="33"/>
    </row>
    <row r="924">
      <c r="A924" s="33"/>
      <c r="B924" s="33"/>
      <c r="C924" s="33"/>
      <c r="D924" s="33"/>
      <c r="E924" s="33"/>
      <c r="F924" s="33"/>
      <c r="G924" s="33"/>
      <c r="H924" s="33"/>
      <c r="I924" s="33"/>
      <c r="J924" s="33"/>
      <c r="K924" s="33"/>
      <c r="L924" s="33"/>
    </row>
    <row r="925">
      <c r="A925" s="33"/>
      <c r="B925" s="33"/>
      <c r="C925" s="33"/>
      <c r="D925" s="33"/>
      <c r="E925" s="33"/>
      <c r="F925" s="33"/>
      <c r="G925" s="33"/>
      <c r="H925" s="33"/>
      <c r="I925" s="33"/>
      <c r="J925" s="33"/>
      <c r="K925" s="33"/>
      <c r="L925" s="33"/>
    </row>
    <row r="926">
      <c r="A926" s="33"/>
      <c r="B926" s="33"/>
      <c r="C926" s="33"/>
      <c r="D926" s="33"/>
      <c r="E926" s="33"/>
      <c r="F926" s="33"/>
      <c r="G926" s="33"/>
      <c r="H926" s="33"/>
      <c r="I926" s="33"/>
      <c r="J926" s="33"/>
      <c r="K926" s="33"/>
      <c r="L926" s="33"/>
    </row>
    <row r="927">
      <c r="A927" s="33"/>
      <c r="B927" s="33"/>
      <c r="C927" s="33"/>
      <c r="D927" s="33"/>
      <c r="E927" s="33"/>
      <c r="F927" s="33"/>
      <c r="G927" s="33"/>
      <c r="H927" s="33"/>
      <c r="I927" s="33"/>
      <c r="J927" s="33"/>
      <c r="K927" s="33"/>
      <c r="L927" s="33"/>
    </row>
    <row r="928">
      <c r="A928" s="33"/>
      <c r="B928" s="33"/>
      <c r="C928" s="33"/>
      <c r="D928" s="33"/>
      <c r="E928" s="33"/>
      <c r="F928" s="33"/>
      <c r="G928" s="33"/>
      <c r="H928" s="33"/>
      <c r="I928" s="33"/>
      <c r="J928" s="33"/>
      <c r="K928" s="33"/>
      <c r="L928" s="33"/>
    </row>
    <row r="929">
      <c r="A929" s="33"/>
      <c r="B929" s="33"/>
      <c r="C929" s="33"/>
      <c r="D929" s="33"/>
      <c r="E929" s="33"/>
      <c r="F929" s="33"/>
      <c r="G929" s="33"/>
      <c r="H929" s="33"/>
      <c r="I929" s="33"/>
      <c r="J929" s="33"/>
      <c r="K929" s="33"/>
      <c r="L929" s="33"/>
    </row>
    <row r="930">
      <c r="A930" s="33"/>
      <c r="B930" s="33"/>
      <c r="C930" s="33"/>
      <c r="D930" s="33"/>
      <c r="E930" s="33"/>
      <c r="F930" s="33"/>
      <c r="G930" s="33"/>
      <c r="H930" s="33"/>
      <c r="I930" s="33"/>
      <c r="J930" s="33"/>
      <c r="K930" s="33"/>
      <c r="L930" s="33"/>
    </row>
    <row r="931">
      <c r="A931" s="33"/>
      <c r="B931" s="33"/>
      <c r="C931" s="33"/>
      <c r="D931" s="33"/>
      <c r="E931" s="33"/>
      <c r="F931" s="33"/>
      <c r="G931" s="33"/>
      <c r="H931" s="33"/>
      <c r="I931" s="33"/>
      <c r="J931" s="33"/>
      <c r="K931" s="33"/>
      <c r="L931" s="33"/>
    </row>
    <row r="932">
      <c r="A932" s="33"/>
      <c r="B932" s="33"/>
      <c r="C932" s="33"/>
      <c r="D932" s="33"/>
      <c r="E932" s="33"/>
      <c r="F932" s="33"/>
      <c r="G932" s="33"/>
      <c r="H932" s="33"/>
      <c r="I932" s="33"/>
      <c r="J932" s="33"/>
      <c r="K932" s="33"/>
      <c r="L932" s="33"/>
    </row>
    <row r="933">
      <c r="A933" s="33"/>
      <c r="B933" s="33"/>
      <c r="C933" s="33"/>
      <c r="D933" s="33"/>
      <c r="E933" s="33"/>
      <c r="F933" s="33"/>
      <c r="G933" s="33"/>
      <c r="H933" s="33"/>
      <c r="I933" s="33"/>
      <c r="J933" s="33"/>
      <c r="K933" s="33"/>
      <c r="L933" s="33"/>
    </row>
    <row r="934">
      <c r="A934" s="33"/>
      <c r="B934" s="33"/>
      <c r="C934" s="33"/>
      <c r="D934" s="33"/>
      <c r="E934" s="33"/>
      <c r="F934" s="33"/>
      <c r="G934" s="33"/>
      <c r="H934" s="33"/>
      <c r="I934" s="33"/>
      <c r="J934" s="33"/>
      <c r="K934" s="33"/>
      <c r="L934" s="33"/>
    </row>
    <row r="935">
      <c r="A935" s="33"/>
      <c r="B935" s="33"/>
      <c r="C935" s="33"/>
      <c r="D935" s="33"/>
      <c r="E935" s="33"/>
      <c r="F935" s="33"/>
      <c r="G935" s="33"/>
      <c r="H935" s="33"/>
      <c r="I935" s="33"/>
      <c r="J935" s="33"/>
      <c r="K935" s="33"/>
      <c r="L935" s="33"/>
    </row>
    <row r="936">
      <c r="A936" s="33"/>
      <c r="B936" s="33"/>
      <c r="C936" s="33"/>
      <c r="D936" s="33"/>
      <c r="E936" s="33"/>
      <c r="F936" s="33"/>
      <c r="G936" s="33"/>
      <c r="H936" s="33"/>
      <c r="I936" s="33"/>
      <c r="J936" s="33"/>
      <c r="K936" s="33"/>
      <c r="L936" s="33"/>
    </row>
    <row r="937">
      <c r="A937" s="33"/>
      <c r="B937" s="33"/>
      <c r="C937" s="33"/>
      <c r="D937" s="33"/>
      <c r="E937" s="33"/>
      <c r="F937" s="33"/>
      <c r="G937" s="33"/>
      <c r="H937" s="33"/>
      <c r="I937" s="33"/>
      <c r="J937" s="33"/>
      <c r="K937" s="33"/>
      <c r="L937" s="33"/>
    </row>
    <row r="938">
      <c r="A938" s="33"/>
      <c r="B938" s="33"/>
      <c r="C938" s="33"/>
      <c r="D938" s="33"/>
      <c r="E938" s="33"/>
      <c r="F938" s="33"/>
      <c r="G938" s="33"/>
      <c r="H938" s="33"/>
      <c r="I938" s="33"/>
      <c r="J938" s="33"/>
      <c r="K938" s="33"/>
      <c r="L938" s="33"/>
    </row>
    <row r="939">
      <c r="A939" s="33"/>
      <c r="B939" s="33"/>
      <c r="C939" s="33"/>
      <c r="D939" s="33"/>
      <c r="E939" s="33"/>
      <c r="F939" s="33"/>
      <c r="G939" s="33"/>
      <c r="H939" s="33"/>
      <c r="I939" s="33"/>
      <c r="J939" s="33"/>
      <c r="K939" s="33"/>
      <c r="L939" s="33"/>
    </row>
    <row r="940">
      <c r="A940" s="33"/>
      <c r="B940" s="33"/>
      <c r="C940" s="33"/>
      <c r="D940" s="33"/>
      <c r="E940" s="33"/>
      <c r="F940" s="33"/>
      <c r="G940" s="33"/>
      <c r="H940" s="33"/>
      <c r="I940" s="33"/>
      <c r="J940" s="33"/>
      <c r="K940" s="33"/>
      <c r="L940" s="33"/>
    </row>
    <row r="941">
      <c r="A941" s="33"/>
      <c r="B941" s="33"/>
      <c r="C941" s="33"/>
      <c r="D941" s="33"/>
      <c r="E941" s="33"/>
      <c r="F941" s="33"/>
      <c r="G941" s="33"/>
      <c r="H941" s="33"/>
      <c r="I941" s="33"/>
      <c r="J941" s="33"/>
      <c r="K941" s="33"/>
      <c r="L941" s="33"/>
    </row>
    <row r="942">
      <c r="A942" s="33"/>
      <c r="B942" s="33"/>
      <c r="C942" s="33"/>
      <c r="D942" s="33"/>
      <c r="E942" s="33"/>
      <c r="F942" s="33"/>
      <c r="G942" s="33"/>
      <c r="H942" s="33"/>
      <c r="I942" s="33"/>
      <c r="J942" s="33"/>
      <c r="K942" s="33"/>
      <c r="L942" s="33"/>
    </row>
    <row r="943">
      <c r="A943" s="33"/>
      <c r="B943" s="33"/>
      <c r="C943" s="33"/>
      <c r="D943" s="33"/>
      <c r="E943" s="33"/>
      <c r="F943" s="33"/>
      <c r="G943" s="33"/>
      <c r="H943" s="33"/>
      <c r="I943" s="33"/>
      <c r="J943" s="33"/>
      <c r="K943" s="33"/>
      <c r="L943" s="33"/>
    </row>
    <row r="944">
      <c r="A944" s="33"/>
      <c r="B944" s="33"/>
      <c r="C944" s="33"/>
      <c r="D944" s="33"/>
      <c r="E944" s="33"/>
      <c r="F944" s="33"/>
      <c r="G944" s="33"/>
      <c r="H944" s="33"/>
      <c r="I944" s="33"/>
      <c r="J944" s="33"/>
      <c r="K944" s="33"/>
      <c r="L944" s="33"/>
    </row>
    <row r="945">
      <c r="A945" s="33"/>
      <c r="B945" s="33"/>
      <c r="C945" s="33"/>
      <c r="D945" s="33"/>
      <c r="E945" s="33"/>
      <c r="F945" s="33"/>
      <c r="G945" s="33"/>
      <c r="H945" s="33"/>
      <c r="I945" s="33"/>
      <c r="J945" s="33"/>
      <c r="K945" s="33"/>
      <c r="L945" s="33"/>
    </row>
    <row r="946">
      <c r="A946" s="33"/>
      <c r="B946" s="33"/>
      <c r="C946" s="33"/>
      <c r="D946" s="33"/>
      <c r="E946" s="33"/>
      <c r="F946" s="33"/>
      <c r="G946" s="33"/>
      <c r="H946" s="33"/>
      <c r="I946" s="33"/>
      <c r="J946" s="33"/>
      <c r="K946" s="33"/>
      <c r="L946" s="33"/>
    </row>
    <row r="947">
      <c r="A947" s="33"/>
      <c r="B947" s="33"/>
      <c r="C947" s="33"/>
      <c r="D947" s="33"/>
      <c r="E947" s="33"/>
      <c r="F947" s="33"/>
      <c r="G947" s="33"/>
      <c r="H947" s="33"/>
      <c r="I947" s="33"/>
      <c r="J947" s="33"/>
      <c r="K947" s="33"/>
      <c r="L947" s="33"/>
    </row>
    <row r="948">
      <c r="A948" s="33"/>
      <c r="B948" s="33"/>
      <c r="C948" s="33"/>
      <c r="D948" s="33"/>
      <c r="E948" s="33"/>
      <c r="F948" s="33"/>
      <c r="G948" s="33"/>
      <c r="H948" s="33"/>
      <c r="I948" s="33"/>
      <c r="J948" s="33"/>
      <c r="K948" s="33"/>
      <c r="L948" s="33"/>
    </row>
    <row r="949">
      <c r="A949" s="33"/>
      <c r="B949" s="33"/>
      <c r="C949" s="33"/>
      <c r="D949" s="33"/>
      <c r="E949" s="33"/>
      <c r="F949" s="33"/>
      <c r="G949" s="33"/>
      <c r="H949" s="33"/>
      <c r="I949" s="33"/>
      <c r="J949" s="33"/>
      <c r="K949" s="33"/>
      <c r="L949" s="33"/>
    </row>
    <row r="950">
      <c r="A950" s="33"/>
      <c r="B950" s="33"/>
      <c r="C950" s="33"/>
      <c r="D950" s="33"/>
      <c r="E950" s="33"/>
      <c r="F950" s="33"/>
      <c r="G950" s="33"/>
      <c r="H950" s="33"/>
      <c r="I950" s="33"/>
      <c r="J950" s="33"/>
      <c r="K950" s="33"/>
      <c r="L950" s="33"/>
    </row>
    <row r="951">
      <c r="A951" s="33"/>
      <c r="B951" s="33"/>
      <c r="C951" s="33"/>
      <c r="D951" s="33"/>
      <c r="E951" s="33"/>
      <c r="F951" s="33"/>
      <c r="G951" s="33"/>
      <c r="H951" s="33"/>
      <c r="I951" s="33"/>
      <c r="J951" s="33"/>
      <c r="K951" s="33"/>
      <c r="L951" s="33"/>
    </row>
    <row r="952">
      <c r="A952" s="33"/>
      <c r="B952" s="33"/>
      <c r="C952" s="33"/>
      <c r="D952" s="33"/>
      <c r="E952" s="33"/>
      <c r="F952" s="33"/>
      <c r="G952" s="33"/>
      <c r="H952" s="33"/>
      <c r="I952" s="33"/>
      <c r="J952" s="33"/>
      <c r="K952" s="33"/>
      <c r="L952" s="33"/>
    </row>
    <row r="953">
      <c r="A953" s="33"/>
      <c r="B953" s="33"/>
      <c r="C953" s="33"/>
      <c r="D953" s="33"/>
      <c r="E953" s="33"/>
      <c r="F953" s="33"/>
      <c r="G953" s="33"/>
      <c r="H953" s="33"/>
      <c r="I953" s="33"/>
      <c r="J953" s="33"/>
      <c r="K953" s="33"/>
      <c r="L953" s="33"/>
    </row>
    <row r="954">
      <c r="A954" s="33"/>
      <c r="B954" s="33"/>
      <c r="C954" s="33"/>
      <c r="D954" s="33"/>
      <c r="E954" s="33"/>
      <c r="F954" s="33"/>
      <c r="G954" s="33"/>
      <c r="H954" s="33"/>
      <c r="I954" s="33"/>
      <c r="J954" s="33"/>
      <c r="K954" s="33"/>
      <c r="L954" s="33"/>
    </row>
    <row r="955">
      <c r="A955" s="33"/>
      <c r="B955" s="33"/>
      <c r="C955" s="33"/>
      <c r="D955" s="33"/>
      <c r="E955" s="33"/>
      <c r="F955" s="33"/>
      <c r="G955" s="33"/>
      <c r="H955" s="33"/>
      <c r="I955" s="33"/>
      <c r="J955" s="33"/>
      <c r="K955" s="33"/>
      <c r="L955" s="33"/>
    </row>
    <row r="956">
      <c r="A956" s="33"/>
      <c r="B956" s="33"/>
      <c r="C956" s="33"/>
      <c r="D956" s="33"/>
      <c r="E956" s="33"/>
      <c r="F956" s="33"/>
      <c r="G956" s="33"/>
      <c r="H956" s="33"/>
      <c r="I956" s="33"/>
      <c r="J956" s="33"/>
      <c r="K956" s="33"/>
      <c r="L956" s="33"/>
    </row>
    <row r="957">
      <c r="A957" s="33"/>
      <c r="B957" s="33"/>
      <c r="C957" s="33"/>
      <c r="D957" s="33"/>
      <c r="E957" s="33"/>
      <c r="F957" s="33"/>
      <c r="G957" s="33"/>
      <c r="H957" s="33"/>
      <c r="I957" s="33"/>
      <c r="J957" s="33"/>
      <c r="K957" s="33"/>
      <c r="L957" s="33"/>
    </row>
    <row r="958">
      <c r="A958" s="33"/>
      <c r="B958" s="33"/>
      <c r="C958" s="33"/>
      <c r="D958" s="33"/>
      <c r="E958" s="33"/>
      <c r="F958" s="33"/>
      <c r="G958" s="33"/>
      <c r="H958" s="33"/>
      <c r="I958" s="33"/>
      <c r="J958" s="33"/>
      <c r="K958" s="33"/>
      <c r="L958" s="33"/>
    </row>
    <row r="959">
      <c r="A959" s="33"/>
      <c r="B959" s="33"/>
      <c r="C959" s="33"/>
      <c r="D959" s="33"/>
      <c r="E959" s="33"/>
      <c r="F959" s="33"/>
      <c r="G959" s="33"/>
      <c r="H959" s="33"/>
      <c r="I959" s="33"/>
      <c r="J959" s="33"/>
      <c r="K959" s="33"/>
      <c r="L959" s="33"/>
    </row>
    <row r="960">
      <c r="A960" s="33"/>
      <c r="B960" s="33"/>
      <c r="C960" s="33"/>
      <c r="D960" s="33"/>
      <c r="E960" s="33"/>
      <c r="F960" s="33"/>
      <c r="G960" s="33"/>
      <c r="H960" s="33"/>
      <c r="I960" s="33"/>
      <c r="J960" s="33"/>
      <c r="K960" s="33"/>
      <c r="L960" s="33"/>
    </row>
    <row r="961">
      <c r="A961" s="33"/>
      <c r="B961" s="33"/>
      <c r="C961" s="33"/>
      <c r="D961" s="33"/>
      <c r="E961" s="33"/>
      <c r="F961" s="33"/>
      <c r="G961" s="33"/>
      <c r="H961" s="33"/>
      <c r="I961" s="33"/>
      <c r="J961" s="33"/>
      <c r="K961" s="33"/>
      <c r="L961" s="33"/>
    </row>
    <row r="962">
      <c r="A962" s="33"/>
      <c r="B962" s="33"/>
      <c r="C962" s="33"/>
      <c r="D962" s="33"/>
      <c r="E962" s="33"/>
      <c r="F962" s="33"/>
      <c r="G962" s="33"/>
      <c r="H962" s="33"/>
      <c r="I962" s="33"/>
      <c r="J962" s="33"/>
      <c r="K962" s="33"/>
      <c r="L962" s="33"/>
    </row>
    <row r="963">
      <c r="A963" s="33"/>
      <c r="B963" s="33"/>
      <c r="C963" s="33"/>
      <c r="D963" s="33"/>
      <c r="E963" s="33"/>
      <c r="F963" s="33"/>
      <c r="G963" s="33"/>
      <c r="H963" s="33"/>
      <c r="I963" s="33"/>
      <c r="J963" s="33"/>
      <c r="K963" s="33"/>
      <c r="L963" s="33"/>
    </row>
    <row r="964">
      <c r="A964" s="33"/>
      <c r="B964" s="33"/>
      <c r="C964" s="33"/>
      <c r="D964" s="33"/>
      <c r="E964" s="33"/>
      <c r="F964" s="33"/>
      <c r="G964" s="33"/>
      <c r="H964" s="33"/>
      <c r="I964" s="33"/>
      <c r="J964" s="33"/>
      <c r="K964" s="33"/>
      <c r="L964" s="33"/>
    </row>
    <row r="965">
      <c r="A965" s="33"/>
      <c r="B965" s="33"/>
      <c r="C965" s="33"/>
      <c r="D965" s="33"/>
      <c r="E965" s="33"/>
      <c r="F965" s="33"/>
      <c r="G965" s="33"/>
      <c r="H965" s="33"/>
      <c r="I965" s="33"/>
      <c r="J965" s="33"/>
      <c r="K965" s="33"/>
      <c r="L965" s="33"/>
    </row>
    <row r="966">
      <c r="A966" s="33"/>
      <c r="B966" s="33"/>
      <c r="C966" s="33"/>
      <c r="D966" s="33"/>
      <c r="E966" s="33"/>
      <c r="F966" s="33"/>
      <c r="G966" s="33"/>
      <c r="H966" s="33"/>
      <c r="I966" s="33"/>
      <c r="J966" s="33"/>
      <c r="K966" s="33"/>
      <c r="L966" s="33"/>
    </row>
    <row r="967">
      <c r="A967" s="33"/>
      <c r="B967" s="33"/>
      <c r="C967" s="33"/>
      <c r="D967" s="33"/>
      <c r="E967" s="33"/>
      <c r="F967" s="33"/>
      <c r="G967" s="33"/>
      <c r="H967" s="33"/>
      <c r="I967" s="33"/>
      <c r="J967" s="33"/>
      <c r="K967" s="33"/>
      <c r="L967" s="33"/>
    </row>
    <row r="968">
      <c r="A968" s="33"/>
      <c r="B968" s="33"/>
      <c r="C968" s="33"/>
      <c r="D968" s="33"/>
      <c r="E968" s="33"/>
      <c r="F968" s="33"/>
      <c r="G968" s="33"/>
      <c r="H968" s="33"/>
      <c r="I968" s="33"/>
      <c r="J968" s="33"/>
      <c r="K968" s="33"/>
      <c r="L968" s="33"/>
    </row>
    <row r="969">
      <c r="A969" s="33"/>
      <c r="B969" s="33"/>
      <c r="C969" s="33"/>
      <c r="D969" s="33"/>
      <c r="E969" s="33"/>
      <c r="F969" s="33"/>
      <c r="G969" s="33"/>
      <c r="H969" s="33"/>
      <c r="I969" s="33"/>
      <c r="J969" s="33"/>
      <c r="K969" s="33"/>
      <c r="L969" s="33"/>
    </row>
    <row r="970">
      <c r="A970" s="33"/>
      <c r="B970" s="33"/>
      <c r="C970" s="33"/>
      <c r="D970" s="33"/>
      <c r="E970" s="33"/>
      <c r="F970" s="33"/>
      <c r="G970" s="33"/>
      <c r="H970" s="33"/>
      <c r="I970" s="33"/>
      <c r="J970" s="33"/>
      <c r="K970" s="33"/>
      <c r="L970" s="33"/>
    </row>
    <row r="971">
      <c r="A971" s="33"/>
      <c r="B971" s="33"/>
      <c r="C971" s="33"/>
      <c r="D971" s="33"/>
      <c r="E971" s="33"/>
      <c r="F971" s="33"/>
      <c r="G971" s="33"/>
      <c r="H971" s="33"/>
      <c r="I971" s="33"/>
      <c r="J971" s="33"/>
      <c r="K971" s="33"/>
      <c r="L971" s="33"/>
    </row>
    <row r="972">
      <c r="A972" s="33"/>
      <c r="B972" s="33"/>
      <c r="C972" s="33"/>
      <c r="D972" s="33"/>
      <c r="E972" s="33"/>
      <c r="F972" s="33"/>
      <c r="G972" s="33"/>
      <c r="H972" s="33"/>
      <c r="I972" s="33"/>
      <c r="J972" s="33"/>
      <c r="K972" s="33"/>
      <c r="L972" s="33"/>
    </row>
    <row r="973">
      <c r="A973" s="33"/>
      <c r="B973" s="33"/>
      <c r="C973" s="33"/>
      <c r="D973" s="33"/>
      <c r="E973" s="33"/>
      <c r="F973" s="33"/>
      <c r="G973" s="33"/>
      <c r="H973" s="33"/>
      <c r="I973" s="33"/>
      <c r="J973" s="33"/>
      <c r="K973" s="33"/>
      <c r="L973" s="33"/>
    </row>
    <row r="974">
      <c r="A974" s="33"/>
      <c r="B974" s="33"/>
      <c r="C974" s="33"/>
      <c r="D974" s="33"/>
      <c r="E974" s="33"/>
      <c r="F974" s="33"/>
      <c r="G974" s="33"/>
      <c r="H974" s="33"/>
      <c r="I974" s="33"/>
      <c r="J974" s="33"/>
      <c r="K974" s="33"/>
      <c r="L974" s="33"/>
    </row>
    <row r="975">
      <c r="A975" s="33"/>
      <c r="B975" s="33"/>
      <c r="C975" s="33"/>
      <c r="D975" s="33"/>
      <c r="E975" s="33"/>
      <c r="F975" s="33"/>
      <c r="G975" s="33"/>
      <c r="H975" s="33"/>
      <c r="I975" s="33"/>
      <c r="J975" s="33"/>
      <c r="K975" s="33"/>
      <c r="L975" s="33"/>
    </row>
    <row r="976">
      <c r="A976" s="33"/>
      <c r="B976" s="33"/>
      <c r="C976" s="33"/>
      <c r="D976" s="33"/>
      <c r="E976" s="33"/>
      <c r="F976" s="33"/>
      <c r="G976" s="33"/>
      <c r="H976" s="33"/>
      <c r="I976" s="33"/>
      <c r="J976" s="33"/>
      <c r="K976" s="33"/>
      <c r="L976" s="33"/>
    </row>
    <row r="977">
      <c r="A977" s="33"/>
      <c r="B977" s="33"/>
      <c r="C977" s="33"/>
      <c r="D977" s="33"/>
      <c r="E977" s="33"/>
      <c r="F977" s="33"/>
      <c r="G977" s="33"/>
      <c r="H977" s="33"/>
      <c r="I977" s="33"/>
      <c r="J977" s="33"/>
      <c r="K977" s="33"/>
      <c r="L977" s="33"/>
    </row>
    <row r="978">
      <c r="A978" s="33"/>
      <c r="B978" s="33"/>
      <c r="C978" s="33"/>
      <c r="D978" s="33"/>
      <c r="E978" s="33"/>
      <c r="F978" s="33"/>
      <c r="G978" s="33"/>
      <c r="H978" s="33"/>
      <c r="I978" s="33"/>
      <c r="J978" s="33"/>
      <c r="K978" s="33"/>
      <c r="L978" s="33"/>
    </row>
    <row r="979">
      <c r="A979" s="33"/>
      <c r="B979" s="33"/>
      <c r="C979" s="33"/>
      <c r="D979" s="33"/>
      <c r="E979" s="33"/>
      <c r="F979" s="33"/>
      <c r="G979" s="33"/>
      <c r="H979" s="33"/>
      <c r="I979" s="33"/>
      <c r="J979" s="33"/>
      <c r="K979" s="33"/>
      <c r="L979" s="33"/>
    </row>
    <row r="980">
      <c r="A980" s="33"/>
      <c r="B980" s="33"/>
      <c r="C980" s="33"/>
      <c r="D980" s="33"/>
      <c r="E980" s="33"/>
      <c r="F980" s="33"/>
      <c r="G980" s="33"/>
      <c r="H980" s="33"/>
      <c r="I980" s="33"/>
      <c r="J980" s="33"/>
      <c r="K980" s="33"/>
      <c r="L980" s="33"/>
    </row>
    <row r="981">
      <c r="A981" s="33"/>
      <c r="B981" s="33"/>
      <c r="C981" s="33"/>
      <c r="D981" s="33"/>
      <c r="E981" s="33"/>
      <c r="F981" s="33"/>
      <c r="G981" s="33"/>
      <c r="H981" s="33"/>
      <c r="I981" s="33"/>
      <c r="J981" s="33"/>
      <c r="K981" s="33"/>
      <c r="L981" s="33"/>
    </row>
    <row r="982">
      <c r="A982" s="33"/>
      <c r="B982" s="33"/>
      <c r="C982" s="33"/>
      <c r="D982" s="33"/>
      <c r="E982" s="33"/>
      <c r="F982" s="33"/>
      <c r="G982" s="33"/>
      <c r="H982" s="33"/>
      <c r="I982" s="33"/>
      <c r="J982" s="33"/>
      <c r="K982" s="33"/>
      <c r="L982" s="33"/>
    </row>
    <row r="983">
      <c r="A983" s="33"/>
      <c r="B983" s="33"/>
      <c r="C983" s="33"/>
      <c r="D983" s="33"/>
      <c r="E983" s="33"/>
      <c r="F983" s="33"/>
      <c r="G983" s="33"/>
      <c r="H983" s="33"/>
      <c r="I983" s="33"/>
      <c r="J983" s="33"/>
      <c r="K983" s="33"/>
      <c r="L983" s="33"/>
    </row>
    <row r="984">
      <c r="A984" s="33"/>
      <c r="B984" s="33"/>
      <c r="C984" s="33"/>
      <c r="D984" s="33"/>
      <c r="E984" s="33"/>
      <c r="F984" s="33"/>
      <c r="G984" s="33"/>
      <c r="H984" s="33"/>
      <c r="I984" s="33"/>
      <c r="J984" s="33"/>
      <c r="K984" s="33"/>
      <c r="L984" s="33"/>
    </row>
    <row r="985">
      <c r="A985" s="33"/>
      <c r="B985" s="33"/>
      <c r="C985" s="33"/>
      <c r="D985" s="33"/>
      <c r="E985" s="33"/>
      <c r="F985" s="33"/>
      <c r="G985" s="33"/>
      <c r="H985" s="33"/>
      <c r="I985" s="33"/>
      <c r="J985" s="33"/>
      <c r="K985" s="33"/>
      <c r="L985" s="33"/>
    </row>
    <row r="986">
      <c r="A986" s="33"/>
      <c r="B986" s="33"/>
      <c r="C986" s="33"/>
      <c r="D986" s="33"/>
      <c r="E986" s="33"/>
      <c r="F986" s="33"/>
      <c r="G986" s="33"/>
      <c r="H986" s="33"/>
      <c r="I986" s="33"/>
      <c r="J986" s="33"/>
      <c r="K986" s="33"/>
      <c r="L986" s="33"/>
    </row>
    <row r="987">
      <c r="A987" s="33"/>
      <c r="B987" s="33"/>
      <c r="C987" s="33"/>
      <c r="D987" s="33"/>
      <c r="E987" s="33"/>
      <c r="F987" s="33"/>
      <c r="G987" s="33"/>
      <c r="H987" s="33"/>
      <c r="I987" s="33"/>
      <c r="J987" s="33"/>
      <c r="K987" s="33"/>
      <c r="L987" s="33"/>
    </row>
    <row r="988">
      <c r="A988" s="33"/>
      <c r="B988" s="33"/>
      <c r="C988" s="33"/>
      <c r="D988" s="33"/>
      <c r="E988" s="33"/>
      <c r="F988" s="33"/>
      <c r="G988" s="33"/>
      <c r="H988" s="33"/>
      <c r="I988" s="33"/>
      <c r="J988" s="33"/>
      <c r="K988" s="33"/>
      <c r="L988" s="33"/>
    </row>
    <row r="989">
      <c r="A989" s="33"/>
      <c r="B989" s="33"/>
      <c r="C989" s="33"/>
      <c r="D989" s="33"/>
      <c r="E989" s="33"/>
      <c r="F989" s="33"/>
      <c r="G989" s="33"/>
      <c r="H989" s="33"/>
      <c r="I989" s="33"/>
      <c r="J989" s="33"/>
      <c r="K989" s="33"/>
      <c r="L989" s="33"/>
    </row>
    <row r="990">
      <c r="A990" s="33"/>
      <c r="B990" s="33"/>
      <c r="C990" s="33"/>
      <c r="D990" s="33"/>
      <c r="E990" s="33"/>
      <c r="F990" s="33"/>
      <c r="G990" s="33"/>
      <c r="H990" s="33"/>
      <c r="I990" s="33"/>
      <c r="J990" s="33"/>
      <c r="K990" s="33"/>
      <c r="L990" s="33"/>
    </row>
    <row r="991">
      <c r="A991" s="33"/>
      <c r="B991" s="33"/>
      <c r="C991" s="33"/>
      <c r="D991" s="33"/>
      <c r="E991" s="33"/>
      <c r="F991" s="33"/>
      <c r="G991" s="33"/>
      <c r="H991" s="33"/>
      <c r="I991" s="33"/>
      <c r="J991" s="33"/>
      <c r="K991" s="33"/>
      <c r="L991" s="33"/>
    </row>
    <row r="992">
      <c r="A992" s="33"/>
      <c r="B992" s="33"/>
      <c r="C992" s="33"/>
      <c r="D992" s="33"/>
      <c r="E992" s="33"/>
      <c r="F992" s="33"/>
      <c r="G992" s="33"/>
      <c r="H992" s="33"/>
      <c r="I992" s="33"/>
      <c r="J992" s="33"/>
      <c r="K992" s="33"/>
      <c r="L992" s="33"/>
    </row>
    <row r="993">
      <c r="A993" s="33"/>
      <c r="B993" s="33"/>
      <c r="C993" s="33"/>
      <c r="D993" s="33"/>
      <c r="E993" s="33"/>
      <c r="F993" s="33"/>
      <c r="G993" s="33"/>
      <c r="H993" s="33"/>
      <c r="I993" s="33"/>
      <c r="J993" s="33"/>
      <c r="K993" s="33"/>
      <c r="L993" s="33"/>
    </row>
    <row r="994">
      <c r="A994" s="33"/>
      <c r="B994" s="33"/>
      <c r="C994" s="33"/>
      <c r="D994" s="33"/>
      <c r="E994" s="33"/>
      <c r="F994" s="33"/>
      <c r="G994" s="33"/>
      <c r="H994" s="33"/>
      <c r="I994" s="33"/>
      <c r="J994" s="33"/>
      <c r="K994" s="33"/>
      <c r="L994" s="33"/>
    </row>
    <row r="995">
      <c r="A995" s="33"/>
      <c r="B995" s="33"/>
      <c r="C995" s="33"/>
      <c r="D995" s="33"/>
      <c r="E995" s="33"/>
      <c r="F995" s="33"/>
      <c r="G995" s="33"/>
      <c r="H995" s="33"/>
      <c r="I995" s="33"/>
      <c r="J995" s="33"/>
      <c r="K995" s="33"/>
      <c r="L995" s="33"/>
    </row>
    <row r="996">
      <c r="A996" s="33"/>
      <c r="B996" s="33"/>
      <c r="C996" s="33"/>
      <c r="D996" s="33"/>
      <c r="E996" s="33"/>
      <c r="F996" s="33"/>
      <c r="G996" s="33"/>
      <c r="H996" s="33"/>
      <c r="I996" s="33"/>
      <c r="J996" s="33"/>
      <c r="K996" s="33"/>
      <c r="L996" s="33"/>
    </row>
    <row r="997">
      <c r="A997" s="33"/>
      <c r="B997" s="33"/>
      <c r="C997" s="33"/>
      <c r="D997" s="33"/>
      <c r="E997" s="33"/>
      <c r="F997" s="33"/>
      <c r="G997" s="33"/>
      <c r="H997" s="33"/>
      <c r="I997" s="33"/>
      <c r="J997" s="33"/>
      <c r="K997" s="33"/>
      <c r="L997" s="33"/>
    </row>
    <row r="998">
      <c r="A998" s="33"/>
      <c r="B998" s="33"/>
      <c r="C998" s="33"/>
      <c r="D998" s="33"/>
      <c r="E998" s="33"/>
      <c r="F998" s="33"/>
      <c r="G998" s="33"/>
      <c r="H998" s="33"/>
      <c r="I998" s="33"/>
      <c r="J998" s="33"/>
      <c r="K998" s="33"/>
      <c r="L998" s="33"/>
    </row>
    <row r="999">
      <c r="A999" s="33"/>
      <c r="B999" s="33"/>
      <c r="C999" s="33"/>
      <c r="D999" s="33"/>
      <c r="E999" s="33"/>
      <c r="F999" s="33"/>
      <c r="G999" s="33"/>
      <c r="H999" s="33"/>
      <c r="I999" s="33"/>
      <c r="J999" s="33"/>
      <c r="K999" s="33"/>
      <c r="L999" s="33"/>
    </row>
    <row r="1000">
      <c r="A1000" s="33"/>
      <c r="B1000" s="33"/>
      <c r="C1000" s="33"/>
      <c r="D1000" s="33"/>
      <c r="E1000" s="33"/>
      <c r="F1000" s="33"/>
      <c r="G1000" s="33"/>
      <c r="H1000" s="33"/>
      <c r="I1000" s="33"/>
      <c r="J1000" s="33"/>
      <c r="K1000" s="33"/>
      <c r="L1000" s="33"/>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sheetData>
    <row r="1">
      <c r="A1" s="203" t="s">
        <v>2800</v>
      </c>
      <c r="B1" s="203" t="s">
        <v>2805</v>
      </c>
      <c r="C1" s="204"/>
      <c r="D1" s="204"/>
      <c r="E1" s="204"/>
      <c r="F1" s="204"/>
      <c r="G1" s="204"/>
      <c r="H1" s="204"/>
      <c r="I1" s="204"/>
      <c r="J1" s="204"/>
      <c r="K1" s="204"/>
      <c r="L1" s="204"/>
      <c r="M1" s="204"/>
      <c r="N1" s="204"/>
      <c r="O1" s="204"/>
      <c r="P1" s="204"/>
      <c r="Q1" s="204"/>
      <c r="R1" s="204"/>
      <c r="S1" s="204"/>
      <c r="T1" s="204"/>
      <c r="U1" s="204"/>
      <c r="V1" s="204"/>
      <c r="W1" s="204"/>
      <c r="X1" s="204"/>
      <c r="Y1" s="204"/>
      <c r="Z1" s="204"/>
    </row>
    <row r="2">
      <c r="A2" s="97" t="s">
        <v>21</v>
      </c>
      <c r="B2" s="16" t="s">
        <v>2806</v>
      </c>
    </row>
    <row r="3">
      <c r="A3" s="97" t="s">
        <v>365</v>
      </c>
      <c r="B3" s="16" t="s">
        <v>2807</v>
      </c>
    </row>
    <row r="4">
      <c r="A4" s="97" t="s">
        <v>986</v>
      </c>
      <c r="B4" s="16" t="s">
        <v>2808</v>
      </c>
    </row>
    <row r="5">
      <c r="A5" s="97" t="s">
        <v>1444</v>
      </c>
      <c r="B5" s="16" t="s">
        <v>2809</v>
      </c>
    </row>
    <row r="6">
      <c r="A6" s="97" t="s">
        <v>1663</v>
      </c>
      <c r="B6" s="16" t="s">
        <v>2810</v>
      </c>
    </row>
    <row r="7">
      <c r="A7" s="97" t="s">
        <v>2811</v>
      </c>
      <c r="B7" s="16" t="s">
        <v>2812</v>
      </c>
    </row>
    <row r="8">
      <c r="A8" s="97" t="s">
        <v>2813</v>
      </c>
      <c r="B8" s="16" t="s">
        <v>2814</v>
      </c>
    </row>
    <row r="9">
      <c r="A9" s="97" t="s">
        <v>2815</v>
      </c>
      <c r="B9" s="16" t="s">
        <v>2816</v>
      </c>
    </row>
    <row r="10">
      <c r="A10" s="97" t="s">
        <v>2817</v>
      </c>
      <c r="B10" s="16" t="s">
        <v>2818</v>
      </c>
    </row>
    <row r="11">
      <c r="A11" s="97" t="s">
        <v>2819</v>
      </c>
      <c r="B11" s="16" t="s">
        <v>2820</v>
      </c>
    </row>
    <row r="12">
      <c r="A12" s="97" t="s">
        <v>2821</v>
      </c>
      <c r="B12" s="16" t="s">
        <v>2822</v>
      </c>
    </row>
    <row r="13">
      <c r="A13" s="97" t="s">
        <v>2823</v>
      </c>
      <c r="B13" s="16" t="s">
        <v>2824</v>
      </c>
    </row>
    <row r="14">
      <c r="A14" s="16" t="s">
        <v>2825</v>
      </c>
      <c r="B14" s="16" t="s">
        <v>2826</v>
      </c>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22.29"/>
    <col customWidth="1" min="2" max="2" width="12.86"/>
    <col customWidth="1" min="3" max="3" width="10.14"/>
    <col customWidth="1" min="4" max="4" width="16.57"/>
    <col customWidth="1" min="5" max="6" width="18.86"/>
    <col customWidth="1" min="8" max="8" width="92.0"/>
    <col customWidth="1" min="10" max="10" width="40.86"/>
  </cols>
  <sheetData>
    <row r="1">
      <c r="A1" s="205" t="s">
        <v>2827</v>
      </c>
      <c r="B1" s="205"/>
      <c r="D1" s="206" t="s">
        <v>2828</v>
      </c>
      <c r="E1" s="206" t="s">
        <v>2829</v>
      </c>
      <c r="F1" s="207" t="s">
        <v>2830</v>
      </c>
      <c r="G1" s="208" t="s">
        <v>2831</v>
      </c>
      <c r="H1" s="209" t="s">
        <v>2</v>
      </c>
      <c r="I1" s="209" t="s">
        <v>2832</v>
      </c>
      <c r="J1" s="209" t="s">
        <v>2287</v>
      </c>
      <c r="K1" s="209" t="s">
        <v>2833</v>
      </c>
      <c r="L1" s="209" t="s">
        <v>6</v>
      </c>
      <c r="M1" s="210" t="s">
        <v>2834</v>
      </c>
      <c r="N1" s="210" t="s">
        <v>8</v>
      </c>
      <c r="O1" s="211" t="s">
        <v>2835</v>
      </c>
    </row>
    <row r="2">
      <c r="A2" s="212">
        <v>4.0</v>
      </c>
      <c r="B2" s="206"/>
      <c r="D2" s="7" t="s">
        <v>1274</v>
      </c>
      <c r="E2" s="7" t="s">
        <v>2836</v>
      </c>
      <c r="F2" s="54">
        <v>2.0</v>
      </c>
      <c r="G2" s="29" t="s">
        <v>2837</v>
      </c>
      <c r="H2" s="213">
        <f t="array" ref="H2">IFNA(XLOOKUP($D2,Cards!$A:$A,Cards!C:C),"")</f>
        <v>1</v>
      </c>
      <c r="I2" s="213" t="str">
        <f t="array" ref="I2">IFNA(XLOOKUP($D2,Cards!$A:$A,Cards!B:B),"")</f>
        <v>Mortal</v>
      </c>
      <c r="J2" s="213" t="str">
        <f t="array" ref="J2">IFNA(XLOOKUP($D2,Cards!$A:$A,Cards!D:D),"")</f>
        <v>Animal Warrior</v>
      </c>
      <c r="K2" s="213" t="str">
        <f t="array" ref="K2">IFNA(XLOOKUP($D2,Cards!$A:$A,Cards!E:E),"")</f>
        <v>Deploy: A friendly Animal or Warrior in this Lane gains +3 Power.</v>
      </c>
      <c r="L2" s="214">
        <f t="array" ref="L2">IFNA(XLOOKUP($D2,Cards!$A:$A,Cards!G:G),"")</f>
        <v>0</v>
      </c>
      <c r="M2" s="214" t="str">
        <f t="array" ref="M2">IFNA(XLOOKUP($D2,Cards!$A:$A,Cards!H:H),"")</f>
        <v>M, ?, ?, ?</v>
      </c>
      <c r="N2" s="214" t="str">
        <f t="array" ref="N2">IFNA(XLOOKUP($D2,Cards!$A:$A,Cards!I:I),"")</f>
        <v>Common</v>
      </c>
      <c r="O2" s="215">
        <f t="shared" ref="O2:O263" si="1">$L2*$F2</f>
        <v>0</v>
      </c>
    </row>
    <row r="3">
      <c r="D3" s="16" t="s">
        <v>501</v>
      </c>
      <c r="E3" s="7" t="s">
        <v>2836</v>
      </c>
      <c r="F3" s="216">
        <v>1.0</v>
      </c>
      <c r="G3" s="29" t="s">
        <v>2838</v>
      </c>
      <c r="H3" s="213">
        <f t="array" ref="H3">IFNA(XLOOKUP($D3,Cards!$A:$A,Cards!C:C),"")</f>
        <v>1</v>
      </c>
      <c r="I3" s="213" t="str">
        <f t="array" ref="I3">IFNA(XLOOKUP($D3,Cards!$A:$A,Cards!B:B),"")</f>
        <v>Elemental</v>
      </c>
      <c r="J3" s="213" t="str">
        <f t="array" ref="J3">IFNA(XLOOKUP($D3,Cards!$A:$A,Cards!D:D),"")</f>
        <v>Human</v>
      </c>
      <c r="K3" s="213" t="str">
        <f t="array" ref="K3">IFNA(XLOOKUP($D3,Cards!$A:$A,Cards!E:E),"")</f>
        <v>Deploy: Choose one: - Glimpse 1. - Gain +1 Power.</v>
      </c>
      <c r="L3" s="214">
        <f t="array" ref="L3">IFNA(XLOOKUP($D3,Cards!$A:$A,Cards!G:G),"")</f>
        <v>1</v>
      </c>
      <c r="M3" s="214" t="str">
        <f t="array" ref="M3">IFNA(XLOOKUP($D3,Cards!$A:$A,Cards!H:H),"")</f>
        <v>E</v>
      </c>
      <c r="N3" s="214" t="str">
        <f t="array" ref="N3">IFNA(XLOOKUP($D3,Cards!$A:$A,Cards!I:I),"")</f>
        <v>Common</v>
      </c>
      <c r="O3" s="215">
        <f t="shared" si="1"/>
        <v>1</v>
      </c>
    </row>
    <row r="4">
      <c r="A4" s="217" t="s">
        <v>2839</v>
      </c>
      <c r="B4" s="16">
        <f>IFERROR(__xludf.DUMMYFUNCTION("QUERY($D$1:O968,""select sum(F) where E like '%"" &amp; $A$2 &amp; ""%' label sum(F) ''"")"),24.0)</f>
        <v>24</v>
      </c>
      <c r="D4" s="7" t="s">
        <v>1169</v>
      </c>
      <c r="E4" s="7" t="s">
        <v>2836</v>
      </c>
      <c r="F4" s="216">
        <v>1.0</v>
      </c>
      <c r="G4" s="29" t="s">
        <v>2837</v>
      </c>
      <c r="H4" s="213">
        <f t="array" ref="H4">IFNA(XLOOKUP($D4,Cards!$A:$A,Cards!C:C),"")</f>
        <v>1</v>
      </c>
      <c r="I4" s="213" t="str">
        <f t="array" ref="I4">IFNA(XLOOKUP($D4,Cards!$A:$A,Cards!B:B),"")</f>
        <v>Mortal</v>
      </c>
      <c r="J4" s="213" t="str">
        <f t="array" ref="J4">IFNA(XLOOKUP($D4,Cards!$A:$A,Cards!D:D),"")</f>
        <v>Insect</v>
      </c>
      <c r="K4" s="213" t="str">
        <f t="array" ref="K4">IFNA(XLOOKUP($D4,Cards!$A:$A,Cards!E:E),"")</f>
        <v>Whenever a friendly Mortal Unit is deployed adjacently, gain +2 Power.</v>
      </c>
      <c r="L4" s="214">
        <f t="array" ref="L4">IFNA(XLOOKUP($D4,Cards!$A:$A,Cards!G:G),"")</f>
        <v>1</v>
      </c>
      <c r="M4" s="214" t="str">
        <f t="array" ref="M4">IFNA(XLOOKUP($D4,Cards!$A:$A,Cards!H:H),"")</f>
        <v>M, ?</v>
      </c>
      <c r="N4" s="214" t="str">
        <f t="array" ref="N4">IFNA(XLOOKUP($D4,Cards!$A:$A,Cards!I:I),"")</f>
        <v>Common</v>
      </c>
      <c r="O4" s="215">
        <f t="shared" si="1"/>
        <v>1</v>
      </c>
    </row>
    <row r="5">
      <c r="A5" s="218" t="s">
        <v>2840</v>
      </c>
      <c r="B5" s="16">
        <f>IFERROR(__xludf.DUMMYFUNCTION("IFNA(QUERY($D$1:O968,""select count(G) where E like '%"" &amp; $A$2 &amp; ""%' and G = 'Alternative' label count(G) ''""),0)"),7.0)</f>
        <v>7</v>
      </c>
      <c r="D5" s="16" t="s">
        <v>1189</v>
      </c>
      <c r="E5" s="7" t="s">
        <v>2836</v>
      </c>
      <c r="F5" s="216">
        <v>1.0</v>
      </c>
      <c r="G5" s="29" t="s">
        <v>2838</v>
      </c>
      <c r="H5" s="213">
        <f t="array" ref="H5">IFNA(XLOOKUP($D5,Cards!$A:$A,Cards!C:C),"")</f>
        <v>1</v>
      </c>
      <c r="I5" s="213" t="str">
        <f t="array" ref="I5">IFNA(XLOOKUP($D5,Cards!$A:$A,Cards!B:B),"")</f>
        <v>Mortal</v>
      </c>
      <c r="J5" s="213" t="str">
        <f t="array" ref="J5">IFNA(XLOOKUP($D5,Cards!$A:$A,Cards!D:D),"")</f>
        <v>Human</v>
      </c>
      <c r="K5" s="213" t="str">
        <f t="array" ref="K5">IFNA(XLOOKUP($D5,Cards!$A:$A,Cards!E:E),"")</f>
        <v>Deploy: Gain Taunt.</v>
      </c>
      <c r="L5" s="214">
        <f t="array" ref="L5">IFNA(XLOOKUP($D5,Cards!$A:$A,Cards!G:G),"")</f>
        <v>1</v>
      </c>
      <c r="M5" s="214" t="str">
        <f t="array" ref="M5">IFNA(XLOOKUP($D5,Cards!$A:$A,Cards!H:H),"")</f>
        <v>M</v>
      </c>
      <c r="N5" s="214" t="str">
        <f t="array" ref="N5">IFNA(XLOOKUP($D5,Cards!$A:$A,Cards!I:I),"")</f>
        <v>Common</v>
      </c>
      <c r="O5" s="215">
        <f t="shared" si="1"/>
        <v>1</v>
      </c>
    </row>
    <row r="6">
      <c r="A6" s="219" t="s">
        <v>2841</v>
      </c>
      <c r="B6" s="16">
        <f>IFERROR(__xludf.DUMMYFUNCTION("QUERY($D$1:O968,""select sum(O) where E like '%"" &amp; $A$2 &amp; ""%' label sum(O) ''"")/$B$4"),2.7916666666666665)</f>
        <v>2.791666667</v>
      </c>
      <c r="D6" s="7" t="s">
        <v>1300</v>
      </c>
      <c r="E6" s="7" t="s">
        <v>2836</v>
      </c>
      <c r="F6" s="216">
        <v>1.0</v>
      </c>
      <c r="G6" s="29" t="s">
        <v>2837</v>
      </c>
      <c r="H6" s="213">
        <f t="array" ref="H6">IFNA(XLOOKUP($D6,Cards!$A:$A,Cards!C:C),"")</f>
        <v>1</v>
      </c>
      <c r="I6" s="213" t="str">
        <f t="array" ref="I6">IFNA(XLOOKUP($D6,Cards!$A:$A,Cards!B:B),"")</f>
        <v>Mortal</v>
      </c>
      <c r="J6" s="213" t="str">
        <f t="array" ref="J6">IFNA(XLOOKUP($D6,Cards!$A:$A,Cards!D:D),"")</f>
        <v>Human</v>
      </c>
      <c r="K6" s="213" t="str">
        <f t="array" ref="K6">IFNA(XLOOKUP($D6,Cards!$A:$A,Cards!E:E),"")</f>
        <v>Crystallize and Deploy: Another friendly Human Unit gains +2 Power.</v>
      </c>
      <c r="L6" s="214">
        <f t="array" ref="L6">IFNA(XLOOKUP($D6,Cards!$A:$A,Cards!G:G),"")</f>
        <v>1</v>
      </c>
      <c r="M6" s="214" t="str">
        <f t="array" ref="M6">IFNA(XLOOKUP($D6,Cards!$A:$A,Cards!H:H),"")</f>
        <v>M, ?</v>
      </c>
      <c r="N6" s="214" t="str">
        <f t="array" ref="N6">IFNA(XLOOKUP($D6,Cards!$A:$A,Cards!I:I),"")</f>
        <v>Uncommon</v>
      </c>
      <c r="O6" s="215">
        <f t="shared" si="1"/>
        <v>1</v>
      </c>
    </row>
    <row r="7">
      <c r="A7" s="218" t="s">
        <v>1</v>
      </c>
      <c r="B7" s="20" t="str">
        <f>IFERROR(__xludf.DUMMYFUNCTION("IFNA(QUERY($D$2:O968,""select count(D) where I = '"" &amp; $A7 &amp; ""' and E like '%"" &amp; $A$2 &amp; ""%' label count(D) ''""),"""")"),"")</f>
        <v/>
      </c>
      <c r="D7" s="18" t="s">
        <v>1042</v>
      </c>
      <c r="E7" s="7" t="s">
        <v>2836</v>
      </c>
      <c r="F7" s="216">
        <v>2.0</v>
      </c>
      <c r="G7" s="29" t="s">
        <v>2837</v>
      </c>
      <c r="H7" s="213">
        <f t="array" ref="H7">IFNA(XLOOKUP($D7,Cards!$A:$A,Cards!C:C),"")</f>
        <v>1</v>
      </c>
      <c r="I7" s="213" t="str">
        <f t="array" ref="I7">IFNA(XLOOKUP($D7,Cards!$A:$A,Cards!B:B),"")</f>
        <v>Elemental Mortal</v>
      </c>
      <c r="J7" s="213" t="str">
        <f t="array" ref="J7">IFNA(XLOOKUP($D7,Cards!$A:$A,Cards!D:D),"")</f>
        <v>Bannerbearer Human Warrior</v>
      </c>
      <c r="K7" s="213" t="str">
        <f t="array" ref="K7">IFNA(XLOOKUP($D7,Cards!$A:$A,Cards!E:E),"")</f>
        <v/>
      </c>
      <c r="L7" s="214">
        <f t="array" ref="L7">IFNA(XLOOKUP($D7,Cards!$A:$A,Cards!G:G),"")</f>
        <v>2</v>
      </c>
      <c r="M7" s="214" t="str">
        <f t="array" ref="M7">IFNA(XLOOKUP($D7,Cards!$A:$A,Cards!H:H),"")</f>
        <v>E, M</v>
      </c>
      <c r="N7" s="214" t="str">
        <f t="array" ref="N7">IFNA(XLOOKUP($D7,Cards!$A:$A,Cards!I:I),"")</f>
        <v>Common</v>
      </c>
      <c r="O7" s="215">
        <f t="shared" si="1"/>
        <v>4</v>
      </c>
    </row>
    <row r="8">
      <c r="A8" s="220" t="str">
        <f>IFERROR(__xludf.DUMMYFUNCTION("UNIQUE(QUERY($D$2:L968,""select I where E like '%"" &amp; $A$2 &amp; ""%'""))"),"Elemental")</f>
        <v>Elemental</v>
      </c>
      <c r="B8" s="20">
        <f>IFERROR(__xludf.DUMMYFUNCTION("IFNA(QUERY($D$2:O968,""select count(D) where I = '"" &amp; $A8 &amp; ""' and E like '%"" &amp; $A$2 &amp; ""%' label count(D) ''""),"""")"),13.0)</f>
        <v>13</v>
      </c>
      <c r="D8" s="22" t="s">
        <v>1214</v>
      </c>
      <c r="E8" s="7" t="s">
        <v>2836</v>
      </c>
      <c r="F8" s="216">
        <v>2.0</v>
      </c>
      <c r="G8" s="29" t="s">
        <v>2838</v>
      </c>
      <c r="H8" s="213">
        <f t="array" ref="H8">IFNA(XLOOKUP($D8,Cards!$A:$A,Cards!C:C),"")</f>
        <v>1</v>
      </c>
      <c r="I8" s="213" t="str">
        <f t="array" ref="I8">IFNA(XLOOKUP($D8,Cards!$A:$A,Cards!B:B),"")</f>
        <v>Mortal</v>
      </c>
      <c r="J8" s="213" t="str">
        <f t="array" ref="J8">IFNA(XLOOKUP($D8,Cards!$A:$A,Cards!D:D),"")</f>
        <v>Dragon</v>
      </c>
      <c r="K8" s="213" t="str">
        <f t="array" ref="K8">IFNA(XLOOKUP($D8,Cards!$A:$A,Cards!E:E),"")</f>
        <v>Deploy: Choose one: - You may move an adjacent friendly Unit. - Draw a Card.</v>
      </c>
      <c r="L8" s="214">
        <f t="array" ref="L8">IFNA(XLOOKUP($D8,Cards!$A:$A,Cards!G:G),"")</f>
        <v>2</v>
      </c>
      <c r="M8" s="214" t="str">
        <f t="array" ref="M8">IFNA(XLOOKUP($D8,Cards!$A:$A,Cards!H:H),"")</f>
        <v>M, M, ?, ?</v>
      </c>
      <c r="N8" s="214" t="str">
        <f t="array" ref="N8">IFNA(XLOOKUP($D8,Cards!$A:$A,Cards!I:I),"")</f>
        <v>Common</v>
      </c>
      <c r="O8" s="215">
        <f t="shared" si="1"/>
        <v>4</v>
      </c>
    </row>
    <row r="9">
      <c r="A9" s="221" t="str">
        <f>IFERROR(__xludf.DUMMYFUNCTION("""COMPUTED_VALUE"""),"Nature")</f>
        <v>Nature</v>
      </c>
      <c r="B9" s="20">
        <f>IFERROR(__xludf.DUMMYFUNCTION("IFNA(QUERY($D$2:O968,""select count(D) where I = '"" &amp; $A9 &amp; ""' and E like '%"" &amp; $A$2 &amp; ""%' label count(D) ''""),"""")"),5.0)</f>
        <v>5</v>
      </c>
      <c r="D9" s="7" t="s">
        <v>1008</v>
      </c>
      <c r="E9" s="7" t="s">
        <v>2836</v>
      </c>
      <c r="F9" s="216">
        <v>1.0</v>
      </c>
      <c r="G9" s="29" t="s">
        <v>2837</v>
      </c>
      <c r="H9" s="213">
        <f t="array" ref="H9">IFNA(XLOOKUP($D9,Cards!$A:$A,Cards!C:C),"")</f>
        <v>1</v>
      </c>
      <c r="I9" s="213" t="str">
        <f t="array" ref="I9">IFNA(XLOOKUP($D9,Cards!$A:$A,Cards!B:B),"")</f>
        <v>Elemental Mortal</v>
      </c>
      <c r="J9" s="213" t="str">
        <f t="array" ref="J9">IFNA(XLOOKUP($D9,Cards!$A:$A,Cards!D:D),"")</f>
        <v>Human Dragon</v>
      </c>
      <c r="K9" s="213" t="str">
        <f t="array" ref="K9">IFNA(XLOOKUP($D9,Cards!$A:$A,Cards!E:E),"")</f>
        <v>Deploy: Copy the Ability of an adjacent Dragon Unit or Human Unit.</v>
      </c>
      <c r="L9" s="214">
        <f t="array" ref="L9">IFNA(XLOOKUP($D9,Cards!$A:$A,Cards!G:G),"")</f>
        <v>2</v>
      </c>
      <c r="M9" s="214" t="str">
        <f t="array" ref="M9">IFNA(XLOOKUP($D9,Cards!$A:$A,Cards!H:H),"")</f>
        <v>E, M, ?, ?</v>
      </c>
      <c r="N9" s="214" t="str">
        <f t="array" ref="N9">IFNA(XLOOKUP($D9,Cards!$A:$A,Cards!I:I),"")</f>
        <v>Uncommon</v>
      </c>
      <c r="O9" s="215">
        <f t="shared" si="1"/>
        <v>2</v>
      </c>
    </row>
    <row r="10">
      <c r="A10" s="222" t="str">
        <f>IFERROR(__xludf.DUMMYFUNCTION("""COMPUTED_VALUE"""),"Elemental Nature")</f>
        <v>Elemental Nature</v>
      </c>
      <c r="B10" s="20">
        <f>IFERROR(__xludf.DUMMYFUNCTION("IFNA(QUERY($D$2:O968,""select count(D) where I = '"" &amp; $A10 &amp; ""' and E like '%"" &amp; $A$2 &amp; ""%' label count(D) ''""),"""")"),2.0)</f>
        <v>2</v>
      </c>
      <c r="D10" s="7" t="s">
        <v>847</v>
      </c>
      <c r="E10" s="7" t="s">
        <v>2836</v>
      </c>
      <c r="F10" s="216">
        <v>2.0</v>
      </c>
      <c r="G10" s="29" t="s">
        <v>2838</v>
      </c>
      <c r="H10" s="213">
        <f t="array" ref="H10">IFNA(XLOOKUP($D10,Cards!$A:$A,Cards!C:C),"")</f>
        <v>1</v>
      </c>
      <c r="I10" s="213" t="str">
        <f t="array" ref="I10">IFNA(XLOOKUP($D10,Cards!$A:$A,Cards!B:B),"")</f>
        <v>Elemental</v>
      </c>
      <c r="J10" s="213" t="str">
        <f t="array" ref="J10">IFNA(XLOOKUP($D10,Cards!$A:$A,Cards!D:D),"")</f>
        <v>Human Warrior</v>
      </c>
      <c r="K10" s="213" t="str">
        <f t="array" ref="K10">IFNA(XLOOKUP($D10,Cards!$A:$A,Cards!E:E),"")</f>
        <v/>
      </c>
      <c r="L10" s="214">
        <f t="array" ref="L10">IFNA(XLOOKUP($D10,Cards!$A:$A,Cards!G:G),"")</f>
        <v>3</v>
      </c>
      <c r="M10" s="214" t="str">
        <f t="array" ref="M10">IFNA(XLOOKUP($D10,Cards!$A:$A,Cards!H:H),"")</f>
        <v>E, ?</v>
      </c>
      <c r="N10" s="214" t="str">
        <f t="array" ref="N10">IFNA(XLOOKUP($D10,Cards!$A:$A,Cards!I:I),"")</f>
        <v>Common</v>
      </c>
      <c r="O10" s="215">
        <f t="shared" si="1"/>
        <v>6</v>
      </c>
    </row>
    <row r="11">
      <c r="A11" s="222"/>
      <c r="B11" s="20">
        <f>IFERROR(__xludf.DUMMYFUNCTION("IFNA(QUERY($D$2:O968,""select count(D) where I = '"" &amp; $A11 &amp; ""' and E like '%"" &amp; $A$2 &amp; ""%' label count(D) ''""),"""")"),0.0)</f>
        <v>0</v>
      </c>
      <c r="D11" s="16" t="s">
        <v>924</v>
      </c>
      <c r="E11" s="7" t="s">
        <v>2836</v>
      </c>
      <c r="F11" s="216">
        <v>2.0</v>
      </c>
      <c r="G11" s="29" t="s">
        <v>2838</v>
      </c>
      <c r="H11" s="213">
        <f t="array" ref="H11">IFNA(XLOOKUP($D11,Cards!$A:$A,Cards!C:C),"")</f>
        <v>1</v>
      </c>
      <c r="I11" s="213" t="str">
        <f t="array" ref="I11">IFNA(XLOOKUP($D11,Cards!$A:$A,Cards!B:B),"")</f>
        <v>Elemental</v>
      </c>
      <c r="J11" s="213" t="str">
        <f t="array" ref="J11">IFNA(XLOOKUP($D11,Cards!$A:$A,Cards!D:D),"")</f>
        <v>Human Spirit</v>
      </c>
      <c r="K11" s="213" t="str">
        <f t="array" ref="K11">IFNA(XLOOKUP($D11,Cards!$A:$A,Cards!E:E),"")</f>
        <v/>
      </c>
      <c r="L11" s="214">
        <f t="array" ref="L11">IFNA(XLOOKUP($D11,Cards!$A:$A,Cards!G:G),"")</f>
        <v>4</v>
      </c>
      <c r="M11" s="214" t="str">
        <f t="array" ref="M11">IFNA(XLOOKUP($D11,Cards!$A:$A,Cards!H:H),"")</f>
        <v>E, ?, ?, ?</v>
      </c>
      <c r="N11" s="214" t="str">
        <f t="array" ref="N11">IFNA(XLOOKUP($D11,Cards!$A:$A,Cards!I:I),"")</f>
        <v>Common</v>
      </c>
      <c r="O11" s="215">
        <f t="shared" si="1"/>
        <v>8</v>
      </c>
    </row>
    <row r="12">
      <c r="A12" s="222"/>
      <c r="B12" s="20">
        <f>IFERROR(__xludf.DUMMYFUNCTION("IFNA(QUERY($D$2:O968,""select count(D) where I = '"" &amp; $A12 &amp; ""' and E like '%"" &amp; $A$2 &amp; ""%' label count(D) ''""),"""")"),0.0)</f>
        <v>0</v>
      </c>
      <c r="D12" s="22" t="s">
        <v>1204</v>
      </c>
      <c r="E12" s="7" t="s">
        <v>2836</v>
      </c>
      <c r="F12" s="216">
        <v>1.0</v>
      </c>
      <c r="G12" s="29" t="s">
        <v>2838</v>
      </c>
      <c r="H12" s="213">
        <f t="array" ref="H12">IFNA(XLOOKUP($D12,Cards!$A:$A,Cards!C:C),"")</f>
        <v>1</v>
      </c>
      <c r="I12" s="213" t="str">
        <f t="array" ref="I12">IFNA(XLOOKUP($D12,Cards!$A:$A,Cards!B:B),"")</f>
        <v>Mortal</v>
      </c>
      <c r="J12" s="213" t="str">
        <f t="array" ref="J12">IFNA(XLOOKUP($D12,Cards!$A:$A,Cards!D:D),"")</f>
        <v>Animal Construct</v>
      </c>
      <c r="K12" s="213" t="str">
        <f t="array" ref="K12">IFNA(XLOOKUP($D12,Cards!$A:$A,Cards!E:E),"")</f>
        <v>Deploy: Choose one: - Each other friendly Unit in this Lane gets +1 Power. - Gain +3 Power.</v>
      </c>
      <c r="L12" s="214">
        <f t="array" ref="L12">IFNA(XLOOKUP($D12,Cards!$A:$A,Cards!G:G),"")</f>
        <v>3</v>
      </c>
      <c r="M12" s="214" t="str">
        <f t="array" ref="M12">IFNA(XLOOKUP($D12,Cards!$A:$A,Cards!H:H),"")</f>
        <v>M, M, ?, ?, ?, ?</v>
      </c>
      <c r="N12" s="214" t="str">
        <f t="array" ref="N12">IFNA(XLOOKUP($D12,Cards!$A:$A,Cards!I:I),"")</f>
        <v>Common</v>
      </c>
      <c r="O12" s="215">
        <f t="shared" si="1"/>
        <v>3</v>
      </c>
    </row>
    <row r="13">
      <c r="A13" s="222"/>
      <c r="B13" s="20">
        <f>IFERROR(__xludf.DUMMYFUNCTION("IFNA(QUERY($D$2:O968,""select count(D) where I = '"" &amp; $A13 &amp; ""' and E like '%"" &amp; $A$2 &amp; ""%' label count(D) ''""),"""")"),0.0)</f>
        <v>0</v>
      </c>
      <c r="D13" s="16" t="s">
        <v>829</v>
      </c>
      <c r="E13" s="7" t="s">
        <v>2836</v>
      </c>
      <c r="F13" s="216">
        <v>1.0</v>
      </c>
      <c r="G13" s="29" t="s">
        <v>2838</v>
      </c>
      <c r="H13" s="213">
        <f t="array" ref="H13">IFNA(XLOOKUP($D13,Cards!$A:$A,Cards!C:C),"")</f>
        <v>1</v>
      </c>
      <c r="I13" s="213" t="str">
        <f t="array" ref="I13">IFNA(XLOOKUP($D13,Cards!$A:$A,Cards!B:B),"")</f>
        <v>Elemental</v>
      </c>
      <c r="J13" s="213" t="str">
        <f t="array" ref="J13">IFNA(XLOOKUP($D13,Cards!$A:$A,Cards!D:D),"")</f>
        <v>Dragon Spirit</v>
      </c>
      <c r="K13" s="213" t="str">
        <f t="array" ref="K13">IFNA(XLOOKUP($D13,Cards!$A:$A,Cards!E:E),"")</f>
        <v>Deploy: You may return a friendly Spirit or Warrior to your hand. If you do, draw a Card.</v>
      </c>
      <c r="L13" s="214">
        <f t="array" ref="L13">IFNA(XLOOKUP($D13,Cards!$A:$A,Cards!G:G),"")</f>
        <v>3</v>
      </c>
      <c r="M13" s="214" t="str">
        <f t="array" ref="M13">IFNA(XLOOKUP($D13,Cards!$A:$A,Cards!H:H),"")</f>
        <v>E, ?, ?, ?</v>
      </c>
      <c r="N13" s="214" t="str">
        <f t="array" ref="N13">IFNA(XLOOKUP($D13,Cards!$A:$A,Cards!I:I),"")</f>
        <v>Uncommon</v>
      </c>
      <c r="O13" s="215">
        <f t="shared" si="1"/>
        <v>3</v>
      </c>
    </row>
    <row r="14">
      <c r="D14" s="7" t="s">
        <v>1496</v>
      </c>
      <c r="E14" s="7" t="s">
        <v>2836</v>
      </c>
      <c r="F14" s="216">
        <v>2.0</v>
      </c>
      <c r="G14" s="29" t="s">
        <v>2838</v>
      </c>
      <c r="H14" s="213">
        <f t="array" ref="H14">IFNA(XLOOKUP($D14,Cards!$A:$A,Cards!C:C),"")</f>
        <v>1</v>
      </c>
      <c r="I14" s="213" t="str">
        <f t="array" ref="I14">IFNA(XLOOKUP($D14,Cards!$A:$A,Cards!B:B),"")</f>
        <v>Mortal</v>
      </c>
      <c r="J14" s="213" t="str">
        <f t="array" ref="J14">IFNA(XLOOKUP($D14,Cards!$A:$A,Cards!D:D),"")</f>
        <v>Human Hunter</v>
      </c>
      <c r="K14" s="213" t="str">
        <f t="array" ref="K14">IFNA(XLOOKUP($D14,Cards!$A:$A,Cards!E:E),"")</f>
        <v/>
      </c>
      <c r="L14" s="214">
        <f t="array" ref="L14">IFNA(XLOOKUP($D14,Cards!$A:$A,Cards!G:G),"")</f>
        <v>4</v>
      </c>
      <c r="M14" s="214" t="str">
        <f t="array" ref="M14">IFNA(XLOOKUP($D14,Cards!$A:$A,Cards!H:H),"")</f>
        <v>M, ?, ?, ?</v>
      </c>
      <c r="N14" s="214" t="str">
        <f t="array" ref="N14">IFNA(XLOOKUP($D14,Cards!$A:$A,Cards!I:I),"")</f>
        <v>Common</v>
      </c>
      <c r="O14" s="215">
        <f t="shared" si="1"/>
        <v>8</v>
      </c>
    </row>
    <row r="15">
      <c r="D15" s="24" t="s">
        <v>1433</v>
      </c>
      <c r="E15" s="7" t="s">
        <v>2836</v>
      </c>
      <c r="F15" s="216">
        <v>1.0</v>
      </c>
      <c r="G15" s="29" t="s">
        <v>2838</v>
      </c>
      <c r="H15" s="213">
        <f t="array" ref="H15">IFNA(XLOOKUP($D15,Cards!$A:$A,Cards!C:C),"")</f>
        <v>1</v>
      </c>
      <c r="I15" s="213" t="str">
        <f t="array" ref="I15">IFNA(XLOOKUP($D15,Cards!$A:$A,Cards!B:B),"")</f>
        <v>Mortal</v>
      </c>
      <c r="J15" s="213" t="str">
        <f t="array" ref="J15">IFNA(XLOOKUP($D15,Cards!$A:$A,Cards!D:D),"")</f>
        <v>Human</v>
      </c>
      <c r="K15" s="213" t="str">
        <f t="array" ref="K15">IFNA(XLOOKUP($D15,Cards!$A:$A,Cards!E:E),"")</f>
        <v>Deploy: Bury each friendly Unit in this Lane to gain its Power.</v>
      </c>
      <c r="L15" s="214">
        <f t="array" ref="L15">IFNA(XLOOKUP($D15,Cards!$A:$A,Cards!G:G),"")</f>
        <v>4</v>
      </c>
      <c r="M15" s="214" t="str">
        <f t="array" ref="M15">IFNA(XLOOKUP($D15,Cards!$A:$A,Cards!H:H),"")</f>
        <v>M, M, ?, ?</v>
      </c>
      <c r="N15" s="214" t="str">
        <f t="array" ref="N15">IFNA(XLOOKUP($D15,Cards!$A:$A,Cards!I:I),"")</f>
        <v>Rare</v>
      </c>
      <c r="O15" s="215">
        <f t="shared" si="1"/>
        <v>4</v>
      </c>
    </row>
    <row r="16">
      <c r="D16" s="28" t="s">
        <v>794</v>
      </c>
      <c r="E16" s="7" t="s">
        <v>2836</v>
      </c>
      <c r="F16" s="216">
        <v>1.0</v>
      </c>
      <c r="G16" s="29" t="s">
        <v>2838</v>
      </c>
      <c r="H16" s="213">
        <f t="array" ref="H16">IFNA(XLOOKUP($D16,Cards!$A:$A,Cards!C:C),"")</f>
        <v>1</v>
      </c>
      <c r="I16" s="213" t="str">
        <f t="array" ref="I16">IFNA(XLOOKUP($D16,Cards!$A:$A,Cards!B:B),"")</f>
        <v>Elemental</v>
      </c>
      <c r="J16" s="213" t="str">
        <f t="array" ref="J16">IFNA(XLOOKUP($D16,Cards!$A:$A,Cards!D:D),"")</f>
        <v>Human Hunter</v>
      </c>
      <c r="K16" s="213" t="str">
        <f t="array" ref="K16">IFNA(XLOOKUP($D16,Cards!$A:$A,Cards!E:E),"")</f>
        <v>Deploy: Bury a Crystal.</v>
      </c>
      <c r="L16" s="214">
        <f t="array" ref="L16">IFNA(XLOOKUP($D16,Cards!$A:$A,Cards!G:G),"")</f>
        <v>4</v>
      </c>
      <c r="M16" s="214" t="str">
        <f t="array" ref="M16">IFNA(XLOOKUP($D16,Cards!$A:$A,Cards!H:H),"")</f>
        <v>E, E, ?, ?, ?</v>
      </c>
      <c r="N16" s="214" t="str">
        <f t="array" ref="N16">IFNA(XLOOKUP($D16,Cards!$A:$A,Cards!I:I),"")</f>
        <v>Uncommon</v>
      </c>
      <c r="O16" s="215">
        <f t="shared" si="1"/>
        <v>4</v>
      </c>
    </row>
    <row r="17">
      <c r="D17" s="16" t="s">
        <v>1392</v>
      </c>
      <c r="E17" s="7" t="s">
        <v>2836</v>
      </c>
      <c r="F17" s="216">
        <v>2.0</v>
      </c>
      <c r="G17" s="29" t="s">
        <v>2838</v>
      </c>
      <c r="H17" s="213">
        <f t="array" ref="H17">IFNA(XLOOKUP($D17,Cards!$A:$A,Cards!C:C),"")</f>
        <v>1</v>
      </c>
      <c r="I17" s="213" t="str">
        <f t="array" ref="I17">IFNA(XLOOKUP($D17,Cards!$A:$A,Cards!B:B),"")</f>
        <v>Mortal</v>
      </c>
      <c r="J17" s="213" t="str">
        <f t="array" ref="J17">IFNA(XLOOKUP($D17,Cards!$A:$A,Cards!D:D),"")</f>
        <v>Spirit Warrior</v>
      </c>
      <c r="K17" s="213" t="str">
        <f t="array" ref="K17">IFNA(XLOOKUP($D17,Cards!$A:$A,Cards!E:E),"")</f>
        <v>Crystallize: A friendly Unit becomes a Warrior Unit until end of turn. Deploy: Gain +1 Power for each adjacent Warrior.</v>
      </c>
      <c r="L17" s="214">
        <f t="array" ref="L17">IFNA(XLOOKUP($D17,Cards!$A:$A,Cards!G:G),"")</f>
        <v>4</v>
      </c>
      <c r="M17" s="214" t="str">
        <f t="array" ref="M17">IFNA(XLOOKUP($D17,Cards!$A:$A,Cards!H:H),"")</f>
        <v>M, M, ?, ?, ?</v>
      </c>
      <c r="N17" s="214" t="str">
        <f t="array" ref="N17">IFNA(XLOOKUP($D17,Cards!$A:$A,Cards!I:I),"")</f>
        <v>Uncommon</v>
      </c>
      <c r="O17" s="215">
        <f t="shared" si="1"/>
        <v>8</v>
      </c>
    </row>
    <row r="18">
      <c r="D18" s="22" t="s">
        <v>515</v>
      </c>
      <c r="E18" s="7" t="s">
        <v>2836</v>
      </c>
      <c r="F18" s="216">
        <v>2.0</v>
      </c>
      <c r="G18" s="29" t="s">
        <v>2837</v>
      </c>
      <c r="H18" s="213">
        <f t="array" ref="H18">IFNA(XLOOKUP($D18,Cards!$A:$A,Cards!C:C),"")</f>
        <v>1</v>
      </c>
      <c r="I18" s="213" t="str">
        <f t="array" ref="I18">IFNA(XLOOKUP($D18,Cards!$A:$A,Cards!B:B),"")</f>
        <v>Elemental</v>
      </c>
      <c r="J18" s="213" t="str">
        <f t="array" ref="J18">IFNA(XLOOKUP($D18,Cards!$A:$A,Cards!D:D),"")</f>
        <v>Dragon Human</v>
      </c>
      <c r="K18" s="213" t="str">
        <f t="array" ref="K18">IFNA(XLOOKUP($D18,Cards!$A:$A,Cards!E:E),"")</f>
        <v>Crystallize and Deploy: Another friendly Unit gains Taunt.</v>
      </c>
      <c r="L18" s="214">
        <f t="array" ref="L18">IFNA(XLOOKUP($D18,Cards!$A:$A,Cards!G:G),"")</f>
        <v>5</v>
      </c>
      <c r="M18" s="214" t="str">
        <f t="array" ref="M18">IFNA(XLOOKUP($D18,Cards!$A:$A,Cards!H:H),"")</f>
        <v>E, E, ?, ?, ?, ?</v>
      </c>
      <c r="N18" s="214" t="str">
        <f t="array" ref="N18">IFNA(XLOOKUP($D18,Cards!$A:$A,Cards!I:I),"")</f>
        <v>Common</v>
      </c>
      <c r="O18" s="215">
        <f t="shared" si="1"/>
        <v>10</v>
      </c>
    </row>
    <row r="19">
      <c r="D19" s="16" t="s">
        <v>1486</v>
      </c>
      <c r="E19" s="7" t="s">
        <v>2836</v>
      </c>
      <c r="F19" s="216">
        <v>2.0</v>
      </c>
      <c r="G19" s="29" t="s">
        <v>2838</v>
      </c>
      <c r="H19" s="213">
        <f t="array" ref="H19">IFNA(XLOOKUP($D19,Cards!$A:$A,Cards!C:C),"")</f>
        <v>1</v>
      </c>
      <c r="I19" s="213" t="str">
        <f t="array" ref="I19">IFNA(XLOOKUP($D19,Cards!$A:$A,Cards!B:B),"")</f>
        <v>Mortal</v>
      </c>
      <c r="J19" s="213" t="str">
        <f t="array" ref="J19">IFNA(XLOOKUP($D19,Cards!$A:$A,Cards!D:D),"")</f>
        <v>Human Warrior</v>
      </c>
      <c r="K19" s="213" t="str">
        <f t="array" ref="K19">IFNA(XLOOKUP($D19,Cards!$A:$A,Cards!E:E),"")</f>
        <v/>
      </c>
      <c r="L19" s="214">
        <f t="array" ref="L19">IFNA(XLOOKUP($D19,Cards!$A:$A,Cards!G:G),"")</f>
        <v>5</v>
      </c>
      <c r="M19" s="214" t="str">
        <f t="array" ref="M19">IFNA(XLOOKUP($D19,Cards!$A:$A,Cards!H:H),"")</f>
        <v>M, ?, ?, ?, ?</v>
      </c>
      <c r="N19" s="214" t="str">
        <f t="array" ref="N19">IFNA(XLOOKUP($D19,Cards!$A:$A,Cards!I:I),"")</f>
        <v>Common</v>
      </c>
      <c r="O19" s="215">
        <f t="shared" si="1"/>
        <v>10</v>
      </c>
    </row>
    <row r="20">
      <c r="D20" s="7" t="s">
        <v>871</v>
      </c>
      <c r="E20" s="7" t="s">
        <v>2836</v>
      </c>
      <c r="F20" s="216">
        <v>1.0</v>
      </c>
      <c r="G20" s="29" t="s">
        <v>2838</v>
      </c>
      <c r="H20" s="213">
        <f t="array" ref="H20">IFNA(XLOOKUP($D20,Cards!$A:$A,Cards!C:C),"")</f>
        <v>1</v>
      </c>
      <c r="I20" s="213" t="str">
        <f t="array" ref="I20">IFNA(XLOOKUP($D20,Cards!$A:$A,Cards!B:B),"")</f>
        <v>Elemental</v>
      </c>
      <c r="J20" s="213" t="str">
        <f t="array" ref="J20">IFNA(XLOOKUP($D20,Cards!$A:$A,Cards!D:D),"")</f>
        <v>Spirit</v>
      </c>
      <c r="K20" s="213" t="str">
        <f t="array" ref="K20">IFNA(XLOOKUP($D20,Cards!$A:$A,Cards!E:E),"")</f>
        <v>Deploy: Swap an adjacent friendly Unit with the top Card of your Deck.</v>
      </c>
      <c r="L20" s="214">
        <f t="array" ref="L20">IFNA(XLOOKUP($D20,Cards!$A:$A,Cards!G:G),"")</f>
        <v>5</v>
      </c>
      <c r="M20" s="214" t="str">
        <f t="array" ref="M20">IFNA(XLOOKUP($D20,Cards!$A:$A,Cards!H:H),"")</f>
        <v>E, E, ?, ?, ?, ?</v>
      </c>
      <c r="N20" s="214" t="str">
        <f t="array" ref="N20">IFNA(XLOOKUP($D20,Cards!$A:$A,Cards!I:I),"")</f>
        <v>Rare</v>
      </c>
      <c r="O20" s="215">
        <f t="shared" si="1"/>
        <v>5</v>
      </c>
    </row>
    <row r="21">
      <c r="D21" s="7" t="s">
        <v>1235</v>
      </c>
      <c r="E21" s="7" t="s">
        <v>2836</v>
      </c>
      <c r="F21" s="216">
        <v>1.0</v>
      </c>
      <c r="G21" s="29" t="s">
        <v>2838</v>
      </c>
      <c r="H21" s="213">
        <f t="array" ref="H21">IFNA(XLOOKUP($D21,Cards!$A:$A,Cards!C:C),"")</f>
        <v>1</v>
      </c>
      <c r="I21" s="213" t="str">
        <f t="array" ref="I21">IFNA(XLOOKUP($D21,Cards!$A:$A,Cards!B:B),"")</f>
        <v>Mortal</v>
      </c>
      <c r="J21" s="213" t="str">
        <f t="array" ref="J21">IFNA(XLOOKUP($D21,Cards!$A:$A,Cards!D:D),"")</f>
        <v>Animal Warrior</v>
      </c>
      <c r="K21" s="213" t="str">
        <f t="array" ref="K21">IFNA(XLOOKUP($D21,Cards!$A:$A,Cards!E:E),"")</f>
        <v>Deploy: If you have another Warrior Unit, gain Ward.</v>
      </c>
      <c r="L21" s="214">
        <f t="array" ref="L21">IFNA(XLOOKUP($D21,Cards!$A:$A,Cards!G:G),"")</f>
        <v>6</v>
      </c>
      <c r="M21" s="214" t="str">
        <f t="array" ref="M21">IFNA(XLOOKUP($D21,Cards!$A:$A,Cards!H:H),"")</f>
        <v>M, M, M, ?</v>
      </c>
      <c r="N21" s="214" t="str">
        <f t="array" ref="N21">IFNA(XLOOKUP($D21,Cards!$A:$A,Cards!I:I),"")</f>
        <v>Common</v>
      </c>
      <c r="O21" s="215">
        <f t="shared" si="1"/>
        <v>6</v>
      </c>
    </row>
    <row r="22">
      <c r="D22" s="16" t="s">
        <v>1479</v>
      </c>
      <c r="E22" s="7" t="s">
        <v>2836</v>
      </c>
      <c r="F22" s="216">
        <v>1.0</v>
      </c>
      <c r="G22" s="29" t="s">
        <v>2837</v>
      </c>
      <c r="H22" s="213">
        <f t="array" ref="H22">IFNA(XLOOKUP($D22,Cards!$A:$A,Cards!C:C),"")</f>
        <v>1</v>
      </c>
      <c r="I22" s="213" t="str">
        <f t="array" ref="I22">IFNA(XLOOKUP($D22,Cards!$A:$A,Cards!B:B),"")</f>
        <v>Mortal</v>
      </c>
      <c r="J22" s="213" t="str">
        <f t="array" ref="J22">IFNA(XLOOKUP($D22,Cards!$A:$A,Cards!D:D),"")</f>
        <v>Human Warrior</v>
      </c>
      <c r="K22" s="213" t="str">
        <f t="array" ref="K22">IFNA(XLOOKUP($D22,Cards!$A:$A,Cards!E:E),"")</f>
        <v>Deploy: Choose a friendly Warrior Unit. You may bury an enemy Unit adjacent to the chosen if that Unit has lower Power than the Warrior.</v>
      </c>
      <c r="L22" s="214">
        <f t="array" ref="L22">IFNA(XLOOKUP($D22,Cards!$A:$A,Cards!G:G),"")</f>
        <v>7</v>
      </c>
      <c r="M22" s="214" t="str">
        <f t="array" ref="M22">IFNA(XLOOKUP($D22,Cards!$A:$A,Cards!H:H),"")</f>
        <v>M, M, M, ?, ?, ?</v>
      </c>
      <c r="N22" s="214" t="str">
        <f t="array" ref="N22">IFNA(XLOOKUP($D22,Cards!$A:$A,Cards!I:I),"")</f>
        <v>Rare</v>
      </c>
      <c r="O22" s="215">
        <f t="shared" si="1"/>
        <v>7</v>
      </c>
    </row>
    <row r="23">
      <c r="D23" s="16" t="s">
        <v>1869</v>
      </c>
      <c r="E23" s="16" t="s">
        <v>2842</v>
      </c>
      <c r="F23" s="216">
        <v>1.0</v>
      </c>
      <c r="G23" s="29" t="s">
        <v>2837</v>
      </c>
      <c r="H23" s="213">
        <f t="array" ref="H23">IFNA(XLOOKUP($D23,Cards!$A:$A,Cards!C:C),"")</f>
        <v>1</v>
      </c>
      <c r="I23" s="213" t="str">
        <f t="array" ref="I23">IFNA(XLOOKUP($D23,Cards!$A:$A,Cards!B:B),"")</f>
        <v>Nature Void</v>
      </c>
      <c r="J23" s="213" t="str">
        <f t="array" ref="J23">IFNA(XLOOKUP($D23,Cards!$A:$A,Cards!D:D),"")</f>
        <v>Demon Insect</v>
      </c>
      <c r="K23" s="213" t="str">
        <f t="array" ref="K23">IFNA(XLOOKUP($D23,Cards!$A:$A,Cards!E:E),"")</f>
        <v>Deploy: Gain +1 Power for each buried Unit, then gain an additional +1 Power for each Unit with Ambush.</v>
      </c>
      <c r="L23" s="214">
        <f t="array" ref="L23">IFNA(XLOOKUP($D23,Cards!$A:$A,Cards!G:G),"")</f>
        <v>0</v>
      </c>
      <c r="M23" s="214" t="str">
        <f t="array" ref="M23">IFNA(XLOOKUP($D23,Cards!$A:$A,Cards!H:H),"")</f>
        <v>N, N, V, ?</v>
      </c>
      <c r="N23" s="214" t="str">
        <f t="array" ref="N23">IFNA(XLOOKUP($D23,Cards!$A:$A,Cards!I:I),"")</f>
        <v>Uncommon</v>
      </c>
      <c r="O23" s="215">
        <f t="shared" si="1"/>
        <v>0</v>
      </c>
    </row>
    <row r="24">
      <c r="D24" s="7" t="s">
        <v>1744</v>
      </c>
      <c r="E24" s="7" t="s">
        <v>2842</v>
      </c>
      <c r="F24" s="216">
        <v>1.0</v>
      </c>
      <c r="G24" s="29" t="s">
        <v>2837</v>
      </c>
      <c r="H24" s="213">
        <f t="array" ref="H24">IFNA(XLOOKUP($D24,Cards!$A:$A,Cards!C:C),"")</f>
        <v>1</v>
      </c>
      <c r="I24" s="213" t="str">
        <f t="array" ref="I24">IFNA(XLOOKUP($D24,Cards!$A:$A,Cards!B:B),"")</f>
        <v>Nature</v>
      </c>
      <c r="J24" s="213" t="str">
        <f t="array" ref="J24">IFNA(XLOOKUP($D24,Cards!$A:$A,Cards!D:D),"")</f>
        <v>Plant Spirit</v>
      </c>
      <c r="K24" s="213" t="str">
        <f t="array" ref="K24">IFNA(XLOOKUP($D24,Cards!$A:$A,Cards!E:E),"")</f>
        <v>Whenever a friendly Nature Unit is deployed adjacently, gain +2 Power.</v>
      </c>
      <c r="L24" s="214">
        <f t="array" ref="L24">IFNA(XLOOKUP($D24,Cards!$A:$A,Cards!G:G),"")</f>
        <v>1</v>
      </c>
      <c r="M24" s="214" t="str">
        <f t="array" ref="M24">IFNA(XLOOKUP($D24,Cards!$A:$A,Cards!H:H),"")</f>
        <v>N, ?</v>
      </c>
      <c r="N24" s="214" t="str">
        <f t="array" ref="N24">IFNA(XLOOKUP($D24,Cards!$A:$A,Cards!I:I),"")</f>
        <v>Common</v>
      </c>
      <c r="O24" s="215">
        <f t="shared" si="1"/>
        <v>1</v>
      </c>
      <c r="P24" s="7"/>
      <c r="Q24" s="7"/>
      <c r="R24" s="7"/>
      <c r="S24" s="7"/>
      <c r="T24" s="7"/>
      <c r="U24" s="7"/>
      <c r="V24" s="7"/>
      <c r="W24" s="7"/>
      <c r="X24" s="7"/>
      <c r="Y24" s="7"/>
      <c r="Z24" s="7"/>
      <c r="AA24" s="7"/>
      <c r="AB24" s="7"/>
    </row>
    <row r="25">
      <c r="D25" s="7" t="s">
        <v>1703</v>
      </c>
      <c r="E25" s="7" t="s">
        <v>2842</v>
      </c>
      <c r="F25" s="216">
        <v>1.0</v>
      </c>
      <c r="G25" s="29" t="s">
        <v>2838</v>
      </c>
      <c r="H25" s="213">
        <f t="array" ref="H25">IFNA(XLOOKUP($D25,Cards!$A:$A,Cards!C:C),"")</f>
        <v>1</v>
      </c>
      <c r="I25" s="213" t="str">
        <f t="array" ref="I25">IFNA(XLOOKUP($D25,Cards!$A:$A,Cards!B:B),"")</f>
        <v>Nature</v>
      </c>
      <c r="J25" s="213" t="str">
        <f t="array" ref="J25">IFNA(XLOOKUP($D25,Cards!$A:$A,Cards!D:D),"")</f>
        <v>Plant</v>
      </c>
      <c r="K25" s="213" t="str">
        <f t="array" ref="K25">IFNA(XLOOKUP($D25,Cards!$A:$A,Cards!E:E),"")</f>
        <v>Deploy: Adjacent friendly Plant Units gain +2 Power.</v>
      </c>
      <c r="L25" s="214">
        <f t="array" ref="L25">IFNA(XLOOKUP($D25,Cards!$A:$A,Cards!G:G),"")</f>
        <v>2</v>
      </c>
      <c r="M25" s="214" t="str">
        <f t="array" ref="M25">IFNA(XLOOKUP($D25,Cards!$A:$A,Cards!H:H),"")</f>
        <v>N, ?</v>
      </c>
      <c r="N25" s="214" t="str">
        <f t="array" ref="N25">IFNA(XLOOKUP($D25,Cards!$A:$A,Cards!I:I),"")</f>
        <v>Common</v>
      </c>
      <c r="O25" s="215">
        <f t="shared" si="1"/>
        <v>2</v>
      </c>
      <c r="P25" s="7"/>
      <c r="Q25" s="7"/>
      <c r="R25" s="7"/>
      <c r="S25" s="7"/>
      <c r="T25" s="7"/>
      <c r="U25" s="7"/>
      <c r="V25" s="7"/>
      <c r="W25" s="7"/>
      <c r="X25" s="7"/>
      <c r="Y25" s="7"/>
      <c r="Z25" s="7"/>
      <c r="AA25" s="7"/>
      <c r="AB25" s="7"/>
    </row>
    <row r="26">
      <c r="D26" s="7" t="s">
        <v>1877</v>
      </c>
      <c r="E26" s="7" t="s">
        <v>2842</v>
      </c>
      <c r="F26" s="216">
        <v>2.0</v>
      </c>
      <c r="G26" s="29" t="s">
        <v>2837</v>
      </c>
      <c r="H26" s="213">
        <f t="array" ref="H26">IFNA(XLOOKUP($D26,Cards!$A:$A,Cards!C:C),"")</f>
        <v>1</v>
      </c>
      <c r="I26" s="213" t="str">
        <f t="array" ref="I26">IFNA(XLOOKUP($D26,Cards!$A:$A,Cards!B:B),"")</f>
        <v>Nature Void</v>
      </c>
      <c r="J26" s="213" t="str">
        <f t="array" ref="J26">IFNA(XLOOKUP($D26,Cards!$A:$A,Cards!D:D),"")</f>
        <v>Bannerbearer Plant Undead</v>
      </c>
      <c r="K26" s="213" t="str">
        <f t="array" ref="K26">IFNA(XLOOKUP($D26,Cards!$A:$A,Cards!E:E),"")</f>
        <v/>
      </c>
      <c r="L26" s="214">
        <f t="array" ref="L26">IFNA(XLOOKUP($D26,Cards!$A:$A,Cards!G:G),"")</f>
        <v>2</v>
      </c>
      <c r="M26" s="214" t="str">
        <f t="array" ref="M26">IFNA(XLOOKUP($D26,Cards!$A:$A,Cards!H:H),"")</f>
        <v>N, V</v>
      </c>
      <c r="N26" s="214" t="str">
        <f t="array" ref="N26">IFNA(XLOOKUP($D26,Cards!$A:$A,Cards!I:I),"")</f>
        <v>Common</v>
      </c>
      <c r="O26" s="215">
        <f t="shared" si="1"/>
        <v>4</v>
      </c>
      <c r="P26" s="7"/>
      <c r="Q26" s="7"/>
      <c r="R26" s="7"/>
      <c r="S26" s="7"/>
      <c r="T26" s="7"/>
      <c r="U26" s="7"/>
      <c r="V26" s="7"/>
      <c r="W26" s="7"/>
      <c r="X26" s="7"/>
      <c r="Y26" s="7"/>
      <c r="Z26" s="7"/>
      <c r="AA26" s="7"/>
      <c r="AB26" s="7"/>
    </row>
    <row r="27">
      <c r="D27" s="7" t="s">
        <v>2052</v>
      </c>
      <c r="E27" s="7" t="s">
        <v>2842</v>
      </c>
      <c r="F27" s="223">
        <v>2.0</v>
      </c>
      <c r="G27" s="29" t="s">
        <v>2838</v>
      </c>
      <c r="H27" s="213">
        <f t="array" ref="H27">IFNA(XLOOKUP($D27,Cards!$A:$A,Cards!C:C),"")</f>
        <v>1</v>
      </c>
      <c r="I27" s="213" t="str">
        <f t="array" ref="I27">IFNA(XLOOKUP($D27,Cards!$A:$A,Cards!B:B),"")</f>
        <v>Void</v>
      </c>
      <c r="J27" s="213" t="str">
        <f t="array" ref="J27">IFNA(XLOOKUP($D27,Cards!$A:$A,Cards!D:D),"")</f>
        <v>Animal Plant</v>
      </c>
      <c r="K27" s="213" t="str">
        <f t="array" ref="K27">IFNA(XLOOKUP($D27,Cards!$A:$A,Cards!E:E),"")</f>
        <v/>
      </c>
      <c r="L27" s="214">
        <f t="array" ref="L27">IFNA(XLOOKUP($D27,Cards!$A:$A,Cards!G:G),"")</f>
        <v>2</v>
      </c>
      <c r="M27" s="214" t="str">
        <f t="array" ref="M27">IFNA(XLOOKUP($D27,Cards!$A:$A,Cards!H:H),"")</f>
        <v>V, ?</v>
      </c>
      <c r="N27" s="214" t="str">
        <f t="array" ref="N27">IFNA(XLOOKUP($D27,Cards!$A:$A,Cards!I:I),"")</f>
        <v>Common</v>
      </c>
      <c r="O27" s="215">
        <f t="shared" si="1"/>
        <v>4</v>
      </c>
    </row>
    <row r="28">
      <c r="D28" s="80" t="s">
        <v>1756</v>
      </c>
      <c r="E28" s="22" t="s">
        <v>2842</v>
      </c>
      <c r="F28" s="216">
        <v>1.0</v>
      </c>
      <c r="G28" s="29" t="s">
        <v>2837</v>
      </c>
      <c r="H28" s="213">
        <f t="array" ref="H28">IFNA(XLOOKUP($D28,Cards!$A:$A,Cards!C:C),"")</f>
        <v>1</v>
      </c>
      <c r="I28" s="213" t="str">
        <f t="array" ref="I28">IFNA(XLOOKUP($D28,Cards!$A:$A,Cards!B:B),"")</f>
        <v>Nature</v>
      </c>
      <c r="J28" s="213" t="str">
        <f t="array" ref="J28">IFNA(XLOOKUP($D28,Cards!$A:$A,Cards!D:D),"")</f>
        <v>Hunter Plant</v>
      </c>
      <c r="K28" s="213" t="str">
        <f t="array" ref="K28">IFNA(XLOOKUP($D28,Cards!$A:$A,Cards!E:E),"")</f>
        <v>Ambush: An enemy Unit was deployed adjacently this Turn. Unearth: Bury an adjacent enemy Unit with 4 or less Power.</v>
      </c>
      <c r="L28" s="214">
        <f t="array" ref="L28">IFNA(XLOOKUP($D28,Cards!$A:$A,Cards!G:G),"")</f>
        <v>2</v>
      </c>
      <c r="M28" s="214" t="str">
        <f t="array" ref="M28">IFNA(XLOOKUP($D28,Cards!$A:$A,Cards!H:H),"")</f>
        <v>N, N, ?, ?</v>
      </c>
      <c r="N28" s="214" t="str">
        <f t="array" ref="N28">IFNA(XLOOKUP($D28,Cards!$A:$A,Cards!I:I),"")</f>
        <v>Uncommon</v>
      </c>
      <c r="O28" s="215">
        <f t="shared" si="1"/>
        <v>2</v>
      </c>
    </row>
    <row r="29">
      <c r="D29" s="22" t="s">
        <v>1891</v>
      </c>
      <c r="E29" s="22" t="s">
        <v>2842</v>
      </c>
      <c r="F29" s="216">
        <v>1.0</v>
      </c>
      <c r="G29" s="29" t="s">
        <v>2838</v>
      </c>
      <c r="H29" s="213">
        <f t="array" ref="H29">IFNA(XLOOKUP($D29,Cards!$A:$A,Cards!C:C),"")</f>
        <v>1</v>
      </c>
      <c r="I29" s="213" t="str">
        <f t="array" ref="I29">IFNA(XLOOKUP($D29,Cards!$A:$A,Cards!B:B),"")</f>
        <v>Void</v>
      </c>
      <c r="J29" s="213" t="str">
        <f t="array" ref="J29">IFNA(XLOOKUP($D29,Cards!$A:$A,Cards!D:D),"")</f>
        <v>Undead Wizard</v>
      </c>
      <c r="K29" s="213" t="str">
        <f t="array" ref="K29">IFNA(XLOOKUP($D29,Cards!$A:$A,Cards!E:E),"")</f>
        <v>Deploy: You may unearth an adjacent friendly Unit.</v>
      </c>
      <c r="L29" s="214">
        <f t="array" ref="L29">IFNA(XLOOKUP($D29,Cards!$A:$A,Cards!G:G),"")</f>
        <v>2</v>
      </c>
      <c r="M29" s="214" t="str">
        <f t="array" ref="M29">IFNA(XLOOKUP($D29,Cards!$A:$A,Cards!H:H),"")</f>
        <v>V, ?, ?</v>
      </c>
      <c r="N29" s="214" t="str">
        <f t="array" ref="N29">IFNA(XLOOKUP($D29,Cards!$A:$A,Cards!I:I),"")</f>
        <v>Uncommon</v>
      </c>
      <c r="O29" s="215">
        <f t="shared" si="1"/>
        <v>2</v>
      </c>
    </row>
    <row r="30">
      <c r="D30" s="16" t="s">
        <v>1795</v>
      </c>
      <c r="E30" s="16" t="s">
        <v>2842</v>
      </c>
      <c r="F30" s="216">
        <v>2.0</v>
      </c>
      <c r="G30" s="29" t="s">
        <v>2838</v>
      </c>
      <c r="H30" s="213">
        <f t="array" ref="H30">IFNA(XLOOKUP($D30,Cards!$A:$A,Cards!C:C),"")</f>
        <v>1</v>
      </c>
      <c r="I30" s="213" t="str">
        <f t="array" ref="I30">IFNA(XLOOKUP($D30,Cards!$A:$A,Cards!B:B),"")</f>
        <v>Nature</v>
      </c>
      <c r="J30" s="213" t="str">
        <f t="array" ref="J30">IFNA(XLOOKUP($D30,Cards!$A:$A,Cards!D:D),"")</f>
        <v>Animal Hunter</v>
      </c>
      <c r="K30" s="213" t="str">
        <f t="array" ref="K30">IFNA(XLOOKUP($D30,Cards!$A:$A,Cards!E:E),"")</f>
        <v/>
      </c>
      <c r="L30" s="214">
        <f t="array" ref="L30">IFNA(XLOOKUP($D30,Cards!$A:$A,Cards!G:G),"")</f>
        <v>1</v>
      </c>
      <c r="M30" s="214" t="str">
        <f t="array" ref="M30">IFNA(XLOOKUP($D30,Cards!$A:$A,Cards!H:H),"")</f>
        <v>N</v>
      </c>
      <c r="N30" s="214" t="str">
        <f t="array" ref="N30">IFNA(XLOOKUP($D30,Cards!$A:$A,Cards!I:I),"")</f>
        <v>Common</v>
      </c>
      <c r="O30" s="215">
        <f t="shared" si="1"/>
        <v>2</v>
      </c>
    </row>
    <row r="31">
      <c r="D31" s="54" t="s">
        <v>1896</v>
      </c>
      <c r="E31" s="54" t="s">
        <v>2842</v>
      </c>
      <c r="F31" s="216">
        <v>1.0</v>
      </c>
      <c r="G31" s="29" t="s">
        <v>2837</v>
      </c>
      <c r="H31" s="213">
        <f t="array" ref="H31">IFNA(XLOOKUP($D31,Cards!$A:$A,Cards!C:C),"")</f>
        <v>1</v>
      </c>
      <c r="I31" s="213" t="str">
        <f t="array" ref="I31">IFNA(XLOOKUP($D31,Cards!$A:$A,Cards!B:B),"")</f>
        <v>Void</v>
      </c>
      <c r="J31" s="213" t="str">
        <f t="array" ref="J31">IFNA(XLOOKUP($D31,Cards!$A:$A,Cards!D:D),"")</f>
        <v>Hunter Undead</v>
      </c>
      <c r="K31" s="213" t="str">
        <f t="array" ref="K31">IFNA(XLOOKUP($D31,Cards!$A:$A,Cards!E:E),"")</f>
        <v>Ritual: Gain +4 Power. Ritual: Gain +4 Power.</v>
      </c>
      <c r="L31" s="214">
        <f t="array" ref="L31">IFNA(XLOOKUP($D31,Cards!$A:$A,Cards!G:G),"")</f>
        <v>2</v>
      </c>
      <c r="M31" s="214" t="str">
        <f t="array" ref="M31">IFNA(XLOOKUP($D31,Cards!$A:$A,Cards!H:H),"")</f>
        <v>V, ?, ?, ?</v>
      </c>
      <c r="N31" s="214" t="str">
        <f t="array" ref="N31">IFNA(XLOOKUP($D31,Cards!$A:$A,Cards!I:I),"")</f>
        <v>Uncommon</v>
      </c>
      <c r="O31" s="215">
        <f t="shared" si="1"/>
        <v>2</v>
      </c>
    </row>
    <row r="32">
      <c r="D32" s="7" t="s">
        <v>1659</v>
      </c>
      <c r="E32" s="7" t="s">
        <v>2842</v>
      </c>
      <c r="F32" s="216">
        <v>2.0</v>
      </c>
      <c r="G32" s="29" t="s">
        <v>2838</v>
      </c>
      <c r="H32" s="213">
        <f t="array" ref="H32">IFNA(XLOOKUP($D32,Cards!$A:$A,Cards!C:C),"")</f>
        <v>1</v>
      </c>
      <c r="I32" s="213" t="str">
        <f t="array" ref="I32">IFNA(XLOOKUP($D32,Cards!$A:$A,Cards!B:B),"")</f>
        <v>Nature</v>
      </c>
      <c r="J32" s="213" t="str">
        <f t="array" ref="J32">IFNA(XLOOKUP($D32,Cards!$A:$A,Cards!D:D),"")</f>
        <v>Plant</v>
      </c>
      <c r="K32" s="213" t="str">
        <f t="array" ref="K32">IFNA(XLOOKUP($D32,Cards!$A:$A,Cards!E:E),"")</f>
        <v>Ally of Plant: Draw a Card.</v>
      </c>
      <c r="L32" s="214">
        <f t="array" ref="L32">IFNA(XLOOKUP($D32,Cards!$A:$A,Cards!G:G),"")</f>
        <v>3</v>
      </c>
      <c r="M32" s="214" t="str">
        <f t="array" ref="M32">IFNA(XLOOKUP($D32,Cards!$A:$A,Cards!H:H),"")</f>
        <v>N, N, ?</v>
      </c>
      <c r="N32" s="214" t="str">
        <f t="array" ref="N32">IFNA(XLOOKUP($D32,Cards!$A:$A,Cards!I:I),"")</f>
        <v>Common</v>
      </c>
      <c r="O32" s="215">
        <f t="shared" si="1"/>
        <v>6</v>
      </c>
    </row>
    <row r="33">
      <c r="D33" s="7" t="s">
        <v>2059</v>
      </c>
      <c r="E33" s="7" t="s">
        <v>2842</v>
      </c>
      <c r="F33" s="223">
        <v>2.0</v>
      </c>
      <c r="G33" s="29" t="s">
        <v>2837</v>
      </c>
      <c r="H33" s="213">
        <f t="array" ref="H33">IFNA(XLOOKUP($D33,Cards!$A:$A,Cards!C:C),"")</f>
        <v>1</v>
      </c>
      <c r="I33" s="213" t="str">
        <f t="array" ref="I33">IFNA(XLOOKUP($D33,Cards!$A:$A,Cards!B:B),"")</f>
        <v>Void</v>
      </c>
      <c r="J33" s="213" t="str">
        <f t="array" ref="J33">IFNA(XLOOKUP($D33,Cards!$A:$A,Cards!D:D),"")</f>
        <v>Construct Spirit</v>
      </c>
      <c r="K33" s="213" t="str">
        <f t="array" ref="K33">IFNA(XLOOKUP($D33,Cards!$A:$A,Cards!E:E),"")</f>
        <v/>
      </c>
      <c r="L33" s="214">
        <f t="array" ref="L33">IFNA(XLOOKUP($D33,Cards!$A:$A,Cards!G:G),"")</f>
        <v>3</v>
      </c>
      <c r="M33" s="214" t="str">
        <f t="array" ref="M33">IFNA(XLOOKUP($D33,Cards!$A:$A,Cards!H:H),"")</f>
        <v>V, ?, ?</v>
      </c>
      <c r="N33" s="214" t="str">
        <f t="array" ref="N33">IFNA(XLOOKUP($D33,Cards!$A:$A,Cards!I:I),"")</f>
        <v>Common</v>
      </c>
      <c r="O33" s="215">
        <f t="shared" si="1"/>
        <v>6</v>
      </c>
    </row>
    <row r="34">
      <c r="D34" s="16" t="s">
        <v>1645</v>
      </c>
      <c r="E34" s="16" t="s">
        <v>2842</v>
      </c>
      <c r="F34" s="216">
        <v>2.0</v>
      </c>
      <c r="G34" s="29" t="s">
        <v>2838</v>
      </c>
      <c r="H34" s="213">
        <f t="array" ref="H34">IFNA(XLOOKUP($D34,Cards!$A:$A,Cards!C:C),"")</f>
        <v>1</v>
      </c>
      <c r="I34" s="213" t="str">
        <f t="array" ref="I34">IFNA(XLOOKUP($D34,Cards!$A:$A,Cards!B:B),"")</f>
        <v>Nature</v>
      </c>
      <c r="J34" s="213" t="str">
        <f t="array" ref="J34">IFNA(XLOOKUP($D34,Cards!$A:$A,Cards!D:D),"")</f>
        <v>Animal Hunter</v>
      </c>
      <c r="K34" s="213" t="str">
        <f t="array" ref="K34">IFNA(XLOOKUP($D34,Cards!$A:$A,Cards!E:E),"")</f>
        <v>Ambush: An enemy Crystal was crystallized this Turn.</v>
      </c>
      <c r="L34" s="214">
        <f t="array" ref="L34">IFNA(XLOOKUP($D34,Cards!$A:$A,Cards!G:G),"")</f>
        <v>3</v>
      </c>
      <c r="M34" s="214" t="str">
        <f t="array" ref="M34">IFNA(XLOOKUP($D34,Cards!$A:$A,Cards!H:H),"")</f>
        <v>N, ?, ?</v>
      </c>
      <c r="N34" s="214" t="str">
        <f t="array" ref="N34">IFNA(XLOOKUP($D34,Cards!$A:$A,Cards!I:I),"")</f>
        <v>Common</v>
      </c>
      <c r="O34" s="215">
        <f t="shared" si="1"/>
        <v>6</v>
      </c>
    </row>
    <row r="35">
      <c r="D35" s="22" t="s">
        <v>2057</v>
      </c>
      <c r="E35" s="22" t="s">
        <v>2842</v>
      </c>
      <c r="F35" s="223">
        <v>1.0</v>
      </c>
      <c r="G35" s="29" t="s">
        <v>2838</v>
      </c>
      <c r="H35" s="213">
        <f t="array" ref="H35">IFNA(XLOOKUP($D35,Cards!$A:$A,Cards!C:C),"")</f>
        <v>1</v>
      </c>
      <c r="I35" s="213" t="str">
        <f t="array" ref="I35">IFNA(XLOOKUP($D35,Cards!$A:$A,Cards!B:B),"")</f>
        <v>Void</v>
      </c>
      <c r="J35" s="213" t="str">
        <f t="array" ref="J35">IFNA(XLOOKUP($D35,Cards!$A:$A,Cards!D:D),"")</f>
        <v>Dragon Undead</v>
      </c>
      <c r="K35" s="213" t="str">
        <f t="array" ref="K35">IFNA(XLOOKUP($D35,Cards!$A:$A,Cards!E:E),"")</f>
        <v/>
      </c>
      <c r="L35" s="214">
        <f t="array" ref="L35">IFNA(XLOOKUP($D35,Cards!$A:$A,Cards!G:G),"")</f>
        <v>4</v>
      </c>
      <c r="M35" s="214" t="str">
        <f t="array" ref="M35">IFNA(XLOOKUP($D35,Cards!$A:$A,Cards!H:H),"")</f>
        <v>V, ?, ?, ?</v>
      </c>
      <c r="N35" s="214" t="str">
        <f t="array" ref="N35">IFNA(XLOOKUP($D35,Cards!$A:$A,Cards!I:I),"")</f>
        <v>Common</v>
      </c>
      <c r="O35" s="215">
        <f t="shared" si="1"/>
        <v>4</v>
      </c>
    </row>
    <row r="36">
      <c r="D36" s="7" t="s">
        <v>1799</v>
      </c>
      <c r="E36" s="7" t="s">
        <v>2842</v>
      </c>
      <c r="F36" s="216">
        <v>2.0</v>
      </c>
      <c r="G36" s="29" t="s">
        <v>2838</v>
      </c>
      <c r="H36" s="213">
        <f t="array" ref="H36">IFNA(XLOOKUP($D36,Cards!$A:$A,Cards!C:C),"")</f>
        <v>1</v>
      </c>
      <c r="I36" s="213" t="str">
        <f t="array" ref="I36">IFNA(XLOOKUP($D36,Cards!$A:$A,Cards!B:B),"")</f>
        <v>Nature</v>
      </c>
      <c r="J36" s="213" t="str">
        <f t="array" ref="J36">IFNA(XLOOKUP($D36,Cards!$A:$A,Cards!D:D),"")</f>
        <v>Plant Spirit</v>
      </c>
      <c r="K36" s="213" t="str">
        <f t="array" ref="K36">IFNA(XLOOKUP($D36,Cards!$A:$A,Cards!E:E),"")</f>
        <v/>
      </c>
      <c r="L36" s="214">
        <f t="array" ref="L36">IFNA(XLOOKUP($D36,Cards!$A:$A,Cards!G:G),"")</f>
        <v>4</v>
      </c>
      <c r="M36" s="214" t="str">
        <f t="array" ref="M36">IFNA(XLOOKUP($D36,Cards!$A:$A,Cards!H:H),"")</f>
        <v>N, N, ?</v>
      </c>
      <c r="N36" s="214" t="str">
        <f t="array" ref="N36">IFNA(XLOOKUP($D36,Cards!$A:$A,Cards!I:I),"")</f>
        <v>Common</v>
      </c>
      <c r="O36" s="215">
        <f t="shared" si="1"/>
        <v>8</v>
      </c>
    </row>
    <row r="37">
      <c r="D37" s="7" t="s">
        <v>1767</v>
      </c>
      <c r="E37" s="7" t="s">
        <v>2842</v>
      </c>
      <c r="F37" s="216">
        <v>1.0</v>
      </c>
      <c r="G37" s="29" t="s">
        <v>2837</v>
      </c>
      <c r="H37" s="213">
        <f t="array" ref="H37">IFNA(XLOOKUP($D37,Cards!$A:$A,Cards!C:C),"")</f>
        <v>1</v>
      </c>
      <c r="I37" s="213" t="str">
        <f t="array" ref="I37">IFNA(XLOOKUP($D37,Cards!$A:$A,Cards!B:B),"")</f>
        <v>Nature</v>
      </c>
      <c r="J37" s="213" t="str">
        <f t="array" ref="J37">IFNA(XLOOKUP($D37,Cards!$A:$A,Cards!D:D),"")</f>
        <v>Angel Plant</v>
      </c>
      <c r="K37" s="213" t="str">
        <f t="array" ref="K37">IFNA(XLOOKUP($D37,Cards!$A:$A,Cards!E:E),"")</f>
        <v>Deploy: Deploy a friendly Plant Crystal adjacently.</v>
      </c>
      <c r="L37" s="214">
        <f t="array" ref="L37">IFNA(XLOOKUP($D37,Cards!$A:$A,Cards!G:G),"")</f>
        <v>4</v>
      </c>
      <c r="M37" s="214" t="str">
        <f t="array" ref="M37">IFNA(XLOOKUP($D37,Cards!$A:$A,Cards!H:H),"")</f>
        <v>N, N, N, ?, ?</v>
      </c>
      <c r="N37" s="214" t="str">
        <f t="array" ref="N37">IFNA(XLOOKUP($D37,Cards!$A:$A,Cards!I:I),"")</f>
        <v>Rare</v>
      </c>
      <c r="O37" s="215">
        <f t="shared" si="1"/>
        <v>4</v>
      </c>
    </row>
    <row r="38">
      <c r="D38" s="16" t="s">
        <v>1648</v>
      </c>
      <c r="E38" s="16" t="s">
        <v>2842</v>
      </c>
      <c r="F38" s="216">
        <v>2.0</v>
      </c>
      <c r="G38" s="29" t="s">
        <v>2838</v>
      </c>
      <c r="H38" s="213">
        <f t="array" ref="H38">IFNA(XLOOKUP($D38,Cards!$A:$A,Cards!C:C),"")</f>
        <v>1</v>
      </c>
      <c r="I38" s="213" t="str">
        <f t="array" ref="I38">IFNA(XLOOKUP($D38,Cards!$A:$A,Cards!B:B),"")</f>
        <v>Nature</v>
      </c>
      <c r="J38" s="213" t="str">
        <f t="array" ref="J38">IFNA(XLOOKUP($D38,Cards!$A:$A,Cards!D:D),"")</f>
        <v>Insect Plant</v>
      </c>
      <c r="K38" s="213" t="str">
        <f t="array" ref="K38">IFNA(XLOOKUP($D38,Cards!$A:$A,Cards!E:E),"")</f>
        <v>Ritual of Plant: Gain +4 Power. Ritual of Insect: Draw a Card.</v>
      </c>
      <c r="L38" s="214">
        <f t="array" ref="L38">IFNA(XLOOKUP($D38,Cards!$A:$A,Cards!G:G),"")</f>
        <v>4</v>
      </c>
      <c r="M38" s="214" t="str">
        <f t="array" ref="M38">IFNA(XLOOKUP($D38,Cards!$A:$A,Cards!H:H),"")</f>
        <v>N, ?, ?, ?</v>
      </c>
      <c r="N38" s="214" t="str">
        <f t="array" ref="N38">IFNA(XLOOKUP($D38,Cards!$A:$A,Cards!I:I),"")</f>
        <v>Uncommon</v>
      </c>
      <c r="O38" s="215">
        <f t="shared" si="1"/>
        <v>8</v>
      </c>
    </row>
    <row r="39">
      <c r="D39" s="7" t="s">
        <v>1805</v>
      </c>
      <c r="E39" s="7" t="s">
        <v>2842</v>
      </c>
      <c r="F39" s="223">
        <v>1.0</v>
      </c>
      <c r="G39" s="29" t="s">
        <v>2838</v>
      </c>
      <c r="H39" s="213">
        <f t="array" ref="H39">IFNA(XLOOKUP($D39,Cards!$A:$A,Cards!C:C),"")</f>
        <v>1</v>
      </c>
      <c r="I39" s="213" t="str">
        <f t="array" ref="I39">IFNA(XLOOKUP($D39,Cards!$A:$A,Cards!B:B),"")</f>
        <v>Nature</v>
      </c>
      <c r="J39" s="213" t="str">
        <f t="array" ref="J39">IFNA(XLOOKUP($D39,Cards!$A:$A,Cards!D:D),"")</f>
        <v>Human Plant</v>
      </c>
      <c r="K39" s="213" t="str">
        <f t="array" ref="K39">IFNA(XLOOKUP($D39,Cards!$A:$A,Cards!E:E),"")</f>
        <v/>
      </c>
      <c r="L39" s="214">
        <f t="array" ref="L39">IFNA(XLOOKUP($D39,Cards!$A:$A,Cards!G:G),"")</f>
        <v>5</v>
      </c>
      <c r="M39" s="214" t="str">
        <f t="array" ref="M39">IFNA(XLOOKUP($D39,Cards!$A:$A,Cards!H:H),"")</f>
        <v>N, ?, ?, ?, ?</v>
      </c>
      <c r="N39" s="214" t="str">
        <f t="array" ref="N39">IFNA(XLOOKUP($D39,Cards!$A:$A,Cards!I:I),"")</f>
        <v>Common</v>
      </c>
      <c r="O39" s="215">
        <f t="shared" si="1"/>
        <v>5</v>
      </c>
    </row>
    <row r="40">
      <c r="D40" s="7" t="s">
        <v>1735</v>
      </c>
      <c r="E40" s="7" t="s">
        <v>2842</v>
      </c>
      <c r="F40" s="216">
        <v>1.0</v>
      </c>
      <c r="G40" s="29" t="s">
        <v>2838</v>
      </c>
      <c r="H40" s="213">
        <f t="array" ref="H40">IFNA(XLOOKUP($D40,Cards!$A:$A,Cards!C:C),"")</f>
        <v>1</v>
      </c>
      <c r="I40" s="213" t="str">
        <f t="array" ref="I40">IFNA(XLOOKUP($D40,Cards!$A:$A,Cards!B:B),"")</f>
        <v>Nature</v>
      </c>
      <c r="J40" s="213" t="str">
        <f t="array" ref="J40">IFNA(XLOOKUP($D40,Cards!$A:$A,Cards!D:D),"")</f>
        <v>Animal Hunter</v>
      </c>
      <c r="K40" s="213" t="str">
        <f t="array" ref="K40">IFNA(XLOOKUP($D40,Cards!$A:$A,Cards!E:E),"")</f>
        <v>Ambush: An enemy Unit was deployed adjacently this Turn. Unearth: You may move this.</v>
      </c>
      <c r="L40" s="214">
        <f t="array" ref="L40">IFNA(XLOOKUP($D40,Cards!$A:$A,Cards!G:G),"")</f>
        <v>5</v>
      </c>
      <c r="M40" s="214" t="str">
        <f t="array" ref="M40">IFNA(XLOOKUP($D40,Cards!$A:$A,Cards!H:H),"")</f>
        <v>N, N, ?, ?, ?</v>
      </c>
      <c r="N40" s="214" t="str">
        <f t="array" ref="N40">IFNA(XLOOKUP($D40,Cards!$A:$A,Cards!I:I),"")</f>
        <v>Common</v>
      </c>
      <c r="O40" s="215">
        <f t="shared" si="1"/>
        <v>5</v>
      </c>
    </row>
    <row r="41">
      <c r="D41" s="24" t="s">
        <v>2053</v>
      </c>
      <c r="E41" s="7" t="s">
        <v>2842</v>
      </c>
      <c r="F41" s="216">
        <v>2.0</v>
      </c>
      <c r="G41" s="29" t="s">
        <v>2838</v>
      </c>
      <c r="H41" s="213">
        <f t="array" ref="H41">IFNA(XLOOKUP($D41,Cards!$A:$A,Cards!C:C),"")</f>
        <v>1</v>
      </c>
      <c r="I41" s="213" t="str">
        <f t="array" ref="I41">IFNA(XLOOKUP($D41,Cards!$A:$A,Cards!B:B),"")</f>
        <v>Void</v>
      </c>
      <c r="J41" s="213" t="str">
        <f t="array" ref="J41">IFNA(XLOOKUP($D41,Cards!$A:$A,Cards!D:D),"")</f>
        <v>Plant Undead</v>
      </c>
      <c r="K41" s="213" t="str">
        <f t="array" ref="K41">IFNA(XLOOKUP($D41,Cards!$A:$A,Cards!E:E),"")</f>
        <v/>
      </c>
      <c r="L41" s="214">
        <f t="array" ref="L41">IFNA(XLOOKUP($D41,Cards!$A:$A,Cards!G:G),"")</f>
        <v>5</v>
      </c>
      <c r="M41" s="214" t="str">
        <f t="array" ref="M41">IFNA(XLOOKUP($D41,Cards!$A:$A,Cards!H:H),"")</f>
        <v>V, V, ?, ?</v>
      </c>
      <c r="N41" s="214" t="str">
        <f t="array" ref="N41">IFNA(XLOOKUP($D41,Cards!$A:$A,Cards!I:I),"")</f>
        <v>Common</v>
      </c>
      <c r="O41" s="215">
        <f t="shared" si="1"/>
        <v>10</v>
      </c>
    </row>
    <row r="42">
      <c r="D42" s="16" t="s">
        <v>1773</v>
      </c>
      <c r="E42" s="16" t="s">
        <v>2842</v>
      </c>
      <c r="F42" s="216">
        <v>1.0</v>
      </c>
      <c r="G42" s="29" t="s">
        <v>2838</v>
      </c>
      <c r="H42" s="213">
        <f t="array" ref="H42">IFNA(XLOOKUP($D42,Cards!$A:$A,Cards!C:C),"")</f>
        <v>1</v>
      </c>
      <c r="I42" s="213" t="str">
        <f t="array" ref="I42">IFNA(XLOOKUP($D42,Cards!$A:$A,Cards!B:B),"")</f>
        <v>Nature</v>
      </c>
      <c r="J42" s="213" t="str">
        <f t="array" ref="J42">IFNA(XLOOKUP($D42,Cards!$A:$A,Cards!D:D),"")</f>
        <v>Hunter Insect</v>
      </c>
      <c r="K42" s="213" t="str">
        <f t="array" ref="K42">IFNA(XLOOKUP($D42,Cards!$A:$A,Cards!E:E),"")</f>
        <v>Deploy: Unearth a friendly Unit with Ambush. Draw a Card for each other friendly Hunter Unit.</v>
      </c>
      <c r="L42" s="214">
        <f t="array" ref="L42">IFNA(XLOOKUP($D42,Cards!$A:$A,Cards!G:G),"")</f>
        <v>5</v>
      </c>
      <c r="M42" s="214" t="str">
        <f t="array" ref="M42">IFNA(XLOOKUP($D42,Cards!$A:$A,Cards!H:H),"")</f>
        <v>N, N, ?, ?, ?</v>
      </c>
      <c r="N42" s="214" t="str">
        <f t="array" ref="N42">IFNA(XLOOKUP($D42,Cards!$A:$A,Cards!I:I),"")</f>
        <v>Rare</v>
      </c>
      <c r="O42" s="215">
        <f t="shared" si="1"/>
        <v>5</v>
      </c>
    </row>
    <row r="43">
      <c r="D43" s="16" t="s">
        <v>2048</v>
      </c>
      <c r="E43" s="16" t="s">
        <v>2842</v>
      </c>
      <c r="F43" s="216">
        <v>1.0</v>
      </c>
      <c r="G43" s="29" t="s">
        <v>2838</v>
      </c>
      <c r="H43" s="213">
        <f t="array" ref="H43">IFNA(XLOOKUP($D43,Cards!$A:$A,Cards!C:C),"")</f>
        <v>1</v>
      </c>
      <c r="I43" s="213" t="str">
        <f t="array" ref="I43">IFNA(XLOOKUP($D43,Cards!$A:$A,Cards!B:B),"")</f>
        <v>Void</v>
      </c>
      <c r="J43" s="213" t="str">
        <f t="array" ref="J43">IFNA(XLOOKUP($D43,Cards!$A:$A,Cards!D:D),"")</f>
        <v>Demon Hunter</v>
      </c>
      <c r="K43" s="213" t="str">
        <f t="array" ref="K43">IFNA(XLOOKUP($D43,Cards!$A:$A,Cards!E:E),"")</f>
        <v>Deploy: Crystallize another friendly Unit, then bury an enemy Unit with equal or lower Crystal Cost.</v>
      </c>
      <c r="L43" s="214">
        <f t="array" ref="L43">IFNA(XLOOKUP($D43,Cards!$A:$A,Cards!G:G),"")</f>
        <v>6</v>
      </c>
      <c r="M43" s="214" t="str">
        <f t="array" ref="M43">IFNA(XLOOKUP($D43,Cards!$A:$A,Cards!H:H),"")</f>
        <v>V, V, ?, ?, ?, ?, ?</v>
      </c>
      <c r="N43" s="214" t="str">
        <f t="array" ref="N43">IFNA(XLOOKUP($D43,Cards!$A:$A,Cards!I:I),"")</f>
        <v>Rare</v>
      </c>
      <c r="O43" s="215">
        <f t="shared" si="1"/>
        <v>6</v>
      </c>
    </row>
    <row r="44">
      <c r="D44" s="16" t="s">
        <v>431</v>
      </c>
      <c r="E44" s="16" t="s">
        <v>2843</v>
      </c>
      <c r="F44" s="16">
        <v>2.0</v>
      </c>
      <c r="G44" s="16" t="s">
        <v>2837</v>
      </c>
      <c r="H44" s="213">
        <f t="array" ref="H44">IFNA(XLOOKUP($D44,Cards!$A:$A,Cards!C:C),"")</f>
        <v>1</v>
      </c>
      <c r="I44" s="213" t="str">
        <f t="array" ref="I44">IFNA(XLOOKUP($D44,Cards!$A:$A,Cards!B:B),"")</f>
        <v>Divine Void</v>
      </c>
      <c r="J44" s="213" t="str">
        <f t="array" ref="J44">IFNA(XLOOKUP($D44,Cards!$A:$A,Cards!D:D),"")</f>
        <v>Angel Bannerbearer Demon</v>
      </c>
      <c r="K44" s="213" t="str">
        <f t="array" ref="K44">IFNA(XLOOKUP($D44,Cards!$A:$A,Cards!E:E),"")</f>
        <v/>
      </c>
      <c r="L44" s="214">
        <f t="array" ref="L44">IFNA(XLOOKUP($D44,Cards!$A:$A,Cards!G:G),"")</f>
        <v>2</v>
      </c>
      <c r="M44" s="214" t="str">
        <f t="array" ref="M44">IFNA(XLOOKUP($D44,Cards!$A:$A,Cards!H:H),"")</f>
        <v>D, V</v>
      </c>
      <c r="N44" s="214" t="str">
        <f t="array" ref="N44">IFNA(XLOOKUP($D44,Cards!$A:$A,Cards!I:I),"")</f>
        <v>Common</v>
      </c>
      <c r="O44" s="215">
        <f t="shared" si="1"/>
        <v>4</v>
      </c>
    </row>
    <row r="45">
      <c r="D45" s="16" t="s">
        <v>419</v>
      </c>
      <c r="E45" s="16" t="s">
        <v>2843</v>
      </c>
      <c r="F45" s="16">
        <v>1.0</v>
      </c>
      <c r="G45" s="16" t="s">
        <v>2837</v>
      </c>
      <c r="H45" s="213">
        <f t="array" ref="H45">IFNA(XLOOKUP($D45,Cards!$A:$A,Cards!C:C),"")</f>
        <v>1</v>
      </c>
      <c r="I45" s="213" t="str">
        <f t="array" ref="I45">IFNA(XLOOKUP($D45,Cards!$A:$A,Cards!B:B),"")</f>
        <v>Divine Void</v>
      </c>
      <c r="J45" s="213" t="str">
        <f t="array" ref="J45">IFNA(XLOOKUP($D45,Cards!$A:$A,Cards!D:D),"")</f>
        <v>Animal Spirit</v>
      </c>
      <c r="K45" s="213" t="str">
        <f t="array" ref="K45">IFNA(XLOOKUP($D45,Cards!$A:$A,Cards!E:E),"")</f>
        <v>Deploy: Choose one: - Adjacent friendly Void Units gain +2 Power. - Adjacent friendly Divine Units gain +2 Power.</v>
      </c>
      <c r="L45" s="214">
        <f t="array" ref="L45">IFNA(XLOOKUP($D45,Cards!$A:$A,Cards!G:G),"")</f>
        <v>3</v>
      </c>
      <c r="M45" s="214" t="str">
        <f t="array" ref="M45">IFNA(XLOOKUP($D45,Cards!$A:$A,Cards!H:H),"")</f>
        <v>D, V, ?</v>
      </c>
      <c r="N45" s="214" t="str">
        <f t="array" ref="N45">IFNA(XLOOKUP($D45,Cards!$A:$A,Cards!I:I),"")</f>
        <v>Uncommon</v>
      </c>
      <c r="O45" s="215">
        <f t="shared" si="1"/>
        <v>3</v>
      </c>
    </row>
    <row r="46">
      <c r="D46" s="16" t="s">
        <v>27</v>
      </c>
      <c r="E46" s="16" t="s">
        <v>2843</v>
      </c>
      <c r="F46" s="16">
        <v>1.0</v>
      </c>
      <c r="G46" s="16" t="s">
        <v>2837</v>
      </c>
      <c r="H46" s="213">
        <f t="array" ref="H46">IFNA(XLOOKUP($D46,Cards!$A:$A,Cards!C:C),"")</f>
        <v>1</v>
      </c>
      <c r="I46" s="213" t="str">
        <f t="array" ref="I46">IFNA(XLOOKUP($D46,Cards!$A:$A,Cards!B:B),"")</f>
        <v>Divine</v>
      </c>
      <c r="J46" s="213" t="str">
        <f t="array" ref="J46">IFNA(XLOOKUP($D46,Cards!$A:$A,Cards!D:D),"")</f>
        <v>Angel</v>
      </c>
      <c r="K46" s="213" t="str">
        <f t="array" ref="K46">IFNA(XLOOKUP($D46,Cards!$A:$A,Cards!E:E),"")</f>
        <v>Deploy: Cleanse all Units in this Lane.</v>
      </c>
      <c r="L46" s="214">
        <f t="array" ref="L46">IFNA(XLOOKUP($D46,Cards!$A:$A,Cards!G:G),"")</f>
        <v>4</v>
      </c>
      <c r="M46" s="214" t="str">
        <f t="array" ref="M46">IFNA(XLOOKUP($D46,Cards!$A:$A,Cards!H:H),"")</f>
        <v>D, D, ?, ?, ?</v>
      </c>
      <c r="N46" s="214" t="str">
        <f t="array" ref="N46">IFNA(XLOOKUP($D46,Cards!$A:$A,Cards!I:I),"")</f>
        <v>Rare</v>
      </c>
      <c r="O46" s="215">
        <f t="shared" si="1"/>
        <v>4</v>
      </c>
    </row>
    <row r="47">
      <c r="D47" s="16" t="s">
        <v>185</v>
      </c>
      <c r="E47" s="16" t="s">
        <v>2843</v>
      </c>
      <c r="F47" s="16">
        <v>1.0</v>
      </c>
      <c r="G47" s="16" t="s">
        <v>2838</v>
      </c>
      <c r="H47" s="213">
        <f t="array" ref="H47">IFNA(XLOOKUP($D47,Cards!$A:$A,Cards!C:C),"")</f>
        <v>1</v>
      </c>
      <c r="I47" s="213" t="str">
        <f t="array" ref="I47">IFNA(XLOOKUP($D47,Cards!$A:$A,Cards!B:B),"")</f>
        <v>Divine</v>
      </c>
      <c r="J47" s="213" t="str">
        <f t="array" ref="J47">IFNA(XLOOKUP($D47,Cards!$A:$A,Cards!D:D),"")</f>
        <v>Animal</v>
      </c>
      <c r="K47" s="213" t="str">
        <f t="array" ref="K47">IFNA(XLOOKUP($D47,Cards!$A:$A,Cards!E:E),"")</f>
        <v>Deploy: Choose one: - Gain +1 Power for each Card in your Hand. - Glimpse 2, then draw a Card.</v>
      </c>
      <c r="L47" s="214">
        <f t="array" ref="L47">IFNA(XLOOKUP($D47,Cards!$A:$A,Cards!G:G),"")</f>
        <v>0</v>
      </c>
      <c r="M47" s="214" t="str">
        <f t="array" ref="M47">IFNA(XLOOKUP($D47,Cards!$A:$A,Cards!H:H),"")</f>
        <v>D, D, ?</v>
      </c>
      <c r="N47" s="214" t="str">
        <f t="array" ref="N47">IFNA(XLOOKUP($D47,Cards!$A:$A,Cards!I:I),"")</f>
        <v>Rare</v>
      </c>
      <c r="O47" s="215">
        <f t="shared" si="1"/>
        <v>0</v>
      </c>
    </row>
    <row r="48">
      <c r="D48" s="16" t="s">
        <v>2070</v>
      </c>
      <c r="E48" s="16" t="s">
        <v>2843</v>
      </c>
      <c r="F48" s="16">
        <v>1.0</v>
      </c>
      <c r="G48" s="16" t="s">
        <v>2838</v>
      </c>
      <c r="H48" s="213">
        <f t="array" ref="H48">IFNA(XLOOKUP($D48,Cards!$A:$A,Cards!C:C),"")</f>
        <v>1</v>
      </c>
      <c r="I48" s="213" t="str">
        <f t="array" ref="I48">IFNA(XLOOKUP($D48,Cards!$A:$A,Cards!B:B),"")</f>
        <v>Void</v>
      </c>
      <c r="J48" s="213" t="str">
        <f t="array" ref="J48">IFNA(XLOOKUP($D48,Cards!$A:$A,Cards!D:D),"")</f>
        <v>Construct Hunter</v>
      </c>
      <c r="K48" s="213" t="str">
        <f t="array" ref="K48">IFNA(XLOOKUP($D48,Cards!$A:$A,Cards!E:E),"")</f>
        <v>Ritual and Unearth: Draw the top Undead or Construct of your Deck.</v>
      </c>
      <c r="L48" s="214">
        <f t="array" ref="L48">IFNA(XLOOKUP($D48,Cards!$A:$A,Cards!G:G),"")</f>
        <v>4</v>
      </c>
      <c r="M48" s="214" t="str">
        <f t="array" ref="M48">IFNA(XLOOKUP($D48,Cards!$A:$A,Cards!H:H),"")</f>
        <v>V, ?, ?, ?</v>
      </c>
      <c r="N48" s="214" t="str">
        <f t="array" ref="N48">IFNA(XLOOKUP($D48,Cards!$A:$A,Cards!I:I),"")</f>
        <v>Rare</v>
      </c>
      <c r="O48" s="215">
        <f t="shared" si="1"/>
        <v>4</v>
      </c>
    </row>
    <row r="49">
      <c r="D49" s="16" t="s">
        <v>1888</v>
      </c>
      <c r="E49" s="16" t="s">
        <v>2843</v>
      </c>
      <c r="F49" s="16">
        <v>1.0</v>
      </c>
      <c r="G49" s="16" t="s">
        <v>2838</v>
      </c>
      <c r="H49" s="213">
        <f t="array" ref="H49">IFNA(XLOOKUP($D49,Cards!$A:$A,Cards!C:C),"")</f>
        <v>1</v>
      </c>
      <c r="I49" s="213" t="str">
        <f t="array" ref="I49">IFNA(XLOOKUP($D49,Cards!$A:$A,Cards!B:B),"")</f>
        <v>Void</v>
      </c>
      <c r="J49" s="213" t="str">
        <f t="array" ref="J49">IFNA(XLOOKUP($D49,Cards!$A:$A,Cards!D:D),"")</f>
        <v>Demon Hunter</v>
      </c>
      <c r="K49" s="213" t="str">
        <f t="array" ref="K49">IFNA(XLOOKUP($D49,Cards!$A:$A,Cards!E:E),"")</f>
        <v>Deploy: Bury an adjacent enemy Unit with equal or lower Power than this.</v>
      </c>
      <c r="L49" s="214">
        <f t="array" ref="L49">IFNA(XLOOKUP($D49,Cards!$A:$A,Cards!G:G),"")</f>
        <v>4</v>
      </c>
      <c r="M49" s="214" t="str">
        <f t="array" ref="M49">IFNA(XLOOKUP($D49,Cards!$A:$A,Cards!H:H),"")</f>
        <v>V, V, ?, ?</v>
      </c>
      <c r="N49" s="214" t="str">
        <f t="array" ref="N49">IFNA(XLOOKUP($D49,Cards!$A:$A,Cards!I:I),"")</f>
        <v>Uncommon</v>
      </c>
      <c r="O49" s="215">
        <f t="shared" si="1"/>
        <v>4</v>
      </c>
    </row>
    <row r="50">
      <c r="D50" s="16" t="s">
        <v>1918</v>
      </c>
      <c r="E50" s="16" t="s">
        <v>2843</v>
      </c>
      <c r="F50" s="16">
        <v>1.0</v>
      </c>
      <c r="G50" s="16" t="s">
        <v>2838</v>
      </c>
      <c r="H50" s="213">
        <f t="array" ref="H50">IFNA(XLOOKUP($D50,Cards!$A:$A,Cards!C:C),"")</f>
        <v>1</v>
      </c>
      <c r="I50" s="213" t="str">
        <f t="array" ref="I50">IFNA(XLOOKUP($D50,Cards!$A:$A,Cards!B:B),"")</f>
        <v>Void</v>
      </c>
      <c r="J50" s="213" t="str">
        <f t="array" ref="J50">IFNA(XLOOKUP($D50,Cards!$A:$A,Cards!D:D),"")</f>
        <v>Demon Human</v>
      </c>
      <c r="K50" s="213" t="str">
        <f t="array" ref="K50">IFNA(XLOOKUP($D50,Cards!$A:$A,Cards!E:E),"")</f>
        <v>Deploy: Draw two Cards, then put two Cards from your Hand to the bottom of the Deck. </v>
      </c>
      <c r="L50" s="214">
        <f t="array" ref="L50">IFNA(XLOOKUP($D50,Cards!$A:$A,Cards!G:G),"")</f>
        <v>4</v>
      </c>
      <c r="M50" s="214" t="str">
        <f t="array" ref="M50">IFNA(XLOOKUP($D50,Cards!$A:$A,Cards!H:H),"")</f>
        <v>V, V, ?, ?, ?</v>
      </c>
      <c r="N50" s="214" t="str">
        <f t="array" ref="N50">IFNA(XLOOKUP($D50,Cards!$A:$A,Cards!I:I),"")</f>
        <v>Uncommon</v>
      </c>
      <c r="O50" s="215">
        <f t="shared" si="1"/>
        <v>4</v>
      </c>
    </row>
    <row r="51">
      <c r="D51" s="16" t="s">
        <v>133</v>
      </c>
      <c r="E51" s="16" t="s">
        <v>2843</v>
      </c>
      <c r="F51" s="16">
        <v>2.0</v>
      </c>
      <c r="G51" s="16" t="s">
        <v>2838</v>
      </c>
      <c r="H51" s="213">
        <f t="array" ref="H51">IFNA(XLOOKUP($D51,Cards!$A:$A,Cards!C:C),"")</f>
        <v>1</v>
      </c>
      <c r="I51" s="213" t="str">
        <f t="array" ref="I51">IFNA(XLOOKUP($D51,Cards!$A:$A,Cards!B:B),"")</f>
        <v>Divine</v>
      </c>
      <c r="J51" s="213" t="str">
        <f t="array" ref="J51">IFNA(XLOOKUP($D51,Cards!$A:$A,Cards!D:D),"")</f>
        <v>Angel Spirit</v>
      </c>
      <c r="K51" s="213" t="str">
        <f t="array" ref="K51">IFNA(XLOOKUP($D51,Cards!$A:$A,Cards!E:E),"")</f>
        <v>Ally of Angel: This and an adjacent friendly Unit gain Ward and +1 Power.</v>
      </c>
      <c r="L51" s="214">
        <f t="array" ref="L51">IFNA(XLOOKUP($D51,Cards!$A:$A,Cards!G:G),"")</f>
        <v>4</v>
      </c>
      <c r="M51" s="214" t="str">
        <f t="array" ref="M51">IFNA(XLOOKUP($D51,Cards!$A:$A,Cards!H:H),"")</f>
        <v>D, D, ?, ?</v>
      </c>
      <c r="N51" s="214" t="str">
        <f t="array" ref="N51">IFNA(XLOOKUP($D51,Cards!$A:$A,Cards!I:I),"")</f>
        <v>Uncommon</v>
      </c>
      <c r="O51" s="215">
        <f t="shared" si="1"/>
        <v>8</v>
      </c>
    </row>
    <row r="52">
      <c r="D52" s="16" t="s">
        <v>140</v>
      </c>
      <c r="E52" s="16" t="s">
        <v>2843</v>
      </c>
      <c r="F52" s="16">
        <v>1.0</v>
      </c>
      <c r="G52" s="16" t="s">
        <v>2838</v>
      </c>
      <c r="H52" s="213">
        <f t="array" ref="H52">IFNA(XLOOKUP($D52,Cards!$A:$A,Cards!C:C),"")</f>
        <v>1</v>
      </c>
      <c r="I52" s="213" t="str">
        <f t="array" ref="I52">IFNA(XLOOKUP($D52,Cards!$A:$A,Cards!B:B),"")</f>
        <v>Divine</v>
      </c>
      <c r="J52" s="213" t="str">
        <f t="array" ref="J52">IFNA(XLOOKUP($D52,Cards!$A:$A,Cards!D:D),"")</f>
        <v>Animal Construct</v>
      </c>
      <c r="K52" s="213" t="str">
        <f t="array" ref="K52">IFNA(XLOOKUP($D52,Cards!$A:$A,Cards!E:E),"")</f>
        <v>Crystallize: You may bury this to draw a Card.</v>
      </c>
      <c r="L52" s="214">
        <f t="array" ref="L52">IFNA(XLOOKUP($D52,Cards!$A:$A,Cards!G:G),"")</f>
        <v>3</v>
      </c>
      <c r="M52" s="214" t="str">
        <f t="array" ref="M52">IFNA(XLOOKUP($D52,Cards!$A:$A,Cards!H:H),"")</f>
        <v>D, ?, ?</v>
      </c>
      <c r="N52" s="214" t="str">
        <f t="array" ref="N52">IFNA(XLOOKUP($D52,Cards!$A:$A,Cards!I:I),"")</f>
        <v>Uncommon</v>
      </c>
      <c r="O52" s="215">
        <f t="shared" si="1"/>
        <v>3</v>
      </c>
    </row>
    <row r="53">
      <c r="D53" s="16" t="s">
        <v>193</v>
      </c>
      <c r="E53" s="16" t="s">
        <v>2843</v>
      </c>
      <c r="F53" s="16">
        <v>1.0</v>
      </c>
      <c r="G53" s="16" t="s">
        <v>2838</v>
      </c>
      <c r="H53" s="213">
        <f t="array" ref="H53">IFNA(XLOOKUP($D53,Cards!$A:$A,Cards!C:C),"")</f>
        <v>1</v>
      </c>
      <c r="I53" s="213" t="str">
        <f t="array" ref="I53">IFNA(XLOOKUP($D53,Cards!$A:$A,Cards!B:B),"")</f>
        <v>Divine</v>
      </c>
      <c r="J53" s="213" t="str">
        <f t="array" ref="J53">IFNA(XLOOKUP($D53,Cards!$A:$A,Cards!D:D),"")</f>
        <v>Animal Construct</v>
      </c>
      <c r="K53" s="213" t="str">
        <f t="array" ref="K53">IFNA(XLOOKUP($D53,Cards!$A:$A,Cards!E:E),"")</f>
        <v>Deploy: If an adjacent enemy Unit has 2 or less Power, draw a Card.</v>
      </c>
      <c r="L53" s="214">
        <f t="array" ref="L53">IFNA(XLOOKUP($D53,Cards!$A:$A,Cards!G:G),"")</f>
        <v>4</v>
      </c>
      <c r="M53" s="214" t="str">
        <f t="array" ref="M53">IFNA(XLOOKUP($D53,Cards!$A:$A,Cards!H:H),"")</f>
        <v>D, D, ?, ?</v>
      </c>
      <c r="N53" s="214" t="str">
        <f t="array" ref="N53">IFNA(XLOOKUP($D53,Cards!$A:$A,Cards!I:I),"")</f>
        <v>Common</v>
      </c>
      <c r="O53" s="215">
        <f t="shared" si="1"/>
        <v>4</v>
      </c>
    </row>
    <row r="54">
      <c r="D54" s="16" t="s">
        <v>75</v>
      </c>
      <c r="E54" s="16" t="s">
        <v>2843</v>
      </c>
      <c r="F54" s="16">
        <v>2.0</v>
      </c>
      <c r="G54" s="16" t="s">
        <v>2838</v>
      </c>
      <c r="H54" s="213">
        <f t="array" ref="H54">IFNA(XLOOKUP($D54,Cards!$A:$A,Cards!C:C),"")</f>
        <v>1</v>
      </c>
      <c r="I54" s="213" t="str">
        <f t="array" ref="I54">IFNA(XLOOKUP($D54,Cards!$A:$A,Cards!B:B),"")</f>
        <v>Divine</v>
      </c>
      <c r="J54" s="213" t="str">
        <f t="array" ref="J54">IFNA(XLOOKUP($D54,Cards!$A:$A,Cards!D:D),"")</f>
        <v>Construct Undead</v>
      </c>
      <c r="K54" s="213" t="str">
        <f t="array" ref="K54">IFNA(XLOOKUP($D54,Cards!$A:$A,Cards!E:E),"")</f>
        <v>Deploy: Gain Ward.</v>
      </c>
      <c r="L54" s="214">
        <f t="array" ref="L54">IFNA(XLOOKUP($D54,Cards!$A:$A,Cards!G:G),"")</f>
        <v>2</v>
      </c>
      <c r="M54" s="214" t="str">
        <f t="array" ref="M54">IFNA(XLOOKUP($D54,Cards!$A:$A,Cards!H:H),"")</f>
        <v>D</v>
      </c>
      <c r="N54" s="214" t="str">
        <f t="array" ref="N54">IFNA(XLOOKUP($D54,Cards!$A:$A,Cards!I:I),"")</f>
        <v>Common</v>
      </c>
      <c r="O54" s="215">
        <f t="shared" si="1"/>
        <v>4</v>
      </c>
    </row>
    <row r="55">
      <c r="D55" s="16" t="s">
        <v>90</v>
      </c>
      <c r="E55" s="16" t="s">
        <v>2843</v>
      </c>
      <c r="F55" s="16">
        <v>2.0</v>
      </c>
      <c r="G55" s="16" t="s">
        <v>2838</v>
      </c>
      <c r="H55" s="213">
        <f t="array" ref="H55">IFNA(XLOOKUP($D55,Cards!$A:$A,Cards!C:C),"")</f>
        <v>1</v>
      </c>
      <c r="I55" s="213" t="str">
        <f t="array" ref="I55">IFNA(XLOOKUP($D55,Cards!$A:$A,Cards!B:B),"")</f>
        <v>Divine</v>
      </c>
      <c r="J55" s="213" t="str">
        <f t="array" ref="J55">IFNA(XLOOKUP($D55,Cards!$A:$A,Cards!D:D),"")</f>
        <v>Angel Warrior</v>
      </c>
      <c r="K55" s="213" t="str">
        <f t="array" ref="K55">IFNA(XLOOKUP($D55,Cards!$A:$A,Cards!E:E),"")</f>
        <v/>
      </c>
      <c r="L55" s="214">
        <f t="array" ref="L55">IFNA(XLOOKUP($D55,Cards!$A:$A,Cards!G:G),"")</f>
        <v>3</v>
      </c>
      <c r="M55" s="214" t="str">
        <f t="array" ref="M55">IFNA(XLOOKUP($D55,Cards!$A:$A,Cards!H:H),"")</f>
        <v>D, ?</v>
      </c>
      <c r="N55" s="214" t="str">
        <f t="array" ref="N55">IFNA(XLOOKUP($D55,Cards!$A:$A,Cards!I:I),"")</f>
        <v>Common</v>
      </c>
      <c r="O55" s="215">
        <f t="shared" si="1"/>
        <v>6</v>
      </c>
    </row>
    <row r="56">
      <c r="D56" s="16" t="s">
        <v>96</v>
      </c>
      <c r="E56" s="16" t="s">
        <v>2843</v>
      </c>
      <c r="F56" s="16">
        <v>1.0</v>
      </c>
      <c r="G56" s="16" t="s">
        <v>2837</v>
      </c>
      <c r="H56" s="213">
        <f t="array" ref="H56">IFNA(XLOOKUP($D56,Cards!$A:$A,Cards!C:C),"")</f>
        <v>1</v>
      </c>
      <c r="I56" s="213" t="str">
        <f t="array" ref="I56">IFNA(XLOOKUP($D56,Cards!$A:$A,Cards!B:B),"")</f>
        <v>Divine</v>
      </c>
      <c r="J56" s="213" t="str">
        <f t="array" ref="J56">IFNA(XLOOKUP($D56,Cards!$A:$A,Cards!D:D),"")</f>
        <v>Animal</v>
      </c>
      <c r="K56" s="213" t="str">
        <f t="array" ref="K56">IFNA(XLOOKUP($D56,Cards!$A:$A,Cards!E:E),"")</f>
        <v>Whenever a friendly Divine Unit is deployed adjacently, gain +2 Power.</v>
      </c>
      <c r="L56" s="214">
        <f t="array" ref="L56">IFNA(XLOOKUP($D56,Cards!$A:$A,Cards!G:G),"")</f>
        <v>1</v>
      </c>
      <c r="M56" s="214" t="str">
        <f t="array" ref="M56">IFNA(XLOOKUP($D56,Cards!$A:$A,Cards!H:H),"")</f>
        <v>D, ?</v>
      </c>
      <c r="N56" s="214" t="str">
        <f t="array" ref="N56">IFNA(XLOOKUP($D56,Cards!$A:$A,Cards!I:I),"")</f>
        <v>Common</v>
      </c>
      <c r="O56" s="215">
        <f t="shared" si="1"/>
        <v>1</v>
      </c>
    </row>
    <row r="57">
      <c r="D57" s="16" t="s">
        <v>113</v>
      </c>
      <c r="E57" s="16" t="s">
        <v>2843</v>
      </c>
      <c r="F57" s="16">
        <v>2.0</v>
      </c>
      <c r="G57" s="16" t="s">
        <v>2838</v>
      </c>
      <c r="H57" s="213">
        <f t="array" ref="H57">IFNA(XLOOKUP($D57,Cards!$A:$A,Cards!C:C),"")</f>
        <v>1</v>
      </c>
      <c r="I57" s="213" t="str">
        <f t="array" ref="I57">IFNA(XLOOKUP($D57,Cards!$A:$A,Cards!B:B),"")</f>
        <v>Divine</v>
      </c>
      <c r="J57" s="213" t="str">
        <f t="array" ref="J57">IFNA(XLOOKUP($D57,Cards!$A:$A,Cards!D:D),"")</f>
        <v>Animal Construct</v>
      </c>
      <c r="K57" s="213" t="str">
        <f t="array" ref="K57">IFNA(XLOOKUP($D57,Cards!$A:$A,Cards!E:E),"")</f>
        <v>Crystallize: You may bury this to glimpse 2.</v>
      </c>
      <c r="L57" s="214">
        <f t="array" ref="L57">IFNA(XLOOKUP($D57,Cards!$A:$A,Cards!G:G),"")</f>
        <v>2</v>
      </c>
      <c r="M57" s="214" t="str">
        <f t="array" ref="M57">IFNA(XLOOKUP($D57,Cards!$A:$A,Cards!H:H),"")</f>
        <v>D, ?</v>
      </c>
      <c r="N57" s="214" t="str">
        <f t="array" ref="N57">IFNA(XLOOKUP($D57,Cards!$A:$A,Cards!I:I),"")</f>
        <v>Common</v>
      </c>
      <c r="O57" s="215">
        <f t="shared" si="1"/>
        <v>4</v>
      </c>
    </row>
    <row r="58">
      <c r="D58" s="16" t="s">
        <v>179</v>
      </c>
      <c r="E58" s="16" t="s">
        <v>2843</v>
      </c>
      <c r="F58" s="16">
        <v>2.0</v>
      </c>
      <c r="G58" s="16" t="s">
        <v>2838</v>
      </c>
      <c r="H58" s="213">
        <f t="array" ref="H58">IFNA(XLOOKUP($D58,Cards!$A:$A,Cards!C:C),"")</f>
        <v>1</v>
      </c>
      <c r="I58" s="213" t="str">
        <f t="array" ref="I58">IFNA(XLOOKUP($D58,Cards!$A:$A,Cards!B:B),"")</f>
        <v>Divine</v>
      </c>
      <c r="J58" s="213" t="str">
        <f t="array" ref="J58">IFNA(XLOOKUP($D58,Cards!$A:$A,Cards!D:D),"")</f>
        <v>Undead Warrior</v>
      </c>
      <c r="K58" s="213" t="str">
        <f t="array" ref="K58">IFNA(XLOOKUP($D58,Cards!$A:$A,Cards!E:E),"")</f>
        <v>Ally of Divine: Gain Taunt.</v>
      </c>
      <c r="L58" s="214">
        <f t="array" ref="L58">IFNA(XLOOKUP($D58,Cards!$A:$A,Cards!G:G),"")</f>
        <v>2</v>
      </c>
      <c r="M58" s="214" t="str">
        <f t="array" ref="M58">IFNA(XLOOKUP($D58,Cards!$A:$A,Cards!H:H),"")</f>
        <v>D</v>
      </c>
      <c r="N58" s="214" t="str">
        <f t="array" ref="N58">IFNA(XLOOKUP($D58,Cards!$A:$A,Cards!I:I),"")</f>
        <v>Common</v>
      </c>
      <c r="O58" s="215">
        <f t="shared" si="1"/>
        <v>4</v>
      </c>
    </row>
    <row r="59">
      <c r="D59" s="16" t="s">
        <v>127</v>
      </c>
      <c r="E59" s="16" t="s">
        <v>2843</v>
      </c>
      <c r="F59" s="16">
        <v>1.0</v>
      </c>
      <c r="G59" s="16" t="s">
        <v>2837</v>
      </c>
      <c r="H59" s="213">
        <f t="array" ref="H59">IFNA(XLOOKUP($D59,Cards!$A:$A,Cards!C:C),"")</f>
        <v>1</v>
      </c>
      <c r="I59" s="213" t="str">
        <f t="array" ref="I59">IFNA(XLOOKUP($D59,Cards!$A:$A,Cards!B:B),"")</f>
        <v>Divine</v>
      </c>
      <c r="J59" s="213" t="str">
        <f t="array" ref="J59">IFNA(XLOOKUP($D59,Cards!$A:$A,Cards!D:D),"")</f>
        <v>Human Hunter</v>
      </c>
      <c r="K59" s="213" t="str">
        <f t="array" ref="K59">IFNA(XLOOKUP($D59,Cards!$A:$A,Cards!E:E),"")</f>
        <v>Deploy: Cleanse an adjacent Unit.</v>
      </c>
      <c r="L59" s="214">
        <f t="array" ref="L59">IFNA(XLOOKUP($D59,Cards!$A:$A,Cards!G:G),"")</f>
        <v>2</v>
      </c>
      <c r="M59" s="214" t="str">
        <f t="array" ref="M59">IFNA(XLOOKUP($D59,Cards!$A:$A,Cards!H:H),"")</f>
        <v>D, ?</v>
      </c>
      <c r="N59" s="214" t="str">
        <f t="array" ref="N59">IFNA(XLOOKUP($D59,Cards!$A:$A,Cards!I:I),"")</f>
        <v>Common</v>
      </c>
      <c r="O59" s="215">
        <f t="shared" si="1"/>
        <v>2</v>
      </c>
    </row>
    <row r="60">
      <c r="D60" s="16" t="s">
        <v>236</v>
      </c>
      <c r="E60" s="16" t="s">
        <v>2843</v>
      </c>
      <c r="F60" s="16">
        <v>2.0</v>
      </c>
      <c r="G60" s="16" t="s">
        <v>2838</v>
      </c>
      <c r="H60" s="213">
        <f t="array" ref="H60">IFNA(XLOOKUP($D60,Cards!$A:$A,Cards!C:C),"")</f>
        <v>1</v>
      </c>
      <c r="I60" s="213" t="str">
        <f t="array" ref="I60">IFNA(XLOOKUP($D60,Cards!$A:$A,Cards!B:B),"")</f>
        <v>Divine</v>
      </c>
      <c r="J60" s="213" t="str">
        <f t="array" ref="J60">IFNA(XLOOKUP($D60,Cards!$A:$A,Cards!D:D),"")</f>
        <v>Angel Animal</v>
      </c>
      <c r="K60" s="213" t="str">
        <f t="array" ref="K60">IFNA(XLOOKUP($D60,Cards!$A:$A,Cards!E:E),"")</f>
        <v/>
      </c>
      <c r="L60" s="214">
        <f t="array" ref="L60">IFNA(XLOOKUP($D60,Cards!$A:$A,Cards!G:G),"")</f>
        <v>4</v>
      </c>
      <c r="M60" s="214" t="str">
        <f t="array" ref="M60">IFNA(XLOOKUP($D60,Cards!$A:$A,Cards!H:H),"")</f>
        <v>D, ?, ?, ?</v>
      </c>
      <c r="N60" s="214" t="str">
        <f t="array" ref="N60">IFNA(XLOOKUP($D60,Cards!$A:$A,Cards!I:I),"")</f>
        <v>Common</v>
      </c>
      <c r="O60" s="215">
        <f t="shared" si="1"/>
        <v>8</v>
      </c>
    </row>
    <row r="61">
      <c r="D61" s="16" t="s">
        <v>1912</v>
      </c>
      <c r="E61" s="16" t="s">
        <v>2843</v>
      </c>
      <c r="F61" s="16">
        <v>2.0</v>
      </c>
      <c r="G61" s="16" t="s">
        <v>2837</v>
      </c>
      <c r="H61" s="213">
        <f t="array" ref="H61">IFNA(XLOOKUP($D61,Cards!$A:$A,Cards!C:C),"")</f>
        <v>1</v>
      </c>
      <c r="I61" s="213" t="str">
        <f t="array" ref="I61">IFNA(XLOOKUP($D61,Cards!$A:$A,Cards!B:B),"")</f>
        <v>Void</v>
      </c>
      <c r="J61" s="213" t="str">
        <f t="array" ref="J61">IFNA(XLOOKUP($D61,Cards!$A:$A,Cards!D:D),"")</f>
        <v>Dinosaur Undead</v>
      </c>
      <c r="K61" s="213" t="str">
        <f t="array" ref="K61">IFNA(XLOOKUP($D61,Cards!$A:$A,Cards!E:E),"")</f>
        <v>Whenever an enemy Unit with less Power is deployed adjacently, gain +1 Power.</v>
      </c>
      <c r="L61" s="214">
        <f t="array" ref="L61">IFNA(XLOOKUP($D61,Cards!$A:$A,Cards!G:G),"")</f>
        <v>4</v>
      </c>
      <c r="M61" s="214" t="str">
        <f t="array" ref="M61">IFNA(XLOOKUP($D61,Cards!$A:$A,Cards!H:H),"")</f>
        <v>V, ?, ?, ?</v>
      </c>
      <c r="N61" s="214" t="str">
        <f t="array" ref="N61">IFNA(XLOOKUP($D61,Cards!$A:$A,Cards!I:I),"")</f>
        <v>Common</v>
      </c>
      <c r="O61" s="215">
        <f t="shared" si="1"/>
        <v>8</v>
      </c>
    </row>
    <row r="62">
      <c r="D62" s="16" t="s">
        <v>2055</v>
      </c>
      <c r="E62" s="16" t="s">
        <v>2843</v>
      </c>
      <c r="F62" s="16">
        <v>1.0</v>
      </c>
      <c r="G62" s="16" t="s">
        <v>2837</v>
      </c>
      <c r="H62" s="213">
        <f t="array" ref="H62">IFNA(XLOOKUP($D62,Cards!$A:$A,Cards!C:C),"")</f>
        <v>1</v>
      </c>
      <c r="I62" s="213" t="str">
        <f t="array" ref="I62">IFNA(XLOOKUP($D62,Cards!$A:$A,Cards!B:B),"")</f>
        <v>Void</v>
      </c>
      <c r="J62" s="213" t="str">
        <f t="array" ref="J62">IFNA(XLOOKUP($D62,Cards!$A:$A,Cards!D:D),"")</f>
        <v>Demon Warrior</v>
      </c>
      <c r="K62" s="213" t="str">
        <f t="array" ref="K62">IFNA(XLOOKUP($D62,Cards!$A:$A,Cards!E:E),"")</f>
        <v/>
      </c>
      <c r="L62" s="214">
        <f t="array" ref="L62">IFNA(XLOOKUP($D62,Cards!$A:$A,Cards!G:G),"")</f>
        <v>6</v>
      </c>
      <c r="M62" s="214" t="str">
        <f t="array" ref="M62">IFNA(XLOOKUP($D62,Cards!$A:$A,Cards!H:H),"")</f>
        <v>V, V, ?, ?, ?</v>
      </c>
      <c r="N62" s="214" t="str">
        <f t="array" ref="N62">IFNA(XLOOKUP($D62,Cards!$A:$A,Cards!I:I),"")</f>
        <v>Common</v>
      </c>
      <c r="O62" s="215">
        <f t="shared" si="1"/>
        <v>6</v>
      </c>
    </row>
    <row r="63">
      <c r="D63" s="16" t="s">
        <v>1903</v>
      </c>
      <c r="E63" s="16" t="s">
        <v>2843</v>
      </c>
      <c r="F63" s="16">
        <v>2.0</v>
      </c>
      <c r="G63" s="16" t="s">
        <v>2838</v>
      </c>
      <c r="H63" s="213">
        <f t="array" ref="H63">IFNA(XLOOKUP($D63,Cards!$A:$A,Cards!C:C),"")</f>
        <v>1</v>
      </c>
      <c r="I63" s="213" t="str">
        <f t="array" ref="I63">IFNA(XLOOKUP($D63,Cards!$A:$A,Cards!B:B),"")</f>
        <v>Void</v>
      </c>
      <c r="J63" s="213" t="str">
        <f t="array" ref="J63">IFNA(XLOOKUP($D63,Cards!$A:$A,Cards!D:D),"")</f>
        <v>Undead</v>
      </c>
      <c r="K63" s="213" t="str">
        <f t="array" ref="K63">IFNA(XLOOKUP($D63,Cards!$A:$A,Cards!E:E),"")</f>
        <v>When this gets buried, draw a Card.</v>
      </c>
      <c r="L63" s="214">
        <f t="array" ref="L63">IFNA(XLOOKUP($D63,Cards!$A:$A,Cards!G:G),"")</f>
        <v>3</v>
      </c>
      <c r="M63" s="214" t="str">
        <f t="array" ref="M63">IFNA(XLOOKUP($D63,Cards!$A:$A,Cards!H:H),"")</f>
        <v>V, ?, ?</v>
      </c>
      <c r="N63" s="214" t="str">
        <f t="array" ref="N63">IFNA(XLOOKUP($D63,Cards!$A:$A,Cards!I:I),"")</f>
        <v>Common</v>
      </c>
      <c r="O63" s="215">
        <f t="shared" si="1"/>
        <v>6</v>
      </c>
    </row>
    <row r="64">
      <c r="D64" s="16" t="s">
        <v>1906</v>
      </c>
      <c r="E64" s="16" t="s">
        <v>2843</v>
      </c>
      <c r="F64" s="16">
        <v>1.0</v>
      </c>
      <c r="G64" s="16" t="s">
        <v>2838</v>
      </c>
      <c r="H64" s="213">
        <f t="array" ref="H64">IFNA(XLOOKUP($D64,Cards!$A:$A,Cards!C:C),"")</f>
        <v>1</v>
      </c>
      <c r="I64" s="213" t="str">
        <f t="array" ref="I64">IFNA(XLOOKUP($D64,Cards!$A:$A,Cards!B:B),"")</f>
        <v>Void</v>
      </c>
      <c r="J64" s="213" t="str">
        <f t="array" ref="J64">IFNA(XLOOKUP($D64,Cards!$A:$A,Cards!D:D),"")</f>
        <v>Undead</v>
      </c>
      <c r="K64" s="213" t="str">
        <f t="array" ref="K64">IFNA(XLOOKUP($D64,Cards!$A:$A,Cards!E:E),"")</f>
        <v>Deploy: Glimpse twice for each adjacent Void Unit.</v>
      </c>
      <c r="L64" s="214">
        <f t="array" ref="L64">IFNA(XLOOKUP($D64,Cards!$A:$A,Cards!G:G),"")</f>
        <v>3</v>
      </c>
      <c r="M64" s="214" t="str">
        <f t="array" ref="M64">IFNA(XLOOKUP($D64,Cards!$A:$A,Cards!H:H),"")</f>
        <v>V, ?, ?</v>
      </c>
      <c r="N64" s="214" t="str">
        <f t="array" ref="N64">IFNA(XLOOKUP($D64,Cards!$A:$A,Cards!I:I),"")</f>
        <v>Common</v>
      </c>
      <c r="O64" s="215">
        <f t="shared" si="1"/>
        <v>3</v>
      </c>
    </row>
    <row r="65">
      <c r="D65" s="16" t="s">
        <v>990</v>
      </c>
      <c r="E65" s="16" t="s">
        <v>2844</v>
      </c>
      <c r="F65" s="16">
        <v>1.0</v>
      </c>
      <c r="G65" s="16" t="s">
        <v>2837</v>
      </c>
      <c r="H65" s="213">
        <f t="array" ref="H65">IFNA(XLOOKUP($D65,Cards!$A:$A,Cards!C:C),"")</f>
        <v>1</v>
      </c>
      <c r="I65" s="213" t="str">
        <f t="array" ref="I65">IFNA(XLOOKUP($D65,Cards!$A:$A,Cards!B:B),"")</f>
        <v>Elemental</v>
      </c>
      <c r="J65" s="213" t="str">
        <f t="array" ref="J65">IFNA(XLOOKUP($D65,Cards!$A:$A,Cards!D:D),"")</f>
        <v>Dragon</v>
      </c>
      <c r="K65" s="213" t="str">
        <f t="array" ref="K65">IFNA(XLOOKUP($D65,Cards!$A:$A,Cards!E:E),"")</f>
        <v>Deploy: </v>
      </c>
      <c r="L65" s="214" t="str">
        <f t="array" ref="L65">IFNA(XLOOKUP($D65,Cards!$A:$A,Cards!G:G),"")</f>
        <v/>
      </c>
      <c r="M65" s="214" t="str">
        <f t="array" ref="M65">IFNA(XLOOKUP($D65,Cards!$A:$A,Cards!H:H),"")</f>
        <v/>
      </c>
      <c r="N65" s="214" t="str">
        <f t="array" ref="N65">IFNA(XLOOKUP($D65,Cards!$A:$A,Cards!I:I),"")</f>
        <v>Rare</v>
      </c>
      <c r="O65" s="215">
        <f t="shared" si="1"/>
        <v>0</v>
      </c>
    </row>
    <row r="66">
      <c r="D66" s="16" t="s">
        <v>992</v>
      </c>
      <c r="E66" s="16" t="s">
        <v>2844</v>
      </c>
      <c r="F66" s="16">
        <v>1.0</v>
      </c>
      <c r="G66" s="16" t="s">
        <v>2838</v>
      </c>
      <c r="H66" s="213">
        <f t="array" ref="H66">IFNA(XLOOKUP($D66,Cards!$A:$A,Cards!C:C),"")</f>
        <v>1</v>
      </c>
      <c r="I66" s="213" t="str">
        <f t="array" ref="I66">IFNA(XLOOKUP($D66,Cards!$A:$A,Cards!B:B),"")</f>
        <v>Elemental</v>
      </c>
      <c r="J66" s="213" t="str">
        <f t="array" ref="J66">IFNA(XLOOKUP($D66,Cards!$A:$A,Cards!D:D),"")</f>
        <v>Dragon</v>
      </c>
      <c r="K66" s="213" t="str">
        <f t="array" ref="K66">IFNA(XLOOKUP($D66,Cards!$A:$A,Cards!E:E),"")</f>
        <v/>
      </c>
      <c r="L66" s="214" t="str">
        <f t="array" ref="L66">IFNA(XLOOKUP($D66,Cards!$A:$A,Cards!G:G),"")</f>
        <v/>
      </c>
      <c r="M66" s="214" t="str">
        <f t="array" ref="M66">IFNA(XLOOKUP($D66,Cards!$A:$A,Cards!H:H),"")</f>
        <v/>
      </c>
      <c r="N66" s="214" t="str">
        <f t="array" ref="N66">IFNA(XLOOKUP($D66,Cards!$A:$A,Cards!I:I),"")</f>
        <v>Rare</v>
      </c>
      <c r="O66" s="215">
        <f t="shared" si="1"/>
        <v>0</v>
      </c>
    </row>
    <row r="67">
      <c r="D67" s="16" t="s">
        <v>1764</v>
      </c>
      <c r="E67" s="16" t="s">
        <v>2844</v>
      </c>
      <c r="F67" s="16">
        <v>1.0</v>
      </c>
      <c r="G67" s="16" t="s">
        <v>2838</v>
      </c>
      <c r="H67" s="213">
        <f t="array" ref="H67">IFNA(XLOOKUP($D67,Cards!$A:$A,Cards!C:C),"")</f>
        <v>1</v>
      </c>
      <c r="I67" s="213" t="str">
        <f t="array" ref="I67">IFNA(XLOOKUP($D67,Cards!$A:$A,Cards!B:B),"")</f>
        <v>Nature</v>
      </c>
      <c r="J67" s="213" t="str">
        <f t="array" ref="J67">IFNA(XLOOKUP($D67,Cards!$A:$A,Cards!D:D),"")</f>
        <v>Demon Dinosaur</v>
      </c>
      <c r="K67" s="213" t="str">
        <f t="array" ref="K67">IFNA(XLOOKUP($D67,Cards!$A:$A,Cards!E:E),"")</f>
        <v>Deploy: Each Player crystallizes the top Card of their Deck.</v>
      </c>
      <c r="L67" s="214">
        <f t="array" ref="L67">IFNA(XLOOKUP($D67,Cards!$A:$A,Cards!G:G),"")</f>
        <v>6</v>
      </c>
      <c r="M67" s="214" t="str">
        <f t="array" ref="M67">IFNA(XLOOKUP($D67,Cards!$A:$A,Cards!H:H),"")</f>
        <v>N, N, ?, ?</v>
      </c>
      <c r="N67" s="214" t="str">
        <f t="array" ref="N67">IFNA(XLOOKUP($D67,Cards!$A:$A,Cards!I:I),"")</f>
        <v>Rare</v>
      </c>
      <c r="O67" s="215">
        <f t="shared" si="1"/>
        <v>6</v>
      </c>
    </row>
    <row r="68">
      <c r="D68" s="34" t="s">
        <v>1057</v>
      </c>
      <c r="E68" s="16" t="s">
        <v>2844</v>
      </c>
      <c r="F68" s="16">
        <v>1.0</v>
      </c>
      <c r="G68" s="16" t="s">
        <v>2837</v>
      </c>
      <c r="H68" s="213">
        <f t="array" ref="H68">IFNA(XLOOKUP($D68,Cards!$A:$A,Cards!C:C),"")</f>
        <v>1</v>
      </c>
      <c r="I68" s="213" t="str">
        <f t="array" ref="I68">IFNA(XLOOKUP($D68,Cards!$A:$A,Cards!B:B),"")</f>
        <v>Elemental Nature</v>
      </c>
      <c r="J68" s="213" t="str">
        <f t="array" ref="J68">IFNA(XLOOKUP($D68,Cards!$A:$A,Cards!D:D),"")</f>
        <v>Dragon Spirit</v>
      </c>
      <c r="K68" s="213" t="str">
        <f t="array" ref="K68">IFNA(XLOOKUP($D68,Cards!$A:$A,Cards!E:E),"")</f>
        <v>Deploy: Gain Fear and +1 Power for each adjacent empty Slot.</v>
      </c>
      <c r="L68" s="214">
        <f t="array" ref="L68">IFNA(XLOOKUP($D68,Cards!$A:$A,Cards!G:G),"")</f>
        <v>5</v>
      </c>
      <c r="M68" s="214" t="str">
        <f t="array" ref="M68">IFNA(XLOOKUP($D68,Cards!$A:$A,Cards!H:H),"")</f>
        <v>E, E, N, ?, ?</v>
      </c>
      <c r="N68" s="214" t="str">
        <f t="array" ref="N68">IFNA(XLOOKUP($D68,Cards!$A:$A,Cards!I:I),"")</f>
        <v>Uncommon</v>
      </c>
      <c r="O68" s="215">
        <f t="shared" si="1"/>
        <v>5</v>
      </c>
    </row>
    <row r="69">
      <c r="D69" s="16" t="s">
        <v>692</v>
      </c>
      <c r="E69" s="16" t="s">
        <v>2844</v>
      </c>
      <c r="F69" s="16">
        <v>2.0</v>
      </c>
      <c r="G69" s="16" t="s">
        <v>2837</v>
      </c>
      <c r="H69" s="213">
        <f t="array" ref="H69">IFNA(XLOOKUP($D69,Cards!$A:$A,Cards!C:C),"")</f>
        <v>1</v>
      </c>
      <c r="I69" s="213" t="str">
        <f t="array" ref="I69">IFNA(XLOOKUP($D69,Cards!$A:$A,Cards!B:B),"")</f>
        <v>Elemental</v>
      </c>
      <c r="J69" s="213" t="str">
        <f t="array" ref="J69">IFNA(XLOOKUP($D69,Cards!$A:$A,Cards!D:D),"")</f>
        <v>Human Wizard</v>
      </c>
      <c r="K69" s="213" t="str">
        <f t="array" ref="K69">IFNA(XLOOKUP($D69,Cards!$A:$A,Cards!E:E),"")</f>
        <v>Ally of Dragon: Unleash &lt;E&gt;&lt;E&gt;: Bury an adjacent enemy Unit.</v>
      </c>
      <c r="L69" s="214">
        <f t="array" ref="L69">IFNA(XLOOKUP($D69,Cards!$A:$A,Cards!G:G),"")</f>
        <v>2</v>
      </c>
      <c r="M69" s="214" t="str">
        <f t="array" ref="M69">IFNA(XLOOKUP($D69,Cards!$A:$A,Cards!H:H),"")</f>
        <v>E, ?, ?</v>
      </c>
      <c r="N69" s="214" t="str">
        <f t="array" ref="N69">IFNA(XLOOKUP($D69,Cards!$A:$A,Cards!I:I),"")</f>
        <v>Uncommon</v>
      </c>
      <c r="O69" s="215">
        <f t="shared" si="1"/>
        <v>4</v>
      </c>
    </row>
    <row r="70">
      <c r="D70" s="7" t="s">
        <v>1620</v>
      </c>
      <c r="E70" s="16" t="s">
        <v>2844</v>
      </c>
      <c r="F70" s="16">
        <v>1.0</v>
      </c>
      <c r="G70" s="16" t="s">
        <v>2838</v>
      </c>
      <c r="H70" s="213">
        <f t="array" ref="H70">IFNA(XLOOKUP($D70,Cards!$A:$A,Cards!C:C),"")</f>
        <v>1</v>
      </c>
      <c r="I70" s="213" t="str">
        <f t="array" ref="I70">IFNA(XLOOKUP($D70,Cards!$A:$A,Cards!B:B),"")</f>
        <v>Nature</v>
      </c>
      <c r="J70" s="213" t="str">
        <f t="array" ref="J70">IFNA(XLOOKUP($D70,Cards!$A:$A,Cards!D:D),"")</f>
        <v>Dinosaur</v>
      </c>
      <c r="K70" s="213" t="str">
        <f t="array" ref="K70">IFNA(XLOOKUP($D70,Cards!$A:$A,Cards!E:E),"")</f>
        <v>Deploy: You may crystallize the top Card of your Deck.</v>
      </c>
      <c r="L70" s="214">
        <f t="array" ref="L70">IFNA(XLOOKUP($D70,Cards!$A:$A,Cards!G:G),"")</f>
        <v>2</v>
      </c>
      <c r="M70" s="214" t="str">
        <f t="array" ref="M70">IFNA(XLOOKUP($D70,Cards!$A:$A,Cards!H:H),"")</f>
        <v>N, ?, ?</v>
      </c>
      <c r="N70" s="214" t="str">
        <f t="array" ref="N70">IFNA(XLOOKUP($D70,Cards!$A:$A,Cards!I:I),"")</f>
        <v>Uncommon</v>
      </c>
      <c r="O70" s="215">
        <f t="shared" si="1"/>
        <v>2</v>
      </c>
    </row>
    <row r="71">
      <c r="D71" s="7" t="s">
        <v>783</v>
      </c>
      <c r="E71" s="16" t="s">
        <v>2844</v>
      </c>
      <c r="F71" s="16">
        <v>1.0</v>
      </c>
      <c r="G71" s="16" t="s">
        <v>2838</v>
      </c>
      <c r="H71" s="213">
        <f t="array" ref="H71">IFNA(XLOOKUP($D71,Cards!$A:$A,Cards!C:C),"")</f>
        <v>1</v>
      </c>
      <c r="I71" s="213" t="str">
        <f t="array" ref="I71">IFNA(XLOOKUP($D71,Cards!$A:$A,Cards!B:B),"")</f>
        <v>Elemental</v>
      </c>
      <c r="J71" s="213" t="str">
        <f t="array" ref="J71">IFNA(XLOOKUP($D71,Cards!$A:$A,Cards!D:D),"")</f>
        <v>Crystalblight? Dragon Wizard</v>
      </c>
      <c r="K71" s="213" t="str">
        <f t="array" ref="K71">IFNA(XLOOKUP($D71,Cards!$A:$A,Cards!E:E),"")</f>
        <v>Deploy: Bury a friendly Crystal.</v>
      </c>
      <c r="L71" s="214">
        <f t="array" ref="L71">IFNA(XLOOKUP($D71,Cards!$A:$A,Cards!G:G),"")</f>
        <v>6</v>
      </c>
      <c r="M71" s="214" t="str">
        <f t="array" ref="M71">IFNA(XLOOKUP($D71,Cards!$A:$A,Cards!H:H),"")</f>
        <v>E, E, ?, ?</v>
      </c>
      <c r="N71" s="214" t="str">
        <f t="array" ref="N71">IFNA(XLOOKUP($D71,Cards!$A:$A,Cards!I:I),"")</f>
        <v>Uncommon</v>
      </c>
      <c r="O71" s="215">
        <f t="shared" si="1"/>
        <v>6</v>
      </c>
    </row>
    <row r="72">
      <c r="D72" s="34" t="s">
        <v>1708</v>
      </c>
      <c r="E72" s="16" t="s">
        <v>2844</v>
      </c>
      <c r="F72" s="16">
        <v>1.0</v>
      </c>
      <c r="G72" s="16" t="s">
        <v>2838</v>
      </c>
      <c r="H72" s="213">
        <f t="array" ref="H72">IFNA(XLOOKUP($D72,Cards!$A:$A,Cards!C:C),"")</f>
        <v>1</v>
      </c>
      <c r="I72" s="213" t="str">
        <f t="array" ref="I72">IFNA(XLOOKUP($D72,Cards!$A:$A,Cards!B:B),"")</f>
        <v>Nature</v>
      </c>
      <c r="J72" s="213" t="str">
        <f t="array" ref="J72">IFNA(XLOOKUP($D72,Cards!$A:$A,Cards!D:D),"")</f>
        <v>Dinosaur Demon</v>
      </c>
      <c r="K72" s="213" t="str">
        <f t="array" ref="K72">IFNA(XLOOKUP($D72,Cards!$A:$A,Cards!E:E),"")</f>
        <v>Crystallize: Gain Crystalborn. Deploy: Gain Fear.</v>
      </c>
      <c r="L72" s="214">
        <f t="array" ref="L72">IFNA(XLOOKUP($D72,Cards!$A:$A,Cards!G:G),"")</f>
        <v>5</v>
      </c>
      <c r="M72" s="214" t="str">
        <f t="array" ref="M72">IFNA(XLOOKUP($D72,Cards!$A:$A,Cards!H:H),"")</f>
        <v>N, N, N, ?, ?</v>
      </c>
      <c r="N72" s="214" t="str">
        <f t="array" ref="N72">IFNA(XLOOKUP($D72,Cards!$A:$A,Cards!I:I),"")</f>
        <v>Uncommon</v>
      </c>
      <c r="O72" s="215">
        <f t="shared" si="1"/>
        <v>5</v>
      </c>
    </row>
    <row r="73">
      <c r="D73" s="16" t="s">
        <v>1088</v>
      </c>
      <c r="E73" s="16" t="s">
        <v>2844</v>
      </c>
      <c r="F73" s="16">
        <v>2.0</v>
      </c>
      <c r="G73" s="16" t="s">
        <v>2837</v>
      </c>
      <c r="H73" s="213">
        <f t="array" ref="H73">IFNA(XLOOKUP($D73,Cards!$A:$A,Cards!C:C),"")</f>
        <v>1</v>
      </c>
      <c r="I73" s="213" t="str">
        <f t="array" ref="I73">IFNA(XLOOKUP($D73,Cards!$A:$A,Cards!B:B),"")</f>
        <v>Elemental Nature</v>
      </c>
      <c r="J73" s="213" t="str">
        <f t="array" ref="J73">IFNA(XLOOKUP($D73,Cards!$A:$A,Cards!D:D),"")</f>
        <v>Animal Bannerbearer Hunter</v>
      </c>
      <c r="K73" s="213" t="str">
        <f t="array" ref="K73">IFNA(XLOOKUP($D73,Cards!$A:$A,Cards!E:E),"")</f>
        <v/>
      </c>
      <c r="L73" s="214">
        <f t="array" ref="L73">IFNA(XLOOKUP($D73,Cards!$A:$A,Cards!G:G),"")</f>
        <v>2</v>
      </c>
      <c r="M73" s="214" t="str">
        <f t="array" ref="M73">IFNA(XLOOKUP($D73,Cards!$A:$A,Cards!H:H),"")</f>
        <v>E, N</v>
      </c>
      <c r="N73" s="214" t="str">
        <f t="array" ref="N73">IFNA(XLOOKUP($D73,Cards!$A:$A,Cards!I:I),"")</f>
        <v>Common</v>
      </c>
      <c r="O73" s="215">
        <f t="shared" si="1"/>
        <v>4</v>
      </c>
    </row>
    <row r="74">
      <c r="D74" s="20" t="s">
        <v>949</v>
      </c>
      <c r="E74" s="16" t="s">
        <v>2844</v>
      </c>
      <c r="F74" s="16">
        <v>2.0</v>
      </c>
      <c r="G74" s="16" t="s">
        <v>2837</v>
      </c>
      <c r="H74" s="213">
        <f t="array" ref="H74">IFNA(XLOOKUP($D74,Cards!$A:$A,Cards!C:C),"")</f>
        <v>1</v>
      </c>
      <c r="I74" s="213" t="str">
        <f t="array" ref="I74">IFNA(XLOOKUP($D74,Cards!$A:$A,Cards!B:B),"")</f>
        <v>Elemental</v>
      </c>
      <c r="J74" s="213" t="str">
        <f t="array" ref="J74">IFNA(XLOOKUP($D74,Cards!$A:$A,Cards!D:D),"")</f>
        <v>Spirit</v>
      </c>
      <c r="K74" s="213" t="str">
        <f t="array" ref="K74">IFNA(XLOOKUP($D74,Cards!$A:$A,Cards!E:E),"")</f>
        <v/>
      </c>
      <c r="L74" s="214">
        <f t="array" ref="L74">IFNA(XLOOKUP($D74,Cards!$A:$A,Cards!G:G),"")</f>
        <v>5</v>
      </c>
      <c r="M74" s="214" t="str">
        <f t="array" ref="M74">IFNA(XLOOKUP($D74,Cards!$A:$A,Cards!H:H),"")</f>
        <v>E, E, ?, ?</v>
      </c>
      <c r="N74" s="214" t="str">
        <f t="array" ref="N74">IFNA(XLOOKUP($D74,Cards!$A:$A,Cards!I:I),"")</f>
        <v>Common</v>
      </c>
      <c r="O74" s="215">
        <f t="shared" si="1"/>
        <v>10</v>
      </c>
    </row>
    <row r="75">
      <c r="D75" s="16" t="s">
        <v>630</v>
      </c>
      <c r="E75" s="16" t="s">
        <v>2844</v>
      </c>
      <c r="F75" s="16">
        <v>1.0</v>
      </c>
      <c r="G75" s="16" t="s">
        <v>2838</v>
      </c>
      <c r="H75" s="213">
        <f t="array" ref="H75">IFNA(XLOOKUP($D75,Cards!$A:$A,Cards!C:C),"")</f>
        <v>1</v>
      </c>
      <c r="I75" s="213" t="str">
        <f t="array" ref="I75">IFNA(XLOOKUP($D75,Cards!$A:$A,Cards!B:B),"")</f>
        <v>Elemental</v>
      </c>
      <c r="J75" s="213" t="str">
        <f t="array" ref="J75">IFNA(XLOOKUP($D75,Cards!$A:$A,Cards!D:D),"")</f>
        <v>Construct Spirit</v>
      </c>
      <c r="K75" s="213" t="str">
        <f t="array" ref="K75">IFNA(XLOOKUP($D75,Cards!$A:$A,Cards!E:E),"")</f>
        <v>Deploy: Unleash &lt;E&gt;&lt;E&gt;&lt;E&gt;: Gain Fear and Ward.</v>
      </c>
      <c r="L75" s="214">
        <f t="array" ref="L75">IFNA(XLOOKUP($D75,Cards!$A:$A,Cards!G:G),"")</f>
        <v>3</v>
      </c>
      <c r="M75" s="214" t="str">
        <f t="array" ref="M75">IFNA(XLOOKUP($D75,Cards!$A:$A,Cards!H:H),"")</f>
        <v>E, ?, ?</v>
      </c>
      <c r="N75" s="214" t="str">
        <f t="array" ref="N75">IFNA(XLOOKUP($D75,Cards!$A:$A,Cards!I:I),"")</f>
        <v>Common</v>
      </c>
      <c r="O75" s="215">
        <f t="shared" si="1"/>
        <v>3</v>
      </c>
    </row>
    <row r="76">
      <c r="D76" s="7" t="s">
        <v>542</v>
      </c>
      <c r="E76" s="16" t="s">
        <v>2844</v>
      </c>
      <c r="F76" s="16">
        <v>1.0</v>
      </c>
      <c r="G76" s="16" t="s">
        <v>2837</v>
      </c>
      <c r="H76" s="213">
        <f t="array" ref="H76">IFNA(XLOOKUP($D76,Cards!$A:$A,Cards!C:C),"")</f>
        <v>1</v>
      </c>
      <c r="I76" s="213" t="str">
        <f t="array" ref="I76">IFNA(XLOOKUP($D76,Cards!$A:$A,Cards!B:B),"")</f>
        <v>Elemental</v>
      </c>
      <c r="J76" s="213" t="str">
        <f t="array" ref="J76">IFNA(XLOOKUP($D76,Cards!$A:$A,Cards!D:D),"")</f>
        <v>Spirit</v>
      </c>
      <c r="K76" s="213" t="str">
        <f t="array" ref="K76">IFNA(XLOOKUP($D76,Cards!$A:$A,Cards!E:E),"")</f>
        <v>Whenever a friendly Elemental Unit is deployed adjacently, gain +2 Power.</v>
      </c>
      <c r="L76" s="214">
        <f t="array" ref="L76">IFNA(XLOOKUP($D76,Cards!$A:$A,Cards!G:G),"")</f>
        <v>1</v>
      </c>
      <c r="M76" s="214" t="str">
        <f t="array" ref="M76">IFNA(XLOOKUP($D76,Cards!$A:$A,Cards!H:H),"")</f>
        <v>E, ?</v>
      </c>
      <c r="N76" s="214" t="str">
        <f t="array" ref="N76">IFNA(XLOOKUP($D76,Cards!$A:$A,Cards!I:I),"")</f>
        <v>Common</v>
      </c>
      <c r="O76" s="215">
        <f t="shared" si="1"/>
        <v>1</v>
      </c>
    </row>
    <row r="77">
      <c r="D77" s="22" t="s">
        <v>486</v>
      </c>
      <c r="E77" s="16" t="s">
        <v>2844</v>
      </c>
      <c r="F77" s="16">
        <v>1.0</v>
      </c>
      <c r="G77" s="16" t="s">
        <v>2838</v>
      </c>
      <c r="H77" s="213">
        <f t="array" ref="H77">IFNA(XLOOKUP($D77,Cards!$A:$A,Cards!C:C),"")</f>
        <v>1</v>
      </c>
      <c r="I77" s="213" t="str">
        <f t="array" ref="I77">IFNA(XLOOKUP($D77,Cards!$A:$A,Cards!B:B),"")</f>
        <v>Elemental</v>
      </c>
      <c r="J77" s="213" t="str">
        <f t="array" ref="J77">IFNA(XLOOKUP($D77,Cards!$A:$A,Cards!D:D),"")</f>
        <v>Spirit Wizard</v>
      </c>
      <c r="K77" s="213" t="str">
        <f t="array" ref="K77">IFNA(XLOOKUP($D77,Cards!$A:$A,Cards!E:E),"")</f>
        <v>Deploy: Another friendly Elemental Unit in this Lane gains Taunt and +1 Power.</v>
      </c>
      <c r="L77" s="214">
        <f t="array" ref="L77">IFNA(XLOOKUP($D77,Cards!$A:$A,Cards!G:G),"")</f>
        <v>1</v>
      </c>
      <c r="M77" s="214" t="str">
        <f t="array" ref="M77">IFNA(XLOOKUP($D77,Cards!$A:$A,Cards!H:H),"")</f>
        <v>E</v>
      </c>
      <c r="N77" s="214" t="str">
        <f t="array" ref="N77">IFNA(XLOOKUP($D77,Cards!$A:$A,Cards!I:I),"")</f>
        <v>Common</v>
      </c>
      <c r="O77" s="215">
        <f t="shared" si="1"/>
        <v>1</v>
      </c>
    </row>
    <row r="78">
      <c r="D78" s="24" t="s">
        <v>556</v>
      </c>
      <c r="E78" s="16" t="s">
        <v>2844</v>
      </c>
      <c r="F78" s="16">
        <v>1.0</v>
      </c>
      <c r="G78" s="16" t="s">
        <v>2838</v>
      </c>
      <c r="H78" s="213">
        <f t="array" ref="H78">IFNA(XLOOKUP($D78,Cards!$A:$A,Cards!C:C),"")</f>
        <v>1</v>
      </c>
      <c r="I78" s="213" t="str">
        <f t="array" ref="I78">IFNA(XLOOKUP($D78,Cards!$A:$A,Cards!B:B),"")</f>
        <v>Elemental</v>
      </c>
      <c r="J78" s="213" t="str">
        <f t="array" ref="J78">IFNA(XLOOKUP($D78,Cards!$A:$A,Cards!D:D),"")</f>
        <v>Dragon</v>
      </c>
      <c r="K78" s="213" t="str">
        <f t="array" ref="K78">IFNA(XLOOKUP($D78,Cards!$A:$A,Cards!E:E),"")</f>
        <v>Ambush: A Player conquered this Lane this Turn.</v>
      </c>
      <c r="L78" s="214">
        <f t="array" ref="L78">IFNA(XLOOKUP($D78,Cards!$A:$A,Cards!G:G),"")</f>
        <v>2</v>
      </c>
      <c r="M78" s="214" t="str">
        <f t="array" ref="M78">IFNA(XLOOKUP($D78,Cards!$A:$A,Cards!H:H),"")</f>
        <v>E</v>
      </c>
      <c r="N78" s="214" t="str">
        <f t="array" ref="N78">IFNA(XLOOKUP($D78,Cards!$A:$A,Cards!I:I),"")</f>
        <v>Common</v>
      </c>
      <c r="O78" s="215">
        <f t="shared" si="1"/>
        <v>2</v>
      </c>
    </row>
    <row r="79">
      <c r="D79" s="34" t="s">
        <v>617</v>
      </c>
      <c r="E79" s="16" t="s">
        <v>2844</v>
      </c>
      <c r="F79" s="16">
        <v>1.0</v>
      </c>
      <c r="G79" s="16" t="s">
        <v>2838</v>
      </c>
      <c r="H79" s="213">
        <f t="array" ref="H79">IFNA(XLOOKUP($D79,Cards!$A:$A,Cards!C:C),"")</f>
        <v>1</v>
      </c>
      <c r="I79" s="213" t="str">
        <f t="array" ref="I79">IFNA(XLOOKUP($D79,Cards!$A:$A,Cards!B:B),"")</f>
        <v>Elemental</v>
      </c>
      <c r="J79" s="213" t="str">
        <f t="array" ref="J79">IFNA(XLOOKUP($D79,Cards!$A:$A,Cards!D:D),"")</f>
        <v>Spirit</v>
      </c>
      <c r="K79" s="213" t="str">
        <f t="array" ref="K79">IFNA(XLOOKUP($D79,Cards!$A:$A,Cards!E:E),"")</f>
        <v>Ambush: This Turn, a Unit was deployed adjacently. Unearth: Move an adjacent Unit.</v>
      </c>
      <c r="L79" s="214">
        <f t="array" ref="L79">IFNA(XLOOKUP($D79,Cards!$A:$A,Cards!G:G),"")</f>
        <v>3</v>
      </c>
      <c r="M79" s="214" t="str">
        <f t="array" ref="M79">IFNA(XLOOKUP($D79,Cards!$A:$A,Cards!H:H),"")</f>
        <v>E, ?, ?, ?</v>
      </c>
      <c r="N79" s="214" t="str">
        <f t="array" ref="N79">IFNA(XLOOKUP($D79,Cards!$A:$A,Cards!I:I),"")</f>
        <v>Common</v>
      </c>
      <c r="O79" s="215">
        <f t="shared" si="1"/>
        <v>3</v>
      </c>
    </row>
    <row r="80">
      <c r="D80" s="16" t="s">
        <v>583</v>
      </c>
      <c r="E80" s="16" t="s">
        <v>2844</v>
      </c>
      <c r="F80" s="16">
        <v>1.0</v>
      </c>
      <c r="G80" s="16" t="s">
        <v>2837</v>
      </c>
      <c r="H80" s="213">
        <f t="array" ref="H80">IFNA(XLOOKUP($D80,Cards!$A:$A,Cards!C:C),"")</f>
        <v>1</v>
      </c>
      <c r="I80" s="213" t="str">
        <f t="array" ref="I80">IFNA(XLOOKUP($D80,Cards!$A:$A,Cards!B:B),"")</f>
        <v>Elemental</v>
      </c>
      <c r="J80" s="213" t="str">
        <f t="array" ref="J80">IFNA(XLOOKUP($D80,Cards!$A:$A,Cards!D:D),"")</f>
        <v>Dragon Spirit</v>
      </c>
      <c r="K80" s="213" t="str">
        <f t="array" ref="K80">IFNA(XLOOKUP($D80,Cards!$A:$A,Cards!E:E),"")</f>
        <v>Deploy: Gain Fear.</v>
      </c>
      <c r="L80" s="214">
        <f t="array" ref="L80">IFNA(XLOOKUP($D80,Cards!$A:$A,Cards!G:G),"")</f>
        <v>4</v>
      </c>
      <c r="M80" s="214" t="str">
        <f t="array" ref="M80">IFNA(XLOOKUP($D80,Cards!$A:$A,Cards!H:H),"")</f>
        <v>E, ?, ?, ?</v>
      </c>
      <c r="N80" s="214" t="str">
        <f t="array" ref="N80">IFNA(XLOOKUP($D80,Cards!$A:$A,Cards!I:I),"")</f>
        <v>Common</v>
      </c>
      <c r="O80" s="215">
        <f t="shared" si="1"/>
        <v>4</v>
      </c>
    </row>
    <row r="81">
      <c r="D81" s="7" t="s">
        <v>1606</v>
      </c>
      <c r="E81" s="16" t="s">
        <v>2844</v>
      </c>
      <c r="F81" s="16">
        <v>1.0</v>
      </c>
      <c r="G81" s="16" t="s">
        <v>2838</v>
      </c>
      <c r="H81" s="213">
        <f t="array" ref="H81">IFNA(XLOOKUP($D81,Cards!$A:$A,Cards!C:C),"")</f>
        <v>1</v>
      </c>
      <c r="I81" s="213" t="str">
        <f t="array" ref="I81">IFNA(XLOOKUP($D81,Cards!$A:$A,Cards!B:B),"")</f>
        <v>Nature</v>
      </c>
      <c r="J81" s="213" t="str">
        <f t="array" ref="J81">IFNA(XLOOKUP($D81,Cards!$A:$A,Cards!D:D),"")</f>
        <v>Animal Spirit</v>
      </c>
      <c r="K81" s="213" t="str">
        <f t="array" ref="K81">IFNA(XLOOKUP($D81,Cards!$A:$A,Cards!E:E),"")</f>
        <v>Crystallize: Gain Crystalborn.</v>
      </c>
      <c r="L81" s="214">
        <f t="array" ref="L81">IFNA(XLOOKUP($D81,Cards!$A:$A,Cards!G:G),"")</f>
        <v>2</v>
      </c>
      <c r="M81" s="214" t="str">
        <f t="array" ref="M81">IFNA(XLOOKUP($D81,Cards!$A:$A,Cards!H:H),"")</f>
        <v>N</v>
      </c>
      <c r="N81" s="214" t="str">
        <f t="array" ref="N81">IFNA(XLOOKUP($D81,Cards!$A:$A,Cards!I:I),"")</f>
        <v>Common</v>
      </c>
      <c r="O81" s="215">
        <f t="shared" si="1"/>
        <v>2</v>
      </c>
    </row>
    <row r="82">
      <c r="D82" s="22" t="s">
        <v>1001</v>
      </c>
      <c r="E82" s="16" t="s">
        <v>2844</v>
      </c>
      <c r="F82" s="16">
        <v>1.0</v>
      </c>
      <c r="G82" s="16" t="s">
        <v>2838</v>
      </c>
      <c r="H82" s="213">
        <f t="array" ref="H82">IFNA(XLOOKUP($D82,Cards!$A:$A,Cards!C:C),"")</f>
        <v>1</v>
      </c>
      <c r="I82" s="213" t="str">
        <f t="array" ref="I82">IFNA(XLOOKUP($D82,Cards!$A:$A,Cards!B:B),"")</f>
        <v>Elemental</v>
      </c>
      <c r="J82" s="213" t="str">
        <f t="array" ref="J82">IFNA(XLOOKUP($D82,Cards!$A:$A,Cards!D:D),"")</f>
        <v>Dragon</v>
      </c>
      <c r="K82" s="213" t="str">
        <f t="array" ref="K82">IFNA(XLOOKUP($D82,Cards!$A:$A,Cards!E:E),"")</f>
        <v>Ambush: Condition. Unearth: Gain Fear and +3 Power.</v>
      </c>
      <c r="L82" s="214">
        <f t="array" ref="L82">IFNA(XLOOKUP($D82,Cards!$A:$A,Cards!G:G),"")</f>
        <v>1</v>
      </c>
      <c r="M82" s="214" t="str">
        <f t="array" ref="M82">IFNA(XLOOKUP($D82,Cards!$A:$A,Cards!H:H),"")</f>
        <v>E, E</v>
      </c>
      <c r="N82" s="214" t="str">
        <f t="array" ref="N82">IFNA(XLOOKUP($D82,Cards!$A:$A,Cards!I:I),"")</f>
        <v>Common</v>
      </c>
      <c r="O82" s="215">
        <f t="shared" si="1"/>
        <v>1</v>
      </c>
    </row>
    <row r="83">
      <c r="D83" s="16" t="s">
        <v>1868</v>
      </c>
      <c r="E83" s="16" t="s">
        <v>2844</v>
      </c>
      <c r="F83" s="16">
        <v>1.0</v>
      </c>
      <c r="G83" s="16" t="s">
        <v>2838</v>
      </c>
      <c r="H83" s="213">
        <f t="array" ref="H83">IFNA(XLOOKUP($D83,Cards!$A:$A,Cards!C:C),"")</f>
        <v>1</v>
      </c>
      <c r="I83" s="213" t="str">
        <f t="array" ref="I83">IFNA(XLOOKUP($D83,Cards!$A:$A,Cards!B:B),"")</f>
        <v>Nature</v>
      </c>
      <c r="J83" s="213" t="str">
        <f t="array" ref="J83">IFNA(XLOOKUP($D83,Cards!$A:$A,Cards!D:D),"")</f>
        <v>Animal Warrior</v>
      </c>
      <c r="K83" s="213" t="str">
        <f t="array" ref="K83">IFNA(XLOOKUP($D83,Cards!$A:$A,Cards!E:E),"")</f>
        <v/>
      </c>
      <c r="L83" s="214">
        <f t="array" ref="L83">IFNA(XLOOKUP($D83,Cards!$A:$A,Cards!G:G),"")</f>
        <v>2</v>
      </c>
      <c r="M83" s="214" t="str">
        <f t="array" ref="M83">IFNA(XLOOKUP($D83,Cards!$A:$A,Cards!H:H),"")</f>
        <v>N, ?</v>
      </c>
      <c r="N83" s="214" t="str">
        <f t="array" ref="N83">IFNA(XLOOKUP($D83,Cards!$A:$A,Cards!I:I),"")</f>
        <v>Common</v>
      </c>
      <c r="O83" s="215">
        <f t="shared" si="1"/>
        <v>2</v>
      </c>
    </row>
    <row r="84">
      <c r="D84" s="16" t="s">
        <v>910</v>
      </c>
      <c r="E84" s="16" t="s">
        <v>2844</v>
      </c>
      <c r="F84" s="16">
        <v>2.0</v>
      </c>
      <c r="G84" s="16" t="s">
        <v>2838</v>
      </c>
      <c r="H84" s="213">
        <f t="array" ref="H84">IFNA(XLOOKUP($D84,Cards!$A:$A,Cards!C:C),"")</f>
        <v>1</v>
      </c>
      <c r="I84" s="213" t="str">
        <f t="array" ref="I84">IFNA(XLOOKUP($D84,Cards!$A:$A,Cards!B:B),"")</f>
        <v>Elemental</v>
      </c>
      <c r="J84" s="213" t="str">
        <f t="array" ref="J84">IFNA(XLOOKUP($D84,Cards!$A:$A,Cards!D:D),"")</f>
        <v>Dragon Spirit</v>
      </c>
      <c r="K84" s="213" t="str">
        <f t="array" ref="K84">IFNA(XLOOKUP($D84,Cards!$A:$A,Cards!E:E),"")</f>
        <v/>
      </c>
      <c r="L84" s="214">
        <f t="array" ref="L84">IFNA(XLOOKUP($D84,Cards!$A:$A,Cards!G:G),"")</f>
        <v>3</v>
      </c>
      <c r="M84" s="214" t="str">
        <f t="array" ref="M84">IFNA(XLOOKUP($D84,Cards!$A:$A,Cards!H:H),"")</f>
        <v>E, ?, ?</v>
      </c>
      <c r="N84" s="214" t="str">
        <f t="array" ref="N84">IFNA(XLOOKUP($D84,Cards!$A:$A,Cards!I:I),"")</f>
        <v>Common</v>
      </c>
      <c r="O84" s="215">
        <f t="shared" si="1"/>
        <v>6</v>
      </c>
    </row>
    <row r="85">
      <c r="E85" s="16" t="s">
        <v>2844</v>
      </c>
      <c r="G85" s="16" t="s">
        <v>2838</v>
      </c>
      <c r="H85" s="213" t="str">
        <f t="array" ref="H85">IFNA(XLOOKUP($D85,Cards!$A:$A,Cards!C:C),"")</f>
        <v/>
      </c>
      <c r="I85" s="213" t="str">
        <f t="array" ref="I85">IFNA(XLOOKUP($D85,Cards!$A:$A,Cards!B:B),"")</f>
        <v/>
      </c>
      <c r="J85" s="213" t="str">
        <f t="array" ref="J85">IFNA(XLOOKUP($D85,Cards!$A:$A,Cards!D:D),"")</f>
        <v/>
      </c>
      <c r="K85" s="213" t="str">
        <f t="array" ref="K85">IFNA(XLOOKUP($D85,Cards!$A:$A,Cards!E:E),"")</f>
        <v/>
      </c>
      <c r="L85" s="214" t="str">
        <f t="array" ref="L85">IFNA(XLOOKUP($D85,Cards!$A:$A,Cards!G:G),"")</f>
        <v/>
      </c>
      <c r="M85" s="214" t="str">
        <f t="array" ref="M85">IFNA(XLOOKUP($D85,Cards!$A:$A,Cards!H:H),"")</f>
        <v/>
      </c>
      <c r="N85" s="214" t="str">
        <f t="array" ref="N85">IFNA(XLOOKUP($D85,Cards!$A:$A,Cards!I:I),"")</f>
        <v/>
      </c>
      <c r="O85" s="215">
        <f t="shared" si="1"/>
        <v>0</v>
      </c>
    </row>
    <row r="86">
      <c r="E86" s="16" t="s">
        <v>2844</v>
      </c>
      <c r="G86" s="16" t="s">
        <v>2838</v>
      </c>
      <c r="H86" s="213" t="str">
        <f t="array" ref="H86">IFNA(XLOOKUP($D86,Cards!$A:$A,Cards!C:C),"")</f>
        <v/>
      </c>
      <c r="I86" s="213" t="str">
        <f t="array" ref="I86">IFNA(XLOOKUP($D86,Cards!$A:$A,Cards!B:B),"")</f>
        <v/>
      </c>
      <c r="J86" s="213" t="str">
        <f t="array" ref="J86">IFNA(XLOOKUP($D86,Cards!$A:$A,Cards!D:D),"")</f>
        <v/>
      </c>
      <c r="K86" s="213" t="str">
        <f t="array" ref="K86">IFNA(XLOOKUP($D86,Cards!$A:$A,Cards!E:E),"")</f>
        <v/>
      </c>
      <c r="L86" s="214" t="str">
        <f t="array" ref="L86">IFNA(XLOOKUP($D86,Cards!$A:$A,Cards!G:G),"")</f>
        <v/>
      </c>
      <c r="M86" s="214" t="str">
        <f t="array" ref="M86">IFNA(XLOOKUP($D86,Cards!$A:$A,Cards!H:H),"")</f>
        <v/>
      </c>
      <c r="N86" s="214" t="str">
        <f t="array" ref="N86">IFNA(XLOOKUP($D86,Cards!$A:$A,Cards!I:I),"")</f>
        <v/>
      </c>
      <c r="O86" s="215">
        <f t="shared" si="1"/>
        <v>0</v>
      </c>
    </row>
    <row r="87">
      <c r="E87" s="16" t="s">
        <v>2844</v>
      </c>
      <c r="G87" s="16" t="s">
        <v>2838</v>
      </c>
      <c r="H87" s="213" t="str">
        <f t="array" ref="H87">IFNA(XLOOKUP($D87,Cards!$A:$A,Cards!C:C),"")</f>
        <v/>
      </c>
      <c r="I87" s="213" t="str">
        <f t="array" ref="I87">IFNA(XLOOKUP($D87,Cards!$A:$A,Cards!B:B),"")</f>
        <v/>
      </c>
      <c r="J87" s="213" t="str">
        <f t="array" ref="J87">IFNA(XLOOKUP($D87,Cards!$A:$A,Cards!D:D),"")</f>
        <v/>
      </c>
      <c r="K87" s="213" t="str">
        <f t="array" ref="K87">IFNA(XLOOKUP($D87,Cards!$A:$A,Cards!E:E),"")</f>
        <v/>
      </c>
      <c r="L87" s="214" t="str">
        <f t="array" ref="L87">IFNA(XLOOKUP($D87,Cards!$A:$A,Cards!G:G),"")</f>
        <v/>
      </c>
      <c r="M87" s="214" t="str">
        <f t="array" ref="M87">IFNA(XLOOKUP($D87,Cards!$A:$A,Cards!H:H),"")</f>
        <v/>
      </c>
      <c r="N87" s="214" t="str">
        <f t="array" ref="N87">IFNA(XLOOKUP($D87,Cards!$A:$A,Cards!I:I),"")</f>
        <v/>
      </c>
      <c r="O87" s="215">
        <f t="shared" si="1"/>
        <v>0</v>
      </c>
    </row>
    <row r="88">
      <c r="E88" s="16" t="s">
        <v>2844</v>
      </c>
      <c r="G88" s="16" t="s">
        <v>2838</v>
      </c>
      <c r="H88" s="213" t="str">
        <f t="array" ref="H88">IFNA(XLOOKUP($D88,Cards!$A:$A,Cards!C:C),"")</f>
        <v/>
      </c>
      <c r="I88" s="213" t="str">
        <f t="array" ref="I88">IFNA(XLOOKUP($D88,Cards!$A:$A,Cards!B:B),"")</f>
        <v/>
      </c>
      <c r="J88" s="213" t="str">
        <f t="array" ref="J88">IFNA(XLOOKUP($D88,Cards!$A:$A,Cards!D:D),"")</f>
        <v/>
      </c>
      <c r="K88" s="213" t="str">
        <f t="array" ref="K88">IFNA(XLOOKUP($D88,Cards!$A:$A,Cards!E:E),"")</f>
        <v/>
      </c>
      <c r="L88" s="214" t="str">
        <f t="array" ref="L88">IFNA(XLOOKUP($D88,Cards!$A:$A,Cards!G:G),"")</f>
        <v/>
      </c>
      <c r="M88" s="214" t="str">
        <f t="array" ref="M88">IFNA(XLOOKUP($D88,Cards!$A:$A,Cards!H:H),"")</f>
        <v/>
      </c>
      <c r="N88" s="214" t="str">
        <f t="array" ref="N88">IFNA(XLOOKUP($D88,Cards!$A:$A,Cards!I:I),"")</f>
        <v/>
      </c>
      <c r="O88" s="215">
        <f t="shared" si="1"/>
        <v>0</v>
      </c>
    </row>
    <row r="89">
      <c r="E89" s="16" t="s">
        <v>2844</v>
      </c>
      <c r="G89" s="16" t="s">
        <v>2838</v>
      </c>
      <c r="H89" s="213" t="str">
        <f t="array" ref="H89">IFNA(XLOOKUP($D89,Cards!$A:$A,Cards!C:C),"")</f>
        <v/>
      </c>
      <c r="I89" s="213" t="str">
        <f t="array" ref="I89">IFNA(XLOOKUP($D89,Cards!$A:$A,Cards!B:B),"")</f>
        <v/>
      </c>
      <c r="J89" s="213" t="str">
        <f t="array" ref="J89">IFNA(XLOOKUP($D89,Cards!$A:$A,Cards!D:D),"")</f>
        <v/>
      </c>
      <c r="K89" s="213" t="str">
        <f t="array" ref="K89">IFNA(XLOOKUP($D89,Cards!$A:$A,Cards!E:E),"")</f>
        <v/>
      </c>
      <c r="L89" s="214" t="str">
        <f t="array" ref="L89">IFNA(XLOOKUP($D89,Cards!$A:$A,Cards!G:G),"")</f>
        <v/>
      </c>
      <c r="M89" s="214" t="str">
        <f t="array" ref="M89">IFNA(XLOOKUP($D89,Cards!$A:$A,Cards!H:H),"")</f>
        <v/>
      </c>
      <c r="N89" s="214" t="str">
        <f t="array" ref="N89">IFNA(XLOOKUP($D89,Cards!$A:$A,Cards!I:I),"")</f>
        <v/>
      </c>
      <c r="O89" s="215">
        <f t="shared" si="1"/>
        <v>0</v>
      </c>
    </row>
    <row r="90">
      <c r="E90" s="20"/>
      <c r="G90" s="20"/>
      <c r="H90" s="213" t="str">
        <f t="array" ref="H90">IFNA(XLOOKUP($D90,Cards!$A:$A,Cards!C:C),"")</f>
        <v/>
      </c>
      <c r="I90" s="213" t="str">
        <f t="array" ref="I90">IFNA(XLOOKUP($D90,Cards!$A:$A,Cards!B:B),"")</f>
        <v/>
      </c>
      <c r="J90" s="213" t="str">
        <f t="array" ref="J90">IFNA(XLOOKUP($D90,Cards!$A:$A,Cards!D:D),"")</f>
        <v/>
      </c>
      <c r="K90" s="213" t="str">
        <f t="array" ref="K90">IFNA(XLOOKUP($D90,Cards!$A:$A,Cards!E:E),"")</f>
        <v/>
      </c>
      <c r="L90" s="214" t="str">
        <f t="array" ref="L90">IFNA(XLOOKUP($D90,Cards!$A:$A,Cards!G:G),"")</f>
        <v/>
      </c>
      <c r="M90" s="214" t="str">
        <f t="array" ref="M90">IFNA(XLOOKUP($D90,Cards!$A:$A,Cards!H:H),"")</f>
        <v/>
      </c>
      <c r="N90" s="214" t="str">
        <f t="array" ref="N90">IFNA(XLOOKUP($D90,Cards!$A:$A,Cards!I:I),"")</f>
        <v/>
      </c>
      <c r="O90" s="215">
        <f t="shared" si="1"/>
        <v>0</v>
      </c>
    </row>
    <row r="91">
      <c r="E91" s="20"/>
      <c r="G91" s="20"/>
      <c r="H91" s="213" t="str">
        <f t="array" ref="H91">IFNA(XLOOKUP($D91,Cards!$A:$A,Cards!C:C),"")</f>
        <v/>
      </c>
      <c r="I91" s="213" t="str">
        <f t="array" ref="I91">IFNA(XLOOKUP($D91,Cards!$A:$A,Cards!B:B),"")</f>
        <v/>
      </c>
      <c r="J91" s="213" t="str">
        <f t="array" ref="J91">IFNA(XLOOKUP($D91,Cards!$A:$A,Cards!D:D),"")</f>
        <v/>
      </c>
      <c r="K91" s="213" t="str">
        <f t="array" ref="K91">IFNA(XLOOKUP($D91,Cards!$A:$A,Cards!E:E),"")</f>
        <v/>
      </c>
      <c r="L91" s="214" t="str">
        <f t="array" ref="L91">IFNA(XLOOKUP($D91,Cards!$A:$A,Cards!G:G),"")</f>
        <v/>
      </c>
      <c r="M91" s="214" t="str">
        <f t="array" ref="M91">IFNA(XLOOKUP($D91,Cards!$A:$A,Cards!H:H),"")</f>
        <v/>
      </c>
      <c r="N91" s="214" t="str">
        <f t="array" ref="N91">IFNA(XLOOKUP($D91,Cards!$A:$A,Cards!I:I),"")</f>
        <v/>
      </c>
      <c r="O91" s="215">
        <f t="shared" si="1"/>
        <v>0</v>
      </c>
    </row>
    <row r="92">
      <c r="E92" s="20"/>
      <c r="G92" s="20"/>
      <c r="H92" s="213" t="str">
        <f t="array" ref="H92">IFNA(XLOOKUP($D92,Cards!$A:$A,Cards!C:C),"")</f>
        <v/>
      </c>
      <c r="I92" s="213" t="str">
        <f t="array" ref="I92">IFNA(XLOOKUP($D92,Cards!$A:$A,Cards!B:B),"")</f>
        <v/>
      </c>
      <c r="J92" s="213" t="str">
        <f t="array" ref="J92">IFNA(XLOOKUP($D92,Cards!$A:$A,Cards!D:D),"")</f>
        <v/>
      </c>
      <c r="K92" s="213" t="str">
        <f t="array" ref="K92">IFNA(XLOOKUP($D92,Cards!$A:$A,Cards!E:E),"")</f>
        <v/>
      </c>
      <c r="L92" s="214" t="str">
        <f t="array" ref="L92">IFNA(XLOOKUP($D92,Cards!$A:$A,Cards!G:G),"")</f>
        <v/>
      </c>
      <c r="M92" s="214" t="str">
        <f t="array" ref="M92">IFNA(XLOOKUP($D92,Cards!$A:$A,Cards!H:H),"")</f>
        <v/>
      </c>
      <c r="N92" s="214" t="str">
        <f t="array" ref="N92">IFNA(XLOOKUP($D92,Cards!$A:$A,Cards!I:I),"")</f>
        <v/>
      </c>
      <c r="O92" s="215">
        <f t="shared" si="1"/>
        <v>0</v>
      </c>
    </row>
    <row r="93">
      <c r="E93" s="20"/>
      <c r="G93" s="20"/>
      <c r="H93" s="213" t="str">
        <f t="array" ref="H93">IFNA(XLOOKUP($D93,Cards!$A:$A,Cards!C:C),"")</f>
        <v/>
      </c>
      <c r="I93" s="213" t="str">
        <f t="array" ref="I93">IFNA(XLOOKUP($D93,Cards!$A:$A,Cards!B:B),"")</f>
        <v/>
      </c>
      <c r="J93" s="213" t="str">
        <f t="array" ref="J93">IFNA(XLOOKUP($D93,Cards!$A:$A,Cards!D:D),"")</f>
        <v/>
      </c>
      <c r="K93" s="213" t="str">
        <f t="array" ref="K93">IFNA(XLOOKUP($D93,Cards!$A:$A,Cards!E:E),"")</f>
        <v/>
      </c>
      <c r="L93" s="214" t="str">
        <f t="array" ref="L93">IFNA(XLOOKUP($D93,Cards!$A:$A,Cards!G:G),"")</f>
        <v/>
      </c>
      <c r="M93" s="214" t="str">
        <f t="array" ref="M93">IFNA(XLOOKUP($D93,Cards!$A:$A,Cards!H:H),"")</f>
        <v/>
      </c>
      <c r="N93" s="214" t="str">
        <f t="array" ref="N93">IFNA(XLOOKUP($D93,Cards!$A:$A,Cards!I:I),"")</f>
        <v/>
      </c>
      <c r="O93" s="215">
        <f t="shared" si="1"/>
        <v>0</v>
      </c>
    </row>
    <row r="94">
      <c r="E94" s="20"/>
      <c r="G94" s="20"/>
      <c r="H94" s="213" t="str">
        <f t="array" ref="H94">IFNA(XLOOKUP($D94,Cards!$A:$A,Cards!C:C),"")</f>
        <v/>
      </c>
      <c r="I94" s="213" t="str">
        <f t="array" ref="I94">IFNA(XLOOKUP($D94,Cards!$A:$A,Cards!B:B),"")</f>
        <v/>
      </c>
      <c r="J94" s="213" t="str">
        <f t="array" ref="J94">IFNA(XLOOKUP($D94,Cards!$A:$A,Cards!D:D),"")</f>
        <v/>
      </c>
      <c r="K94" s="213" t="str">
        <f t="array" ref="K94">IFNA(XLOOKUP($D94,Cards!$A:$A,Cards!E:E),"")</f>
        <v/>
      </c>
      <c r="L94" s="214" t="str">
        <f t="array" ref="L94">IFNA(XLOOKUP($D94,Cards!$A:$A,Cards!G:G),"")</f>
        <v/>
      </c>
      <c r="M94" s="214" t="str">
        <f t="array" ref="M94">IFNA(XLOOKUP($D94,Cards!$A:$A,Cards!H:H),"")</f>
        <v/>
      </c>
      <c r="N94" s="214" t="str">
        <f t="array" ref="N94">IFNA(XLOOKUP($D94,Cards!$A:$A,Cards!I:I),"")</f>
        <v/>
      </c>
      <c r="O94" s="215">
        <f t="shared" si="1"/>
        <v>0</v>
      </c>
    </row>
    <row r="95">
      <c r="E95" s="20"/>
      <c r="G95" s="20"/>
      <c r="H95" s="213" t="str">
        <f t="array" ref="H95">IFNA(XLOOKUP($D95,Cards!$A:$A,Cards!C:C),"")</f>
        <v/>
      </c>
      <c r="I95" s="213" t="str">
        <f t="array" ref="I95">IFNA(XLOOKUP($D95,Cards!$A:$A,Cards!B:B),"")</f>
        <v/>
      </c>
      <c r="J95" s="213" t="str">
        <f t="array" ref="J95">IFNA(XLOOKUP($D95,Cards!$A:$A,Cards!D:D),"")</f>
        <v/>
      </c>
      <c r="K95" s="213" t="str">
        <f t="array" ref="K95">IFNA(XLOOKUP($D95,Cards!$A:$A,Cards!E:E),"")</f>
        <v/>
      </c>
      <c r="L95" s="214" t="str">
        <f t="array" ref="L95">IFNA(XLOOKUP($D95,Cards!$A:$A,Cards!G:G),"")</f>
        <v/>
      </c>
      <c r="M95" s="214" t="str">
        <f t="array" ref="M95">IFNA(XLOOKUP($D95,Cards!$A:$A,Cards!H:H),"")</f>
        <v/>
      </c>
      <c r="N95" s="214" t="str">
        <f t="array" ref="N95">IFNA(XLOOKUP($D95,Cards!$A:$A,Cards!I:I),"")</f>
        <v/>
      </c>
      <c r="O95" s="215">
        <f t="shared" si="1"/>
        <v>0</v>
      </c>
    </row>
    <row r="96">
      <c r="E96" s="20"/>
      <c r="G96" s="20"/>
      <c r="H96" s="213" t="str">
        <f t="array" ref="H96">IFNA(XLOOKUP($D96,Cards!$A:$A,Cards!C:C),"")</f>
        <v/>
      </c>
      <c r="I96" s="213" t="str">
        <f t="array" ref="I96">IFNA(XLOOKUP($D96,Cards!$A:$A,Cards!B:B),"")</f>
        <v/>
      </c>
      <c r="J96" s="213" t="str">
        <f t="array" ref="J96">IFNA(XLOOKUP($D96,Cards!$A:$A,Cards!D:D),"")</f>
        <v/>
      </c>
      <c r="K96" s="213" t="str">
        <f t="array" ref="K96">IFNA(XLOOKUP($D96,Cards!$A:$A,Cards!E:E),"")</f>
        <v/>
      </c>
      <c r="L96" s="214" t="str">
        <f t="array" ref="L96">IFNA(XLOOKUP($D96,Cards!$A:$A,Cards!G:G),"")</f>
        <v/>
      </c>
      <c r="M96" s="214" t="str">
        <f t="array" ref="M96">IFNA(XLOOKUP($D96,Cards!$A:$A,Cards!H:H),"")</f>
        <v/>
      </c>
      <c r="N96" s="214" t="str">
        <f t="array" ref="N96">IFNA(XLOOKUP($D96,Cards!$A:$A,Cards!I:I),"")</f>
        <v/>
      </c>
      <c r="O96" s="215">
        <f t="shared" si="1"/>
        <v>0</v>
      </c>
    </row>
    <row r="97">
      <c r="E97" s="20"/>
      <c r="G97" s="20"/>
      <c r="H97" s="213" t="str">
        <f t="array" ref="H97">IFNA(XLOOKUP($D97,Cards!$A:$A,Cards!C:C),"")</f>
        <v/>
      </c>
      <c r="I97" s="213" t="str">
        <f t="array" ref="I97">IFNA(XLOOKUP($D97,Cards!$A:$A,Cards!B:B),"")</f>
        <v/>
      </c>
      <c r="J97" s="213" t="str">
        <f t="array" ref="J97">IFNA(XLOOKUP($D97,Cards!$A:$A,Cards!D:D),"")</f>
        <v/>
      </c>
      <c r="K97" s="213" t="str">
        <f t="array" ref="K97">IFNA(XLOOKUP($D97,Cards!$A:$A,Cards!E:E),"")</f>
        <v/>
      </c>
      <c r="L97" s="214" t="str">
        <f t="array" ref="L97">IFNA(XLOOKUP($D97,Cards!$A:$A,Cards!G:G),"")</f>
        <v/>
      </c>
      <c r="M97" s="214" t="str">
        <f t="array" ref="M97">IFNA(XLOOKUP($D97,Cards!$A:$A,Cards!H:H),"")</f>
        <v/>
      </c>
      <c r="N97" s="214" t="str">
        <f t="array" ref="N97">IFNA(XLOOKUP($D97,Cards!$A:$A,Cards!I:I),"")</f>
        <v/>
      </c>
      <c r="O97" s="215">
        <f t="shared" si="1"/>
        <v>0</v>
      </c>
    </row>
    <row r="98">
      <c r="E98" s="20"/>
      <c r="G98" s="20"/>
      <c r="H98" s="213" t="str">
        <f t="array" ref="H98">IFNA(XLOOKUP($D98,Cards!$A:$A,Cards!C:C),"")</f>
        <v/>
      </c>
      <c r="I98" s="215"/>
      <c r="J98" s="215"/>
      <c r="K98" s="215"/>
      <c r="L98" s="215"/>
      <c r="M98" s="215"/>
      <c r="N98" s="215"/>
      <c r="O98" s="215">
        <f t="shared" si="1"/>
        <v>0</v>
      </c>
    </row>
    <row r="99">
      <c r="E99" s="20"/>
      <c r="G99" s="20"/>
      <c r="H99" s="213" t="str">
        <f t="array" ref="H99">IFNA(XLOOKUP($D99,Cards!$A:$A,Cards!C:C),"")</f>
        <v/>
      </c>
      <c r="I99" s="213" t="str">
        <f t="array" ref="I99">IFNA(XLOOKUP($D99,Cards!$A:$A,Cards!B:B),"")</f>
        <v/>
      </c>
      <c r="J99" s="213" t="str">
        <f t="array" ref="J99">IFNA(XLOOKUP($D99,Cards!$A:$A,Cards!D:D),"")</f>
        <v/>
      </c>
      <c r="K99" s="213" t="str">
        <f t="array" ref="K99">IFNA(XLOOKUP($D99,Cards!$A:$A,Cards!E:E),"")</f>
        <v/>
      </c>
      <c r="L99" s="214" t="str">
        <f t="array" ref="L99">IFNA(XLOOKUP($D99,Cards!$A:$A,Cards!G:G),"")</f>
        <v/>
      </c>
      <c r="M99" s="214" t="str">
        <f t="array" ref="M99">IFNA(XLOOKUP($D99,Cards!$A:$A,Cards!H:H),"")</f>
        <v/>
      </c>
      <c r="N99" s="214" t="str">
        <f t="array" ref="N99">IFNA(XLOOKUP($D99,Cards!$A:$A,Cards!I:I),"")</f>
        <v/>
      </c>
      <c r="O99" s="215">
        <f t="shared" si="1"/>
        <v>0</v>
      </c>
    </row>
    <row r="100">
      <c r="E100" s="20"/>
      <c r="G100" s="20"/>
      <c r="H100" s="213" t="str">
        <f t="array" ref="H100">IFNA(XLOOKUP($D100,Cards!$A:$A,Cards!C:C),"")</f>
        <v/>
      </c>
      <c r="I100" s="213" t="str">
        <f t="array" ref="I100">IFNA(XLOOKUP($D100,Cards!$A:$A,Cards!B:B),"")</f>
        <v/>
      </c>
      <c r="J100" s="213" t="str">
        <f t="array" ref="J100">IFNA(XLOOKUP($D100,Cards!$A:$A,Cards!D:D),"")</f>
        <v/>
      </c>
      <c r="K100" s="213" t="str">
        <f t="array" ref="K100">IFNA(XLOOKUP($D100,Cards!$A:$A,Cards!E:E),"")</f>
        <v/>
      </c>
      <c r="L100" s="214" t="str">
        <f t="array" ref="L100">IFNA(XLOOKUP($D100,Cards!$A:$A,Cards!G:G),"")</f>
        <v/>
      </c>
      <c r="M100" s="214" t="str">
        <f t="array" ref="M100">IFNA(XLOOKUP($D100,Cards!$A:$A,Cards!H:H),"")</f>
        <v/>
      </c>
      <c r="N100" s="214" t="str">
        <f t="array" ref="N100">IFNA(XLOOKUP($D100,Cards!$A:$A,Cards!I:I),"")</f>
        <v/>
      </c>
      <c r="O100" s="215">
        <f t="shared" si="1"/>
        <v>0</v>
      </c>
    </row>
    <row r="101">
      <c r="E101" s="20"/>
      <c r="G101" s="20"/>
      <c r="H101" s="213" t="str">
        <f t="array" ref="H101">IFNA(XLOOKUP($D101,Cards!$A:$A,Cards!C:C),"")</f>
        <v/>
      </c>
      <c r="I101" s="213" t="str">
        <f t="array" ref="I101">IFNA(XLOOKUP($D101,Cards!$A:$A,Cards!B:B),"")</f>
        <v/>
      </c>
      <c r="J101" s="213" t="str">
        <f t="array" ref="J101">IFNA(XLOOKUP($D101,Cards!$A:$A,Cards!D:D),"")</f>
        <v/>
      </c>
      <c r="K101" s="213" t="str">
        <f t="array" ref="K101">IFNA(XLOOKUP($D101,Cards!$A:$A,Cards!E:E),"")</f>
        <v/>
      </c>
      <c r="L101" s="214" t="str">
        <f t="array" ref="L101">IFNA(XLOOKUP($D101,Cards!$A:$A,Cards!G:G),"")</f>
        <v/>
      </c>
      <c r="M101" s="214" t="str">
        <f t="array" ref="M101">IFNA(XLOOKUP($D101,Cards!$A:$A,Cards!H:H),"")</f>
        <v/>
      </c>
      <c r="N101" s="214" t="str">
        <f t="array" ref="N101">IFNA(XLOOKUP($D101,Cards!$A:$A,Cards!I:I),"")</f>
        <v/>
      </c>
      <c r="O101" s="215">
        <f t="shared" si="1"/>
        <v>0</v>
      </c>
    </row>
    <row r="102">
      <c r="E102" s="20"/>
      <c r="G102" s="20"/>
      <c r="H102" s="213" t="str">
        <f t="array" ref="H102">IFNA(XLOOKUP($D102,Cards!$A:$A,Cards!C:C),"")</f>
        <v/>
      </c>
      <c r="I102" s="213" t="str">
        <f t="array" ref="I102">IFNA(XLOOKUP($D102,Cards!$A:$A,Cards!B:B),"")</f>
        <v/>
      </c>
      <c r="J102" s="213" t="str">
        <f t="array" ref="J102">IFNA(XLOOKUP($D102,Cards!$A:$A,Cards!D:D),"")</f>
        <v/>
      </c>
      <c r="K102" s="213" t="str">
        <f t="array" ref="K102">IFNA(XLOOKUP($D102,Cards!$A:$A,Cards!E:E),"")</f>
        <v/>
      </c>
      <c r="L102" s="214" t="str">
        <f t="array" ref="L102">IFNA(XLOOKUP($D102,Cards!$A:$A,Cards!G:G),"")</f>
        <v/>
      </c>
      <c r="M102" s="214" t="str">
        <f t="array" ref="M102">IFNA(XLOOKUP($D102,Cards!$A:$A,Cards!H:H),"")</f>
        <v/>
      </c>
      <c r="N102" s="214" t="str">
        <f t="array" ref="N102">IFNA(XLOOKUP($D102,Cards!$A:$A,Cards!I:I),"")</f>
        <v/>
      </c>
      <c r="O102" s="215">
        <f t="shared" si="1"/>
        <v>0</v>
      </c>
    </row>
    <row r="103">
      <c r="E103" s="20"/>
      <c r="G103" s="20"/>
      <c r="H103" s="213" t="str">
        <f t="array" ref="H103">IFNA(XLOOKUP($D103,Cards!$A:$A,Cards!C:C),"")</f>
        <v/>
      </c>
      <c r="I103" s="213" t="str">
        <f t="array" ref="I103">IFNA(XLOOKUP($D103,Cards!$A:$A,Cards!B:B),"")</f>
        <v/>
      </c>
      <c r="J103" s="213" t="str">
        <f t="array" ref="J103">IFNA(XLOOKUP($D103,Cards!$A:$A,Cards!D:D),"")</f>
        <v/>
      </c>
      <c r="K103" s="213" t="str">
        <f t="array" ref="K103">IFNA(XLOOKUP($D103,Cards!$A:$A,Cards!E:E),"")</f>
        <v/>
      </c>
      <c r="L103" s="214" t="str">
        <f t="array" ref="L103">IFNA(XLOOKUP($D103,Cards!$A:$A,Cards!G:G),"")</f>
        <v/>
      </c>
      <c r="M103" s="214" t="str">
        <f t="array" ref="M103">IFNA(XLOOKUP($D103,Cards!$A:$A,Cards!H:H),"")</f>
        <v/>
      </c>
      <c r="N103" s="214" t="str">
        <f t="array" ref="N103">IFNA(XLOOKUP($D103,Cards!$A:$A,Cards!I:I),"")</f>
        <v/>
      </c>
      <c r="O103" s="215">
        <f t="shared" si="1"/>
        <v>0</v>
      </c>
    </row>
    <row r="104">
      <c r="E104" s="20"/>
      <c r="G104" s="20"/>
      <c r="H104" s="213" t="str">
        <f t="array" ref="H104">IFNA(XLOOKUP($D104,Cards!$A:$A,Cards!C:C),"")</f>
        <v/>
      </c>
      <c r="I104" s="213" t="str">
        <f t="array" ref="I104">IFNA(XLOOKUP($D104,Cards!$A:$A,Cards!B:B),"")</f>
        <v/>
      </c>
      <c r="J104" s="213" t="str">
        <f t="array" ref="J104">IFNA(XLOOKUP($D104,Cards!$A:$A,Cards!D:D),"")</f>
        <v/>
      </c>
      <c r="K104" s="213" t="str">
        <f t="array" ref="K104">IFNA(XLOOKUP($D104,Cards!$A:$A,Cards!E:E),"")</f>
        <v/>
      </c>
      <c r="L104" s="214" t="str">
        <f t="array" ref="L104">IFNA(XLOOKUP($D104,Cards!$A:$A,Cards!G:G),"")</f>
        <v/>
      </c>
      <c r="M104" s="214" t="str">
        <f t="array" ref="M104">IFNA(XLOOKUP($D104,Cards!$A:$A,Cards!H:H),"")</f>
        <v/>
      </c>
      <c r="N104" s="214" t="str">
        <f t="array" ref="N104">IFNA(XLOOKUP($D104,Cards!$A:$A,Cards!I:I),"")</f>
        <v/>
      </c>
      <c r="O104" s="215">
        <f t="shared" si="1"/>
        <v>0</v>
      </c>
    </row>
    <row r="105">
      <c r="E105" s="20"/>
      <c r="G105" s="20"/>
      <c r="H105" s="213" t="str">
        <f t="array" ref="H105">IFNA(XLOOKUP($D105,Cards!$A:$A,Cards!C:C),"")</f>
        <v/>
      </c>
      <c r="I105" s="213" t="str">
        <f t="array" ref="I105">IFNA(XLOOKUP($D105,Cards!$A:$A,Cards!B:B),"")</f>
        <v/>
      </c>
      <c r="J105" s="213" t="str">
        <f t="array" ref="J105">IFNA(XLOOKUP($D105,Cards!$A:$A,Cards!D:D),"")</f>
        <v/>
      </c>
      <c r="K105" s="213" t="str">
        <f t="array" ref="K105">IFNA(XLOOKUP($D105,Cards!$A:$A,Cards!E:E),"")</f>
        <v/>
      </c>
      <c r="L105" s="214" t="str">
        <f t="array" ref="L105">IFNA(XLOOKUP($D105,Cards!$A:$A,Cards!G:G),"")</f>
        <v/>
      </c>
      <c r="M105" s="214" t="str">
        <f t="array" ref="M105">IFNA(XLOOKUP($D105,Cards!$A:$A,Cards!H:H),"")</f>
        <v/>
      </c>
      <c r="N105" s="214" t="str">
        <f t="array" ref="N105">IFNA(XLOOKUP($D105,Cards!$A:$A,Cards!I:I),"")</f>
        <v/>
      </c>
      <c r="O105" s="215">
        <f t="shared" si="1"/>
        <v>0</v>
      </c>
    </row>
    <row r="106">
      <c r="E106" s="20"/>
      <c r="G106" s="20"/>
      <c r="H106" s="213" t="str">
        <f t="array" ref="H106">IFNA(XLOOKUP($D106,Cards!$A:$A,Cards!C:C),"")</f>
        <v/>
      </c>
      <c r="I106" s="213" t="str">
        <f t="array" ref="I106">IFNA(XLOOKUP($D106,Cards!$A:$A,Cards!B:B),"")</f>
        <v/>
      </c>
      <c r="J106" s="213" t="str">
        <f t="array" ref="J106">IFNA(XLOOKUP($D106,Cards!$A:$A,Cards!D:D),"")</f>
        <v/>
      </c>
      <c r="K106" s="213" t="str">
        <f t="array" ref="K106">IFNA(XLOOKUP($D106,Cards!$A:$A,Cards!E:E),"")</f>
        <v/>
      </c>
      <c r="L106" s="214" t="str">
        <f t="array" ref="L106">IFNA(XLOOKUP($D106,Cards!$A:$A,Cards!G:G),"")</f>
        <v/>
      </c>
      <c r="M106" s="214" t="str">
        <f t="array" ref="M106">IFNA(XLOOKUP($D106,Cards!$A:$A,Cards!H:H),"")</f>
        <v/>
      </c>
      <c r="N106" s="214" t="str">
        <f t="array" ref="N106">IFNA(XLOOKUP($D106,Cards!$A:$A,Cards!I:I),"")</f>
        <v/>
      </c>
      <c r="O106" s="215">
        <f t="shared" si="1"/>
        <v>0</v>
      </c>
    </row>
    <row r="107">
      <c r="E107" s="20"/>
      <c r="G107" s="20"/>
      <c r="H107" s="213" t="str">
        <f t="array" ref="H107">IFNA(XLOOKUP($D107,Cards!$A:$A,Cards!C:C),"")</f>
        <v/>
      </c>
      <c r="I107" s="213" t="str">
        <f t="array" ref="I107">IFNA(XLOOKUP($D107,Cards!$A:$A,Cards!B:B),"")</f>
        <v/>
      </c>
      <c r="J107" s="213" t="str">
        <f t="array" ref="J107">IFNA(XLOOKUP($D107,Cards!$A:$A,Cards!D:D),"")</f>
        <v/>
      </c>
      <c r="K107" s="213" t="str">
        <f t="array" ref="K107">IFNA(XLOOKUP($D107,Cards!$A:$A,Cards!E:E),"")</f>
        <v/>
      </c>
      <c r="L107" s="214" t="str">
        <f t="array" ref="L107">IFNA(XLOOKUP($D107,Cards!$A:$A,Cards!G:G),"")</f>
        <v/>
      </c>
      <c r="M107" s="214" t="str">
        <f t="array" ref="M107">IFNA(XLOOKUP($D107,Cards!$A:$A,Cards!H:H),"")</f>
        <v/>
      </c>
      <c r="N107" s="214" t="str">
        <f t="array" ref="N107">IFNA(XLOOKUP($D107,Cards!$A:$A,Cards!I:I),"")</f>
        <v/>
      </c>
      <c r="O107" s="215">
        <f t="shared" si="1"/>
        <v>0</v>
      </c>
    </row>
    <row r="108">
      <c r="E108" s="20"/>
      <c r="G108" s="20"/>
      <c r="H108" s="213" t="str">
        <f t="array" ref="H108">IFNA(XLOOKUP($D108,Cards!$A:$A,Cards!C:C),"")</f>
        <v/>
      </c>
      <c r="I108" s="213" t="str">
        <f t="array" ref="I108">IFNA(XLOOKUP($D108,Cards!$A:$A,Cards!B:B),"")</f>
        <v/>
      </c>
      <c r="J108" s="213" t="str">
        <f t="array" ref="J108">IFNA(XLOOKUP($D108,Cards!$A:$A,Cards!D:D),"")</f>
        <v/>
      </c>
      <c r="K108" s="213" t="str">
        <f t="array" ref="K108">IFNA(XLOOKUP($D108,Cards!$A:$A,Cards!E:E),"")</f>
        <v/>
      </c>
      <c r="L108" s="214" t="str">
        <f t="array" ref="L108">IFNA(XLOOKUP($D108,Cards!$A:$A,Cards!G:G),"")</f>
        <v/>
      </c>
      <c r="M108" s="214" t="str">
        <f t="array" ref="M108">IFNA(XLOOKUP($D108,Cards!$A:$A,Cards!H:H),"")</f>
        <v/>
      </c>
      <c r="N108" s="214" t="str">
        <f t="array" ref="N108">IFNA(XLOOKUP($D108,Cards!$A:$A,Cards!I:I),"")</f>
        <v/>
      </c>
      <c r="O108" s="215">
        <f t="shared" si="1"/>
        <v>0</v>
      </c>
    </row>
    <row r="109">
      <c r="E109" s="20"/>
      <c r="G109" s="20"/>
      <c r="H109" s="213" t="str">
        <f t="array" ref="H109">IFNA(XLOOKUP($D109,Cards!$A:$A,Cards!C:C),"")</f>
        <v/>
      </c>
      <c r="I109" s="213" t="str">
        <f t="array" ref="I109">IFNA(XLOOKUP($D109,Cards!$A:$A,Cards!B:B),"")</f>
        <v/>
      </c>
      <c r="J109" s="213" t="str">
        <f t="array" ref="J109">IFNA(XLOOKUP($D109,Cards!$A:$A,Cards!D:D),"")</f>
        <v/>
      </c>
      <c r="K109" s="213" t="str">
        <f t="array" ref="K109">IFNA(XLOOKUP($D109,Cards!$A:$A,Cards!E:E),"")</f>
        <v/>
      </c>
      <c r="L109" s="214" t="str">
        <f t="array" ref="L109">IFNA(XLOOKUP($D109,Cards!$A:$A,Cards!G:G),"")</f>
        <v/>
      </c>
      <c r="M109" s="214" t="str">
        <f t="array" ref="M109">IFNA(XLOOKUP($D109,Cards!$A:$A,Cards!H:H),"")</f>
        <v/>
      </c>
      <c r="N109" s="214" t="str">
        <f t="array" ref="N109">IFNA(XLOOKUP($D109,Cards!$A:$A,Cards!I:I),"")</f>
        <v/>
      </c>
      <c r="O109" s="215">
        <f t="shared" si="1"/>
        <v>0</v>
      </c>
    </row>
    <row r="110">
      <c r="E110" s="20"/>
      <c r="G110" s="20"/>
      <c r="H110" s="213" t="str">
        <f t="array" ref="H110">IFNA(XLOOKUP($D110,Cards!$A:$A,Cards!C:C),"")</f>
        <v/>
      </c>
      <c r="I110" s="213" t="str">
        <f t="array" ref="I110">IFNA(XLOOKUP($D110,Cards!$A:$A,Cards!B:B),"")</f>
        <v/>
      </c>
      <c r="J110" s="213" t="str">
        <f t="array" ref="J110">IFNA(XLOOKUP($D110,Cards!$A:$A,Cards!D:D),"")</f>
        <v/>
      </c>
      <c r="K110" s="213" t="str">
        <f t="array" ref="K110">IFNA(XLOOKUP($D110,Cards!$A:$A,Cards!E:E),"")</f>
        <v/>
      </c>
      <c r="L110" s="214" t="str">
        <f t="array" ref="L110">IFNA(XLOOKUP($D110,Cards!$A:$A,Cards!G:G),"")</f>
        <v/>
      </c>
      <c r="M110" s="214" t="str">
        <f t="array" ref="M110">IFNA(XLOOKUP($D110,Cards!$A:$A,Cards!H:H),"")</f>
        <v/>
      </c>
      <c r="N110" s="214" t="str">
        <f t="array" ref="N110">IFNA(XLOOKUP($D110,Cards!$A:$A,Cards!I:I),"")</f>
        <v/>
      </c>
      <c r="O110" s="215">
        <f t="shared" si="1"/>
        <v>0</v>
      </c>
    </row>
    <row r="111">
      <c r="E111" s="20"/>
      <c r="G111" s="20"/>
      <c r="H111" s="213" t="str">
        <f t="array" ref="H111">IFNA(XLOOKUP($D111,Cards!$A:$A,Cards!C:C),"")</f>
        <v/>
      </c>
      <c r="I111" s="213" t="str">
        <f t="array" ref="I111">IFNA(XLOOKUP($D111,Cards!$A:$A,Cards!B:B),"")</f>
        <v/>
      </c>
      <c r="J111" s="213" t="str">
        <f t="array" ref="J111">IFNA(XLOOKUP($D111,Cards!$A:$A,Cards!D:D),"")</f>
        <v/>
      </c>
      <c r="K111" s="213" t="str">
        <f t="array" ref="K111">IFNA(XLOOKUP($D111,Cards!$A:$A,Cards!E:E),"")</f>
        <v/>
      </c>
      <c r="L111" s="214" t="str">
        <f t="array" ref="L111">IFNA(XLOOKUP($D111,Cards!$A:$A,Cards!G:G),"")</f>
        <v/>
      </c>
      <c r="M111" s="214" t="str">
        <f t="array" ref="M111">IFNA(XLOOKUP($D111,Cards!$A:$A,Cards!H:H),"")</f>
        <v/>
      </c>
      <c r="N111" s="214" t="str">
        <f t="array" ref="N111">IFNA(XLOOKUP($D111,Cards!$A:$A,Cards!I:I),"")</f>
        <v/>
      </c>
      <c r="O111" s="215">
        <f t="shared" si="1"/>
        <v>0</v>
      </c>
    </row>
    <row r="112">
      <c r="E112" s="20"/>
      <c r="G112" s="20"/>
      <c r="H112" s="213" t="str">
        <f t="array" ref="H112">IFNA(XLOOKUP($D112,Cards!$A:$A,Cards!C:C),"")</f>
        <v/>
      </c>
      <c r="I112" s="213" t="str">
        <f t="array" ref="I112">IFNA(XLOOKUP($D112,Cards!$A:$A,Cards!B:B),"")</f>
        <v/>
      </c>
      <c r="J112" s="213" t="str">
        <f t="array" ref="J112">IFNA(XLOOKUP($D112,Cards!$A:$A,Cards!D:D),"")</f>
        <v/>
      </c>
      <c r="K112" s="213" t="str">
        <f t="array" ref="K112">IFNA(XLOOKUP($D112,Cards!$A:$A,Cards!E:E),"")</f>
        <v/>
      </c>
      <c r="L112" s="214" t="str">
        <f t="array" ref="L112">IFNA(XLOOKUP($D112,Cards!$A:$A,Cards!G:G),"")</f>
        <v/>
      </c>
      <c r="M112" s="214" t="str">
        <f t="array" ref="M112">IFNA(XLOOKUP($D112,Cards!$A:$A,Cards!H:H),"")</f>
        <v/>
      </c>
      <c r="N112" s="214" t="str">
        <f t="array" ref="N112">IFNA(XLOOKUP($D112,Cards!$A:$A,Cards!I:I),"")</f>
        <v/>
      </c>
      <c r="O112" s="215">
        <f t="shared" si="1"/>
        <v>0</v>
      </c>
    </row>
    <row r="113">
      <c r="E113" s="20"/>
      <c r="G113" s="20"/>
      <c r="H113" s="213" t="str">
        <f t="array" ref="H113">IFNA(XLOOKUP($D113,Cards!$A:$A,Cards!C:C),"")</f>
        <v/>
      </c>
      <c r="I113" s="213" t="str">
        <f t="array" ref="I113">IFNA(XLOOKUP($D113,Cards!$A:$A,Cards!B:B),"")</f>
        <v/>
      </c>
      <c r="J113" s="213" t="str">
        <f t="array" ref="J113">IFNA(XLOOKUP($D113,Cards!$A:$A,Cards!D:D),"")</f>
        <v/>
      </c>
      <c r="K113" s="213" t="str">
        <f t="array" ref="K113">IFNA(XLOOKUP($D113,Cards!$A:$A,Cards!E:E),"")</f>
        <v/>
      </c>
      <c r="L113" s="214" t="str">
        <f t="array" ref="L113">IFNA(XLOOKUP($D113,Cards!$A:$A,Cards!G:G),"")</f>
        <v/>
      </c>
      <c r="M113" s="214" t="str">
        <f t="array" ref="M113">IFNA(XLOOKUP($D113,Cards!$A:$A,Cards!H:H),"")</f>
        <v/>
      </c>
      <c r="N113" s="214" t="str">
        <f t="array" ref="N113">IFNA(XLOOKUP($D113,Cards!$A:$A,Cards!I:I),"")</f>
        <v/>
      </c>
      <c r="O113" s="215">
        <f t="shared" si="1"/>
        <v>0</v>
      </c>
    </row>
    <row r="114">
      <c r="E114" s="20"/>
      <c r="G114" s="20"/>
      <c r="H114" s="213" t="str">
        <f t="array" ref="H114">IFNA(XLOOKUP($D114,Cards!$A:$A,Cards!C:C),"")</f>
        <v/>
      </c>
      <c r="I114" s="213" t="str">
        <f t="array" ref="I114">IFNA(XLOOKUP($D114,Cards!$A:$A,Cards!B:B),"")</f>
        <v/>
      </c>
      <c r="J114" s="213" t="str">
        <f t="array" ref="J114">IFNA(XLOOKUP($D114,Cards!$A:$A,Cards!D:D),"")</f>
        <v/>
      </c>
      <c r="K114" s="213" t="str">
        <f t="array" ref="K114">IFNA(XLOOKUP($D114,Cards!$A:$A,Cards!E:E),"")</f>
        <v/>
      </c>
      <c r="L114" s="214" t="str">
        <f t="array" ref="L114">IFNA(XLOOKUP($D114,Cards!$A:$A,Cards!G:G),"")</f>
        <v/>
      </c>
      <c r="M114" s="214" t="str">
        <f t="array" ref="M114">IFNA(XLOOKUP($D114,Cards!$A:$A,Cards!H:H),"")</f>
        <v/>
      </c>
      <c r="N114" s="214" t="str">
        <f t="array" ref="N114">IFNA(XLOOKUP($D114,Cards!$A:$A,Cards!I:I),"")</f>
        <v/>
      </c>
      <c r="O114" s="215">
        <f t="shared" si="1"/>
        <v>0</v>
      </c>
    </row>
    <row r="115">
      <c r="E115" s="20"/>
      <c r="G115" s="20"/>
      <c r="H115" s="213" t="str">
        <f t="array" ref="H115">IFNA(XLOOKUP($D115,Cards!$A:$A,Cards!C:C),"")</f>
        <v/>
      </c>
      <c r="I115" s="213" t="str">
        <f t="array" ref="I115">IFNA(XLOOKUP($D115,Cards!$A:$A,Cards!B:B),"")</f>
        <v/>
      </c>
      <c r="J115" s="213" t="str">
        <f t="array" ref="J115">IFNA(XLOOKUP($D115,Cards!$A:$A,Cards!D:D),"")</f>
        <v/>
      </c>
      <c r="K115" s="213" t="str">
        <f t="array" ref="K115">IFNA(XLOOKUP($D115,Cards!$A:$A,Cards!E:E),"")</f>
        <v/>
      </c>
      <c r="L115" s="214" t="str">
        <f t="array" ref="L115">IFNA(XLOOKUP($D115,Cards!$A:$A,Cards!G:G),"")</f>
        <v/>
      </c>
      <c r="M115" s="214" t="str">
        <f t="array" ref="M115">IFNA(XLOOKUP($D115,Cards!$A:$A,Cards!H:H),"")</f>
        <v/>
      </c>
      <c r="N115" s="214" t="str">
        <f t="array" ref="N115">IFNA(XLOOKUP($D115,Cards!$A:$A,Cards!I:I),"")</f>
        <v/>
      </c>
      <c r="O115" s="215">
        <f t="shared" si="1"/>
        <v>0</v>
      </c>
    </row>
    <row r="116">
      <c r="E116" s="20"/>
      <c r="G116" s="20"/>
      <c r="H116" s="213" t="str">
        <f t="array" ref="H116">IFNA(XLOOKUP($D116,Cards!$A:$A,Cards!C:C),"")</f>
        <v/>
      </c>
      <c r="I116" s="213" t="str">
        <f t="array" ref="I116">IFNA(XLOOKUP($D116,Cards!$A:$A,Cards!B:B),"")</f>
        <v/>
      </c>
      <c r="J116" s="213" t="str">
        <f t="array" ref="J116">IFNA(XLOOKUP($D116,Cards!$A:$A,Cards!D:D),"")</f>
        <v/>
      </c>
      <c r="K116" s="213" t="str">
        <f t="array" ref="K116">IFNA(XLOOKUP($D116,Cards!$A:$A,Cards!E:E),"")</f>
        <v/>
      </c>
      <c r="L116" s="214" t="str">
        <f t="array" ref="L116">IFNA(XLOOKUP($D116,Cards!$A:$A,Cards!G:G),"")</f>
        <v/>
      </c>
      <c r="M116" s="214" t="str">
        <f t="array" ref="M116">IFNA(XLOOKUP($D116,Cards!$A:$A,Cards!H:H),"")</f>
        <v/>
      </c>
      <c r="N116" s="214" t="str">
        <f t="array" ref="N116">IFNA(XLOOKUP($D116,Cards!$A:$A,Cards!I:I),"")</f>
        <v/>
      </c>
      <c r="O116" s="215">
        <f t="shared" si="1"/>
        <v>0</v>
      </c>
    </row>
    <row r="117">
      <c r="E117" s="20"/>
      <c r="G117" s="20"/>
      <c r="H117" s="213" t="str">
        <f t="array" ref="H117">IFNA(XLOOKUP($D117,Cards!$A:$A,Cards!C:C),"")</f>
        <v/>
      </c>
      <c r="I117" s="213" t="str">
        <f t="array" ref="I117">IFNA(XLOOKUP($D117,Cards!$A:$A,Cards!B:B),"")</f>
        <v/>
      </c>
      <c r="J117" s="213" t="str">
        <f t="array" ref="J117">IFNA(XLOOKUP($D117,Cards!$A:$A,Cards!D:D),"")</f>
        <v/>
      </c>
      <c r="K117" s="213" t="str">
        <f t="array" ref="K117">IFNA(XLOOKUP($D117,Cards!$A:$A,Cards!E:E),"")</f>
        <v/>
      </c>
      <c r="L117" s="214" t="str">
        <f t="array" ref="L117">IFNA(XLOOKUP($D117,Cards!$A:$A,Cards!G:G),"")</f>
        <v/>
      </c>
      <c r="M117" s="214" t="str">
        <f t="array" ref="M117">IFNA(XLOOKUP($D117,Cards!$A:$A,Cards!H:H),"")</f>
        <v/>
      </c>
      <c r="N117" s="214" t="str">
        <f t="array" ref="N117">IFNA(XLOOKUP($D117,Cards!$A:$A,Cards!I:I),"")</f>
        <v/>
      </c>
      <c r="O117" s="215">
        <f t="shared" si="1"/>
        <v>0</v>
      </c>
    </row>
    <row r="118">
      <c r="E118" s="20"/>
      <c r="G118" s="20"/>
      <c r="H118" s="213" t="str">
        <f t="array" ref="H118">IFNA(XLOOKUP($D118,Cards!$A:$A,Cards!C:C),"")</f>
        <v/>
      </c>
      <c r="I118" s="213" t="str">
        <f t="array" ref="I118">IFNA(XLOOKUP($D118,Cards!$A:$A,Cards!B:B),"")</f>
        <v/>
      </c>
      <c r="J118" s="213" t="str">
        <f t="array" ref="J118">IFNA(XLOOKUP($D118,Cards!$A:$A,Cards!D:D),"")</f>
        <v/>
      </c>
      <c r="K118" s="213" t="str">
        <f t="array" ref="K118">IFNA(XLOOKUP($D118,Cards!$A:$A,Cards!E:E),"")</f>
        <v/>
      </c>
      <c r="L118" s="214" t="str">
        <f t="array" ref="L118">IFNA(XLOOKUP($D118,Cards!$A:$A,Cards!G:G),"")</f>
        <v/>
      </c>
      <c r="M118" s="214" t="str">
        <f t="array" ref="M118">IFNA(XLOOKUP($D118,Cards!$A:$A,Cards!H:H),"")</f>
        <v/>
      </c>
      <c r="N118" s="214" t="str">
        <f t="array" ref="N118">IFNA(XLOOKUP($D118,Cards!$A:$A,Cards!I:I),"")</f>
        <v/>
      </c>
      <c r="O118" s="215">
        <f t="shared" si="1"/>
        <v>0</v>
      </c>
    </row>
    <row r="119">
      <c r="E119" s="20"/>
      <c r="G119" s="20"/>
      <c r="H119" s="213" t="str">
        <f t="array" ref="H119">IFNA(XLOOKUP($D119,Cards!$A:$A,Cards!C:C),"")</f>
        <v/>
      </c>
      <c r="I119" s="213" t="str">
        <f t="array" ref="I119">IFNA(XLOOKUP($D119,Cards!$A:$A,Cards!B:B),"")</f>
        <v/>
      </c>
      <c r="J119" s="213" t="str">
        <f t="array" ref="J119">IFNA(XLOOKUP($D119,Cards!$A:$A,Cards!D:D),"")</f>
        <v/>
      </c>
      <c r="K119" s="213" t="str">
        <f t="array" ref="K119">IFNA(XLOOKUP($D119,Cards!$A:$A,Cards!E:E),"")</f>
        <v/>
      </c>
      <c r="L119" s="214" t="str">
        <f t="array" ref="L119">IFNA(XLOOKUP($D119,Cards!$A:$A,Cards!G:G),"")</f>
        <v/>
      </c>
      <c r="M119" s="214" t="str">
        <f t="array" ref="M119">IFNA(XLOOKUP($D119,Cards!$A:$A,Cards!H:H),"")</f>
        <v/>
      </c>
      <c r="N119" s="214" t="str">
        <f t="array" ref="N119">IFNA(XLOOKUP($D119,Cards!$A:$A,Cards!I:I),"")</f>
        <v/>
      </c>
      <c r="O119" s="215">
        <f t="shared" si="1"/>
        <v>0</v>
      </c>
    </row>
    <row r="120">
      <c r="E120" s="20"/>
      <c r="G120" s="20"/>
      <c r="H120" s="213" t="str">
        <f t="array" ref="H120">IFNA(XLOOKUP($D120,Cards!$A:$A,Cards!C:C),"")</f>
        <v/>
      </c>
      <c r="I120" s="213" t="str">
        <f t="array" ref="I120">IFNA(XLOOKUP($D120,Cards!$A:$A,Cards!B:B),"")</f>
        <v/>
      </c>
      <c r="J120" s="213" t="str">
        <f t="array" ref="J120">IFNA(XLOOKUP($D120,Cards!$A:$A,Cards!D:D),"")</f>
        <v/>
      </c>
      <c r="K120" s="213" t="str">
        <f t="array" ref="K120">IFNA(XLOOKUP($D120,Cards!$A:$A,Cards!E:E),"")</f>
        <v/>
      </c>
      <c r="L120" s="214" t="str">
        <f t="array" ref="L120">IFNA(XLOOKUP($D120,Cards!$A:$A,Cards!G:G),"")</f>
        <v/>
      </c>
      <c r="M120" s="214" t="str">
        <f t="array" ref="M120">IFNA(XLOOKUP($D120,Cards!$A:$A,Cards!H:H),"")</f>
        <v/>
      </c>
      <c r="N120" s="214" t="str">
        <f t="array" ref="N120">IFNA(XLOOKUP($D120,Cards!$A:$A,Cards!I:I),"")</f>
        <v/>
      </c>
      <c r="O120" s="215">
        <f t="shared" si="1"/>
        <v>0</v>
      </c>
    </row>
    <row r="121">
      <c r="E121" s="20"/>
      <c r="G121" s="20"/>
      <c r="H121" s="213" t="str">
        <f t="array" ref="H121">IFNA(XLOOKUP($D121,Cards!$A:$A,Cards!C:C),"")</f>
        <v/>
      </c>
      <c r="I121" s="213" t="str">
        <f t="array" ref="I121">IFNA(XLOOKUP($D121,Cards!$A:$A,Cards!B:B),"")</f>
        <v/>
      </c>
      <c r="J121" s="213" t="str">
        <f t="array" ref="J121">IFNA(XLOOKUP($D121,Cards!$A:$A,Cards!D:D),"")</f>
        <v/>
      </c>
      <c r="K121" s="213" t="str">
        <f t="array" ref="K121">IFNA(XLOOKUP($D121,Cards!$A:$A,Cards!E:E),"")</f>
        <v/>
      </c>
      <c r="L121" s="214" t="str">
        <f t="array" ref="L121">IFNA(XLOOKUP($D121,Cards!$A:$A,Cards!G:G),"")</f>
        <v/>
      </c>
      <c r="M121" s="214" t="str">
        <f t="array" ref="M121">IFNA(XLOOKUP($D121,Cards!$A:$A,Cards!H:H),"")</f>
        <v/>
      </c>
      <c r="N121" s="214" t="str">
        <f t="array" ref="N121">IFNA(XLOOKUP($D121,Cards!$A:$A,Cards!I:I),"")</f>
        <v/>
      </c>
      <c r="O121" s="215">
        <f t="shared" si="1"/>
        <v>0</v>
      </c>
    </row>
    <row r="122">
      <c r="E122" s="20"/>
      <c r="G122" s="20"/>
      <c r="H122" s="213" t="str">
        <f t="array" ref="H122">IFNA(XLOOKUP($D122,Cards!$A:$A,Cards!C:C),"")</f>
        <v/>
      </c>
      <c r="I122" s="213" t="str">
        <f t="array" ref="I122">IFNA(XLOOKUP($D122,Cards!$A:$A,Cards!B:B),"")</f>
        <v/>
      </c>
      <c r="J122" s="213" t="str">
        <f t="array" ref="J122">IFNA(XLOOKUP($D122,Cards!$A:$A,Cards!D:D),"")</f>
        <v/>
      </c>
      <c r="K122" s="213" t="str">
        <f t="array" ref="K122">IFNA(XLOOKUP($D122,Cards!$A:$A,Cards!E:E),"")</f>
        <v/>
      </c>
      <c r="L122" s="214" t="str">
        <f t="array" ref="L122">IFNA(XLOOKUP($D122,Cards!$A:$A,Cards!G:G),"")</f>
        <v/>
      </c>
      <c r="M122" s="214" t="str">
        <f t="array" ref="M122">IFNA(XLOOKUP($D122,Cards!$A:$A,Cards!H:H),"")</f>
        <v/>
      </c>
      <c r="N122" s="214" t="str">
        <f t="array" ref="N122">IFNA(XLOOKUP($D122,Cards!$A:$A,Cards!I:I),"")</f>
        <v/>
      </c>
      <c r="O122" s="215">
        <f t="shared" si="1"/>
        <v>0</v>
      </c>
    </row>
    <row r="123">
      <c r="E123" s="20"/>
      <c r="G123" s="20"/>
      <c r="H123" s="213" t="str">
        <f t="array" ref="H123">IFNA(XLOOKUP($D123,Cards!$A:$A,Cards!C:C),"")</f>
        <v/>
      </c>
      <c r="I123" s="213" t="str">
        <f t="array" ref="I123">IFNA(XLOOKUP($D123,Cards!$A:$A,Cards!B:B),"")</f>
        <v/>
      </c>
      <c r="J123" s="213" t="str">
        <f t="array" ref="J123">IFNA(XLOOKUP($D123,Cards!$A:$A,Cards!D:D),"")</f>
        <v/>
      </c>
      <c r="K123" s="213" t="str">
        <f t="array" ref="K123">IFNA(XLOOKUP($D123,Cards!$A:$A,Cards!E:E),"")</f>
        <v/>
      </c>
      <c r="L123" s="214" t="str">
        <f t="array" ref="L123">IFNA(XLOOKUP($D123,Cards!$A:$A,Cards!G:G),"")</f>
        <v/>
      </c>
      <c r="M123" s="214" t="str">
        <f t="array" ref="M123">IFNA(XLOOKUP($D123,Cards!$A:$A,Cards!H:H),"")</f>
        <v/>
      </c>
      <c r="N123" s="214" t="str">
        <f t="array" ref="N123">IFNA(XLOOKUP($D123,Cards!$A:$A,Cards!I:I),"")</f>
        <v/>
      </c>
      <c r="O123" s="215">
        <f t="shared" si="1"/>
        <v>0</v>
      </c>
    </row>
    <row r="124">
      <c r="E124" s="20"/>
      <c r="G124" s="20"/>
      <c r="H124" s="213" t="str">
        <f t="array" ref="H124">IFNA(XLOOKUP($D124,Cards!$A:$A,Cards!C:C),"")</f>
        <v/>
      </c>
      <c r="I124" s="213" t="str">
        <f t="array" ref="I124">IFNA(XLOOKUP($D124,Cards!$A:$A,Cards!B:B),"")</f>
        <v/>
      </c>
      <c r="J124" s="213" t="str">
        <f t="array" ref="J124">IFNA(XLOOKUP($D124,Cards!$A:$A,Cards!D:D),"")</f>
        <v/>
      </c>
      <c r="K124" s="213" t="str">
        <f t="array" ref="K124">IFNA(XLOOKUP($D124,Cards!$A:$A,Cards!E:E),"")</f>
        <v/>
      </c>
      <c r="L124" s="214" t="str">
        <f t="array" ref="L124">IFNA(XLOOKUP($D124,Cards!$A:$A,Cards!G:G),"")</f>
        <v/>
      </c>
      <c r="M124" s="214" t="str">
        <f t="array" ref="M124">IFNA(XLOOKUP($D124,Cards!$A:$A,Cards!H:H),"")</f>
        <v/>
      </c>
      <c r="N124" s="214" t="str">
        <f t="array" ref="N124">IFNA(XLOOKUP($D124,Cards!$A:$A,Cards!I:I),"")</f>
        <v/>
      </c>
      <c r="O124" s="215">
        <f t="shared" si="1"/>
        <v>0</v>
      </c>
    </row>
    <row r="125">
      <c r="E125" s="20"/>
      <c r="G125" s="20"/>
      <c r="H125" s="213" t="str">
        <f t="array" ref="H125">IFNA(XLOOKUP($D125,Cards!$A:$A,Cards!C:C),"")</f>
        <v/>
      </c>
      <c r="I125" s="213" t="str">
        <f t="array" ref="I125">IFNA(XLOOKUP($D125,Cards!$A:$A,Cards!B:B),"")</f>
        <v/>
      </c>
      <c r="J125" s="213" t="str">
        <f t="array" ref="J125">IFNA(XLOOKUP($D125,Cards!$A:$A,Cards!D:D),"")</f>
        <v/>
      </c>
      <c r="K125" s="213" t="str">
        <f t="array" ref="K125">IFNA(XLOOKUP($D125,Cards!$A:$A,Cards!E:E),"")</f>
        <v/>
      </c>
      <c r="L125" s="214" t="str">
        <f t="array" ref="L125">IFNA(XLOOKUP($D125,Cards!$A:$A,Cards!G:G),"")</f>
        <v/>
      </c>
      <c r="M125" s="214" t="str">
        <f t="array" ref="M125">IFNA(XLOOKUP($D125,Cards!$A:$A,Cards!H:H),"")</f>
        <v/>
      </c>
      <c r="N125" s="214" t="str">
        <f t="array" ref="N125">IFNA(XLOOKUP($D125,Cards!$A:$A,Cards!I:I),"")</f>
        <v/>
      </c>
      <c r="O125" s="215">
        <f t="shared" si="1"/>
        <v>0</v>
      </c>
    </row>
    <row r="126">
      <c r="E126" s="20"/>
      <c r="G126" s="20"/>
      <c r="H126" s="213" t="str">
        <f t="array" ref="H126">IFNA(XLOOKUP($D126,Cards!$A:$A,Cards!C:C),"")</f>
        <v/>
      </c>
      <c r="I126" s="213" t="str">
        <f t="array" ref="I126">IFNA(XLOOKUP($D126,Cards!$A:$A,Cards!B:B),"")</f>
        <v/>
      </c>
      <c r="J126" s="213" t="str">
        <f t="array" ref="J126">IFNA(XLOOKUP($D126,Cards!$A:$A,Cards!D:D),"")</f>
        <v/>
      </c>
      <c r="K126" s="213" t="str">
        <f t="array" ref="K126">IFNA(XLOOKUP($D126,Cards!$A:$A,Cards!E:E),"")</f>
        <v/>
      </c>
      <c r="L126" s="214" t="str">
        <f t="array" ref="L126">IFNA(XLOOKUP($D126,Cards!$A:$A,Cards!G:G),"")</f>
        <v/>
      </c>
      <c r="M126" s="214" t="str">
        <f t="array" ref="M126">IFNA(XLOOKUP($D126,Cards!$A:$A,Cards!H:H),"")</f>
        <v/>
      </c>
      <c r="N126" s="214" t="str">
        <f t="array" ref="N126">IFNA(XLOOKUP($D126,Cards!$A:$A,Cards!I:I),"")</f>
        <v/>
      </c>
      <c r="O126" s="215">
        <f t="shared" si="1"/>
        <v>0</v>
      </c>
    </row>
    <row r="127">
      <c r="E127" s="20"/>
      <c r="G127" s="20"/>
      <c r="H127" s="213" t="str">
        <f t="array" ref="H127">IFNA(XLOOKUP($D127,Cards!$A:$A,Cards!C:C),"")</f>
        <v/>
      </c>
      <c r="I127" s="213" t="str">
        <f t="array" ref="I127">IFNA(XLOOKUP($D127,Cards!$A:$A,Cards!B:B),"")</f>
        <v/>
      </c>
      <c r="J127" s="213" t="str">
        <f t="array" ref="J127">IFNA(XLOOKUP($D127,Cards!$A:$A,Cards!D:D),"")</f>
        <v/>
      </c>
      <c r="K127" s="213" t="str">
        <f t="array" ref="K127">IFNA(XLOOKUP($D127,Cards!$A:$A,Cards!E:E),"")</f>
        <v/>
      </c>
      <c r="L127" s="214" t="str">
        <f t="array" ref="L127">IFNA(XLOOKUP($D127,Cards!$A:$A,Cards!G:G),"")</f>
        <v/>
      </c>
      <c r="M127" s="214" t="str">
        <f t="array" ref="M127">IFNA(XLOOKUP($D127,Cards!$A:$A,Cards!H:H),"")</f>
        <v/>
      </c>
      <c r="N127" s="214" t="str">
        <f t="array" ref="N127">IFNA(XLOOKUP($D127,Cards!$A:$A,Cards!I:I),"")</f>
        <v/>
      </c>
      <c r="O127" s="215">
        <f t="shared" si="1"/>
        <v>0</v>
      </c>
    </row>
    <row r="128">
      <c r="E128" s="20"/>
      <c r="G128" s="20"/>
      <c r="H128" s="213" t="str">
        <f t="array" ref="H128">IFNA(XLOOKUP($D128,Cards!$A:$A,Cards!C:C),"")</f>
        <v/>
      </c>
      <c r="I128" s="213" t="str">
        <f t="array" ref="I128">IFNA(XLOOKUP($D128,Cards!$A:$A,Cards!B:B),"")</f>
        <v/>
      </c>
      <c r="J128" s="213" t="str">
        <f t="array" ref="J128">IFNA(XLOOKUP($D128,Cards!$A:$A,Cards!D:D),"")</f>
        <v/>
      </c>
      <c r="K128" s="213" t="str">
        <f t="array" ref="K128">IFNA(XLOOKUP($D128,Cards!$A:$A,Cards!E:E),"")</f>
        <v/>
      </c>
      <c r="L128" s="214" t="str">
        <f t="array" ref="L128">IFNA(XLOOKUP($D128,Cards!$A:$A,Cards!G:G),"")</f>
        <v/>
      </c>
      <c r="M128" s="214" t="str">
        <f t="array" ref="M128">IFNA(XLOOKUP($D128,Cards!$A:$A,Cards!H:H),"")</f>
        <v/>
      </c>
      <c r="N128" s="214" t="str">
        <f t="array" ref="N128">IFNA(XLOOKUP($D128,Cards!$A:$A,Cards!I:I),"")</f>
        <v/>
      </c>
      <c r="O128" s="215">
        <f t="shared" si="1"/>
        <v>0</v>
      </c>
    </row>
    <row r="129">
      <c r="E129" s="20"/>
      <c r="G129" s="20"/>
      <c r="H129" s="213" t="str">
        <f t="array" ref="H129">IFNA(XLOOKUP($D129,Cards!$A:$A,Cards!C:C),"")</f>
        <v/>
      </c>
      <c r="I129" s="213" t="str">
        <f t="array" ref="I129">IFNA(XLOOKUP($D129,Cards!$A:$A,Cards!B:B),"")</f>
        <v/>
      </c>
      <c r="J129" s="213" t="str">
        <f t="array" ref="J129">IFNA(XLOOKUP($D129,Cards!$A:$A,Cards!D:D),"")</f>
        <v/>
      </c>
      <c r="K129" s="213" t="str">
        <f t="array" ref="K129">IFNA(XLOOKUP($D129,Cards!$A:$A,Cards!E:E),"")</f>
        <v/>
      </c>
      <c r="L129" s="214" t="str">
        <f t="array" ref="L129">IFNA(XLOOKUP($D129,Cards!$A:$A,Cards!G:G),"")</f>
        <v/>
      </c>
      <c r="M129" s="214" t="str">
        <f t="array" ref="M129">IFNA(XLOOKUP($D129,Cards!$A:$A,Cards!H:H),"")</f>
        <v/>
      </c>
      <c r="N129" s="214" t="str">
        <f t="array" ref="N129">IFNA(XLOOKUP($D129,Cards!$A:$A,Cards!I:I),"")</f>
        <v/>
      </c>
      <c r="O129" s="215">
        <f t="shared" si="1"/>
        <v>0</v>
      </c>
    </row>
    <row r="130">
      <c r="E130" s="20"/>
      <c r="G130" s="20"/>
      <c r="H130" s="213" t="str">
        <f t="array" ref="H130">IFNA(XLOOKUP($D130,Cards!$A:$A,Cards!C:C),"")</f>
        <v/>
      </c>
      <c r="I130" s="213" t="str">
        <f t="array" ref="I130">IFNA(XLOOKUP($D130,Cards!$A:$A,Cards!B:B),"")</f>
        <v/>
      </c>
      <c r="J130" s="213" t="str">
        <f t="array" ref="J130">IFNA(XLOOKUP($D130,Cards!$A:$A,Cards!D:D),"")</f>
        <v/>
      </c>
      <c r="K130" s="213" t="str">
        <f t="array" ref="K130">IFNA(XLOOKUP($D130,Cards!$A:$A,Cards!E:E),"")</f>
        <v/>
      </c>
      <c r="L130" s="214" t="str">
        <f t="array" ref="L130">IFNA(XLOOKUP($D130,Cards!$A:$A,Cards!G:G),"")</f>
        <v/>
      </c>
      <c r="M130" s="214" t="str">
        <f t="array" ref="M130">IFNA(XLOOKUP($D130,Cards!$A:$A,Cards!H:H),"")</f>
        <v/>
      </c>
      <c r="N130" s="214" t="str">
        <f t="array" ref="N130">IFNA(XLOOKUP($D130,Cards!$A:$A,Cards!I:I),"")</f>
        <v/>
      </c>
      <c r="O130" s="215">
        <f t="shared" si="1"/>
        <v>0</v>
      </c>
    </row>
    <row r="131">
      <c r="E131" s="20"/>
      <c r="G131" s="20"/>
      <c r="H131" s="213" t="str">
        <f t="array" ref="H131">IFNA(XLOOKUP($D131,Cards!$A:$A,Cards!C:C),"")</f>
        <v/>
      </c>
      <c r="I131" s="213" t="str">
        <f t="array" ref="I131">IFNA(XLOOKUP($D131,Cards!$A:$A,Cards!B:B),"")</f>
        <v/>
      </c>
      <c r="J131" s="213" t="str">
        <f t="array" ref="J131">IFNA(XLOOKUP($D131,Cards!$A:$A,Cards!D:D),"")</f>
        <v/>
      </c>
      <c r="K131" s="213" t="str">
        <f t="array" ref="K131">IFNA(XLOOKUP($D131,Cards!$A:$A,Cards!E:E),"")</f>
        <v/>
      </c>
      <c r="L131" s="214" t="str">
        <f t="array" ref="L131">IFNA(XLOOKUP($D131,Cards!$A:$A,Cards!G:G),"")</f>
        <v/>
      </c>
      <c r="M131" s="214" t="str">
        <f t="array" ref="M131">IFNA(XLOOKUP($D131,Cards!$A:$A,Cards!H:H),"")</f>
        <v/>
      </c>
      <c r="N131" s="214" t="str">
        <f t="array" ref="N131">IFNA(XLOOKUP($D131,Cards!$A:$A,Cards!I:I),"")</f>
        <v/>
      </c>
      <c r="O131" s="215">
        <f t="shared" si="1"/>
        <v>0</v>
      </c>
    </row>
    <row r="132">
      <c r="E132" s="20"/>
      <c r="G132" s="20"/>
      <c r="H132" s="213" t="str">
        <f t="array" ref="H132">IFNA(XLOOKUP($D132,Cards!$A:$A,Cards!C:C),"")</f>
        <v/>
      </c>
      <c r="I132" s="213" t="str">
        <f t="array" ref="I132">IFNA(XLOOKUP($D132,Cards!$A:$A,Cards!B:B),"")</f>
        <v/>
      </c>
      <c r="J132" s="213" t="str">
        <f t="array" ref="J132">IFNA(XLOOKUP($D132,Cards!$A:$A,Cards!D:D),"")</f>
        <v/>
      </c>
      <c r="K132" s="213" t="str">
        <f t="array" ref="K132">IFNA(XLOOKUP($D132,Cards!$A:$A,Cards!E:E),"")</f>
        <v/>
      </c>
      <c r="L132" s="214" t="str">
        <f t="array" ref="L132">IFNA(XLOOKUP($D132,Cards!$A:$A,Cards!G:G),"")</f>
        <v/>
      </c>
      <c r="M132" s="214" t="str">
        <f t="array" ref="M132">IFNA(XLOOKUP($D132,Cards!$A:$A,Cards!H:H),"")</f>
        <v/>
      </c>
      <c r="N132" s="214" t="str">
        <f t="array" ref="N132">IFNA(XLOOKUP($D132,Cards!$A:$A,Cards!I:I),"")</f>
        <v/>
      </c>
      <c r="O132" s="215">
        <f t="shared" si="1"/>
        <v>0</v>
      </c>
    </row>
    <row r="133">
      <c r="E133" s="20"/>
      <c r="G133" s="20"/>
      <c r="H133" s="213" t="str">
        <f t="array" ref="H133">IFNA(XLOOKUP($D133,Cards!$A:$A,Cards!C:C),"")</f>
        <v/>
      </c>
      <c r="I133" s="213" t="str">
        <f t="array" ref="I133">IFNA(XLOOKUP($D133,Cards!$A:$A,Cards!B:B),"")</f>
        <v/>
      </c>
      <c r="J133" s="213" t="str">
        <f t="array" ref="J133">IFNA(XLOOKUP($D133,Cards!$A:$A,Cards!D:D),"")</f>
        <v/>
      </c>
      <c r="K133" s="213" t="str">
        <f t="array" ref="K133">IFNA(XLOOKUP($D133,Cards!$A:$A,Cards!E:E),"")</f>
        <v/>
      </c>
      <c r="L133" s="214" t="str">
        <f t="array" ref="L133">IFNA(XLOOKUP($D133,Cards!$A:$A,Cards!G:G),"")</f>
        <v/>
      </c>
      <c r="M133" s="214" t="str">
        <f t="array" ref="M133">IFNA(XLOOKUP($D133,Cards!$A:$A,Cards!H:H),"")</f>
        <v/>
      </c>
      <c r="N133" s="214" t="str">
        <f t="array" ref="N133">IFNA(XLOOKUP($D133,Cards!$A:$A,Cards!I:I),"")</f>
        <v/>
      </c>
      <c r="O133" s="215">
        <f t="shared" si="1"/>
        <v>0</v>
      </c>
    </row>
    <row r="134">
      <c r="E134" s="20"/>
      <c r="G134" s="20"/>
      <c r="H134" s="213" t="str">
        <f t="array" ref="H134">IFNA(XLOOKUP($D134,Cards!$A:$A,Cards!C:C),"")</f>
        <v/>
      </c>
      <c r="I134" s="213" t="str">
        <f t="array" ref="I134">IFNA(XLOOKUP($D134,Cards!$A:$A,Cards!B:B),"")</f>
        <v/>
      </c>
      <c r="J134" s="213" t="str">
        <f t="array" ref="J134">IFNA(XLOOKUP($D134,Cards!$A:$A,Cards!D:D),"")</f>
        <v/>
      </c>
      <c r="K134" s="213" t="str">
        <f t="array" ref="K134">IFNA(XLOOKUP($D134,Cards!$A:$A,Cards!E:E),"")</f>
        <v/>
      </c>
      <c r="L134" s="214" t="str">
        <f t="array" ref="L134">IFNA(XLOOKUP($D134,Cards!$A:$A,Cards!G:G),"")</f>
        <v/>
      </c>
      <c r="M134" s="214" t="str">
        <f t="array" ref="M134">IFNA(XLOOKUP($D134,Cards!$A:$A,Cards!H:H),"")</f>
        <v/>
      </c>
      <c r="N134" s="214" t="str">
        <f t="array" ref="N134">IFNA(XLOOKUP($D134,Cards!$A:$A,Cards!I:I),"")</f>
        <v/>
      </c>
      <c r="O134" s="215">
        <f t="shared" si="1"/>
        <v>0</v>
      </c>
    </row>
    <row r="135">
      <c r="E135" s="20"/>
      <c r="G135" s="20"/>
      <c r="H135" s="213" t="str">
        <f t="array" ref="H135">IFNA(XLOOKUP($D135,Cards!$A:$A,Cards!C:C),"")</f>
        <v/>
      </c>
      <c r="I135" s="213" t="str">
        <f t="array" ref="I135">IFNA(XLOOKUP($D135,Cards!$A:$A,Cards!B:B),"")</f>
        <v/>
      </c>
      <c r="J135" s="213" t="str">
        <f t="array" ref="J135">IFNA(XLOOKUP($D135,Cards!$A:$A,Cards!D:D),"")</f>
        <v/>
      </c>
      <c r="K135" s="213" t="str">
        <f t="array" ref="K135">IFNA(XLOOKUP($D135,Cards!$A:$A,Cards!E:E),"")</f>
        <v/>
      </c>
      <c r="L135" s="214" t="str">
        <f t="array" ref="L135">IFNA(XLOOKUP($D135,Cards!$A:$A,Cards!G:G),"")</f>
        <v/>
      </c>
      <c r="M135" s="214" t="str">
        <f t="array" ref="M135">IFNA(XLOOKUP($D135,Cards!$A:$A,Cards!H:H),"")</f>
        <v/>
      </c>
      <c r="N135" s="214" t="str">
        <f t="array" ref="N135">IFNA(XLOOKUP($D135,Cards!$A:$A,Cards!I:I),"")</f>
        <v/>
      </c>
      <c r="O135" s="215">
        <f t="shared" si="1"/>
        <v>0</v>
      </c>
    </row>
    <row r="136">
      <c r="E136" s="20"/>
      <c r="G136" s="20"/>
      <c r="H136" s="213" t="str">
        <f t="array" ref="H136">IFNA(XLOOKUP($D136,Cards!$A:$A,Cards!C:C),"")</f>
        <v/>
      </c>
      <c r="I136" s="213" t="str">
        <f t="array" ref="I136">IFNA(XLOOKUP($D136,Cards!$A:$A,Cards!B:B),"")</f>
        <v/>
      </c>
      <c r="J136" s="213" t="str">
        <f t="array" ref="J136">IFNA(XLOOKUP($D136,Cards!$A:$A,Cards!D:D),"")</f>
        <v/>
      </c>
      <c r="K136" s="213" t="str">
        <f t="array" ref="K136">IFNA(XLOOKUP($D136,Cards!$A:$A,Cards!E:E),"")</f>
        <v/>
      </c>
      <c r="L136" s="214" t="str">
        <f t="array" ref="L136">IFNA(XLOOKUP($D136,Cards!$A:$A,Cards!G:G),"")</f>
        <v/>
      </c>
      <c r="M136" s="214" t="str">
        <f t="array" ref="M136">IFNA(XLOOKUP($D136,Cards!$A:$A,Cards!H:H),"")</f>
        <v/>
      </c>
      <c r="N136" s="214" t="str">
        <f t="array" ref="N136">IFNA(XLOOKUP($D136,Cards!$A:$A,Cards!I:I),"")</f>
        <v/>
      </c>
      <c r="O136" s="215">
        <f t="shared" si="1"/>
        <v>0</v>
      </c>
    </row>
    <row r="137">
      <c r="E137" s="20"/>
      <c r="G137" s="20"/>
      <c r="H137" s="213" t="str">
        <f t="array" ref="H137">IFNA(XLOOKUP($D137,Cards!$A:$A,Cards!C:C),"")</f>
        <v/>
      </c>
      <c r="I137" s="213" t="str">
        <f t="array" ref="I137">IFNA(XLOOKUP($D137,Cards!$A:$A,Cards!B:B),"")</f>
        <v/>
      </c>
      <c r="J137" s="213" t="str">
        <f t="array" ref="J137">IFNA(XLOOKUP($D137,Cards!$A:$A,Cards!D:D),"")</f>
        <v/>
      </c>
      <c r="K137" s="213" t="str">
        <f t="array" ref="K137">IFNA(XLOOKUP($D137,Cards!$A:$A,Cards!E:E),"")</f>
        <v/>
      </c>
      <c r="L137" s="214" t="str">
        <f t="array" ref="L137">IFNA(XLOOKUP($D137,Cards!$A:$A,Cards!G:G),"")</f>
        <v/>
      </c>
      <c r="M137" s="214" t="str">
        <f t="array" ref="M137">IFNA(XLOOKUP($D137,Cards!$A:$A,Cards!H:H),"")</f>
        <v/>
      </c>
      <c r="N137" s="214" t="str">
        <f t="array" ref="N137">IFNA(XLOOKUP($D137,Cards!$A:$A,Cards!I:I),"")</f>
        <v/>
      </c>
      <c r="O137" s="215">
        <f t="shared" si="1"/>
        <v>0</v>
      </c>
    </row>
    <row r="138">
      <c r="E138" s="20"/>
      <c r="G138" s="20"/>
      <c r="H138" s="213" t="str">
        <f t="array" ref="H138">IFNA(XLOOKUP($D138,Cards!$A:$A,Cards!C:C),"")</f>
        <v/>
      </c>
      <c r="I138" s="213" t="str">
        <f t="array" ref="I138">IFNA(XLOOKUP($D138,Cards!$A:$A,Cards!B:B),"")</f>
        <v/>
      </c>
      <c r="J138" s="213" t="str">
        <f t="array" ref="J138">IFNA(XLOOKUP($D138,Cards!$A:$A,Cards!D:D),"")</f>
        <v/>
      </c>
      <c r="K138" s="213" t="str">
        <f t="array" ref="K138">IFNA(XLOOKUP($D138,Cards!$A:$A,Cards!E:E),"")</f>
        <v/>
      </c>
      <c r="L138" s="214" t="str">
        <f t="array" ref="L138">IFNA(XLOOKUP($D138,Cards!$A:$A,Cards!G:G),"")</f>
        <v/>
      </c>
      <c r="M138" s="214" t="str">
        <f t="array" ref="M138">IFNA(XLOOKUP($D138,Cards!$A:$A,Cards!H:H),"")</f>
        <v/>
      </c>
      <c r="N138" s="214" t="str">
        <f t="array" ref="N138">IFNA(XLOOKUP($D138,Cards!$A:$A,Cards!I:I),"")</f>
        <v/>
      </c>
      <c r="O138" s="215">
        <f t="shared" si="1"/>
        <v>0</v>
      </c>
    </row>
    <row r="139">
      <c r="E139" s="20"/>
      <c r="G139" s="20"/>
      <c r="H139" s="213" t="str">
        <f t="array" ref="H139">IFNA(XLOOKUP($D139,Cards!$A:$A,Cards!C:C),"")</f>
        <v/>
      </c>
      <c r="I139" s="213" t="str">
        <f t="array" ref="I139">IFNA(XLOOKUP($D139,Cards!$A:$A,Cards!B:B),"")</f>
        <v/>
      </c>
      <c r="J139" s="213" t="str">
        <f t="array" ref="J139">IFNA(XLOOKUP($D139,Cards!$A:$A,Cards!D:D),"")</f>
        <v/>
      </c>
      <c r="K139" s="213" t="str">
        <f t="array" ref="K139">IFNA(XLOOKUP($D139,Cards!$A:$A,Cards!E:E),"")</f>
        <v/>
      </c>
      <c r="L139" s="214" t="str">
        <f t="array" ref="L139">IFNA(XLOOKUP($D139,Cards!$A:$A,Cards!G:G),"")</f>
        <v/>
      </c>
      <c r="M139" s="214" t="str">
        <f t="array" ref="M139">IFNA(XLOOKUP($D139,Cards!$A:$A,Cards!H:H),"")</f>
        <v/>
      </c>
      <c r="N139" s="214" t="str">
        <f t="array" ref="N139">IFNA(XLOOKUP($D139,Cards!$A:$A,Cards!I:I),"")</f>
        <v/>
      </c>
      <c r="O139" s="215">
        <f t="shared" si="1"/>
        <v>0</v>
      </c>
    </row>
    <row r="140">
      <c r="E140" s="20"/>
      <c r="G140" s="20"/>
      <c r="H140" s="213" t="str">
        <f t="array" ref="H140">IFNA(XLOOKUP($D140,Cards!$A:$A,Cards!C:C),"")</f>
        <v/>
      </c>
      <c r="I140" s="213" t="str">
        <f t="array" ref="I140">IFNA(XLOOKUP($D140,Cards!$A:$A,Cards!B:B),"")</f>
        <v/>
      </c>
      <c r="J140" s="213" t="str">
        <f t="array" ref="J140">IFNA(XLOOKUP($D140,Cards!$A:$A,Cards!D:D),"")</f>
        <v/>
      </c>
      <c r="K140" s="213" t="str">
        <f t="array" ref="K140">IFNA(XLOOKUP($D140,Cards!$A:$A,Cards!E:E),"")</f>
        <v/>
      </c>
      <c r="L140" s="214" t="str">
        <f t="array" ref="L140">IFNA(XLOOKUP($D140,Cards!$A:$A,Cards!G:G),"")</f>
        <v/>
      </c>
      <c r="M140" s="214" t="str">
        <f t="array" ref="M140">IFNA(XLOOKUP($D140,Cards!$A:$A,Cards!H:H),"")</f>
        <v/>
      </c>
      <c r="N140" s="214" t="str">
        <f t="array" ref="N140">IFNA(XLOOKUP($D140,Cards!$A:$A,Cards!I:I),"")</f>
        <v/>
      </c>
      <c r="O140" s="215">
        <f t="shared" si="1"/>
        <v>0</v>
      </c>
    </row>
    <row r="141">
      <c r="E141" s="20"/>
      <c r="G141" s="20"/>
      <c r="H141" s="213" t="str">
        <f t="array" ref="H141">IFNA(XLOOKUP($D141,Cards!$A:$A,Cards!C:C),"")</f>
        <v/>
      </c>
      <c r="I141" s="213" t="str">
        <f t="array" ref="I141">IFNA(XLOOKUP($D141,Cards!$A:$A,Cards!B:B),"")</f>
        <v/>
      </c>
      <c r="J141" s="213" t="str">
        <f t="array" ref="J141">IFNA(XLOOKUP($D141,Cards!$A:$A,Cards!D:D),"")</f>
        <v/>
      </c>
      <c r="K141" s="213" t="str">
        <f t="array" ref="K141">IFNA(XLOOKUP($D141,Cards!$A:$A,Cards!E:E),"")</f>
        <v/>
      </c>
      <c r="L141" s="214" t="str">
        <f t="array" ref="L141">IFNA(XLOOKUP($D141,Cards!$A:$A,Cards!G:G),"")</f>
        <v/>
      </c>
      <c r="M141" s="214" t="str">
        <f t="array" ref="M141">IFNA(XLOOKUP($D141,Cards!$A:$A,Cards!H:H),"")</f>
        <v/>
      </c>
      <c r="N141" s="214" t="str">
        <f t="array" ref="N141">IFNA(XLOOKUP($D141,Cards!$A:$A,Cards!I:I),"")</f>
        <v/>
      </c>
      <c r="O141" s="215">
        <f t="shared" si="1"/>
        <v>0</v>
      </c>
    </row>
    <row r="142">
      <c r="E142" s="20"/>
      <c r="G142" s="20"/>
      <c r="H142" s="213" t="str">
        <f t="array" ref="H142">IFNA(XLOOKUP($D142,Cards!$A:$A,Cards!C:C),"")</f>
        <v/>
      </c>
      <c r="I142" s="213" t="str">
        <f t="array" ref="I142">IFNA(XLOOKUP($D142,Cards!$A:$A,Cards!B:B),"")</f>
        <v/>
      </c>
      <c r="J142" s="213" t="str">
        <f t="array" ref="J142">IFNA(XLOOKUP($D142,Cards!$A:$A,Cards!D:D),"")</f>
        <v/>
      </c>
      <c r="K142" s="213" t="str">
        <f t="array" ref="K142">IFNA(XLOOKUP($D142,Cards!$A:$A,Cards!E:E),"")</f>
        <v/>
      </c>
      <c r="L142" s="214" t="str">
        <f t="array" ref="L142">IFNA(XLOOKUP($D142,Cards!$A:$A,Cards!G:G),"")</f>
        <v/>
      </c>
      <c r="M142" s="214" t="str">
        <f t="array" ref="M142">IFNA(XLOOKUP($D142,Cards!$A:$A,Cards!H:H),"")</f>
        <v/>
      </c>
      <c r="N142" s="214" t="str">
        <f t="array" ref="N142">IFNA(XLOOKUP($D142,Cards!$A:$A,Cards!I:I),"")</f>
        <v/>
      </c>
      <c r="O142" s="215">
        <f t="shared" si="1"/>
        <v>0</v>
      </c>
    </row>
    <row r="143">
      <c r="E143" s="20"/>
      <c r="G143" s="20"/>
      <c r="H143" s="213" t="str">
        <f t="array" ref="H143">IFNA(XLOOKUP($D143,Cards!$A:$A,Cards!C:C),"")</f>
        <v/>
      </c>
      <c r="I143" s="213" t="str">
        <f t="array" ref="I143">IFNA(XLOOKUP($D143,Cards!$A:$A,Cards!B:B),"")</f>
        <v/>
      </c>
      <c r="J143" s="213" t="str">
        <f t="array" ref="J143">IFNA(XLOOKUP($D143,Cards!$A:$A,Cards!D:D),"")</f>
        <v/>
      </c>
      <c r="K143" s="213" t="str">
        <f t="array" ref="K143">IFNA(XLOOKUP($D143,Cards!$A:$A,Cards!E:E),"")</f>
        <v/>
      </c>
      <c r="L143" s="214" t="str">
        <f t="array" ref="L143">IFNA(XLOOKUP($D143,Cards!$A:$A,Cards!G:G),"")</f>
        <v/>
      </c>
      <c r="M143" s="214" t="str">
        <f t="array" ref="M143">IFNA(XLOOKUP($D143,Cards!$A:$A,Cards!H:H),"")</f>
        <v/>
      </c>
      <c r="N143" s="214" t="str">
        <f t="array" ref="N143">IFNA(XLOOKUP($D143,Cards!$A:$A,Cards!I:I),"")</f>
        <v/>
      </c>
      <c r="O143" s="215">
        <f t="shared" si="1"/>
        <v>0</v>
      </c>
    </row>
    <row r="144">
      <c r="E144" s="20"/>
      <c r="G144" s="20"/>
      <c r="H144" s="213" t="str">
        <f t="array" ref="H144">IFNA(XLOOKUP($D144,Cards!$A:$A,Cards!C:C),"")</f>
        <v/>
      </c>
      <c r="I144" s="213" t="str">
        <f t="array" ref="I144">IFNA(XLOOKUP($D144,Cards!$A:$A,Cards!B:B),"")</f>
        <v/>
      </c>
      <c r="J144" s="213" t="str">
        <f t="array" ref="J144">IFNA(XLOOKUP($D144,Cards!$A:$A,Cards!D:D),"")</f>
        <v/>
      </c>
      <c r="K144" s="213" t="str">
        <f t="array" ref="K144">IFNA(XLOOKUP($D144,Cards!$A:$A,Cards!E:E),"")</f>
        <v/>
      </c>
      <c r="L144" s="214" t="str">
        <f t="array" ref="L144">IFNA(XLOOKUP($D144,Cards!$A:$A,Cards!G:G),"")</f>
        <v/>
      </c>
      <c r="M144" s="214" t="str">
        <f t="array" ref="M144">IFNA(XLOOKUP($D144,Cards!$A:$A,Cards!H:H),"")</f>
        <v/>
      </c>
      <c r="N144" s="214" t="str">
        <f t="array" ref="N144">IFNA(XLOOKUP($D144,Cards!$A:$A,Cards!I:I),"")</f>
        <v/>
      </c>
      <c r="O144" s="215">
        <f t="shared" si="1"/>
        <v>0</v>
      </c>
    </row>
    <row r="145">
      <c r="E145" s="20"/>
      <c r="G145" s="20"/>
      <c r="H145" s="213" t="str">
        <f t="array" ref="H145">IFNA(XLOOKUP($D145,Cards!$A:$A,Cards!C:C),"")</f>
        <v/>
      </c>
      <c r="I145" s="213" t="str">
        <f t="array" ref="I145">IFNA(XLOOKUP($D145,Cards!$A:$A,Cards!B:B),"")</f>
        <v/>
      </c>
      <c r="J145" s="213" t="str">
        <f t="array" ref="J145">IFNA(XLOOKUP($D145,Cards!$A:$A,Cards!D:D),"")</f>
        <v/>
      </c>
      <c r="K145" s="213" t="str">
        <f t="array" ref="K145">IFNA(XLOOKUP($D145,Cards!$A:$A,Cards!E:E),"")</f>
        <v/>
      </c>
      <c r="L145" s="214" t="str">
        <f t="array" ref="L145">IFNA(XLOOKUP($D145,Cards!$A:$A,Cards!G:G),"")</f>
        <v/>
      </c>
      <c r="M145" s="214" t="str">
        <f t="array" ref="M145">IFNA(XLOOKUP($D145,Cards!$A:$A,Cards!H:H),"")</f>
        <v/>
      </c>
      <c r="N145" s="214" t="str">
        <f t="array" ref="N145">IFNA(XLOOKUP($D145,Cards!$A:$A,Cards!I:I),"")</f>
        <v/>
      </c>
      <c r="O145" s="215">
        <f t="shared" si="1"/>
        <v>0</v>
      </c>
    </row>
    <row r="146">
      <c r="E146" s="20"/>
      <c r="G146" s="20"/>
      <c r="H146" s="213" t="str">
        <f t="array" ref="H146">IFNA(XLOOKUP($D146,Cards!$A:$A,Cards!C:C),"")</f>
        <v/>
      </c>
      <c r="I146" s="213" t="str">
        <f t="array" ref="I146">IFNA(XLOOKUP($D146,Cards!$A:$A,Cards!B:B),"")</f>
        <v/>
      </c>
      <c r="J146" s="213" t="str">
        <f t="array" ref="J146">IFNA(XLOOKUP($D146,Cards!$A:$A,Cards!D:D),"")</f>
        <v/>
      </c>
      <c r="K146" s="213" t="str">
        <f t="array" ref="K146">IFNA(XLOOKUP($D146,Cards!$A:$A,Cards!E:E),"")</f>
        <v/>
      </c>
      <c r="L146" s="214" t="str">
        <f t="array" ref="L146">IFNA(XLOOKUP($D146,Cards!$A:$A,Cards!G:G),"")</f>
        <v/>
      </c>
      <c r="M146" s="214" t="str">
        <f t="array" ref="M146">IFNA(XLOOKUP($D146,Cards!$A:$A,Cards!H:H),"")</f>
        <v/>
      </c>
      <c r="N146" s="214" t="str">
        <f t="array" ref="N146">IFNA(XLOOKUP($D146,Cards!$A:$A,Cards!I:I),"")</f>
        <v/>
      </c>
      <c r="O146" s="215">
        <f t="shared" si="1"/>
        <v>0</v>
      </c>
    </row>
    <row r="147">
      <c r="E147" s="20"/>
      <c r="G147" s="20"/>
      <c r="H147" s="213" t="str">
        <f t="array" ref="H147">IFNA(XLOOKUP($D147,Cards!$A:$A,Cards!C:C),"")</f>
        <v/>
      </c>
      <c r="I147" s="213" t="str">
        <f t="array" ref="I147">IFNA(XLOOKUP($D147,Cards!$A:$A,Cards!B:B),"")</f>
        <v/>
      </c>
      <c r="J147" s="213" t="str">
        <f t="array" ref="J147">IFNA(XLOOKUP($D147,Cards!$A:$A,Cards!D:D),"")</f>
        <v/>
      </c>
      <c r="K147" s="213" t="str">
        <f t="array" ref="K147">IFNA(XLOOKUP($D147,Cards!$A:$A,Cards!E:E),"")</f>
        <v/>
      </c>
      <c r="L147" s="214" t="str">
        <f t="array" ref="L147">IFNA(XLOOKUP($D147,Cards!$A:$A,Cards!G:G),"")</f>
        <v/>
      </c>
      <c r="M147" s="214" t="str">
        <f t="array" ref="M147">IFNA(XLOOKUP($D147,Cards!$A:$A,Cards!H:H),"")</f>
        <v/>
      </c>
      <c r="N147" s="214" t="str">
        <f t="array" ref="N147">IFNA(XLOOKUP($D147,Cards!$A:$A,Cards!I:I),"")</f>
        <v/>
      </c>
      <c r="O147" s="215">
        <f t="shared" si="1"/>
        <v>0</v>
      </c>
    </row>
    <row r="148">
      <c r="E148" s="20"/>
      <c r="G148" s="20"/>
      <c r="H148" s="213" t="str">
        <f t="array" ref="H148">IFNA(XLOOKUP($D148,Cards!$A:$A,Cards!C:C),"")</f>
        <v/>
      </c>
      <c r="I148" s="213" t="str">
        <f t="array" ref="I148">IFNA(XLOOKUP($D148,Cards!$A:$A,Cards!B:B),"")</f>
        <v/>
      </c>
      <c r="J148" s="213" t="str">
        <f t="array" ref="J148">IFNA(XLOOKUP($D148,Cards!$A:$A,Cards!D:D),"")</f>
        <v/>
      </c>
      <c r="K148" s="213" t="str">
        <f t="array" ref="K148">IFNA(XLOOKUP($D148,Cards!$A:$A,Cards!E:E),"")</f>
        <v/>
      </c>
      <c r="L148" s="214" t="str">
        <f t="array" ref="L148">IFNA(XLOOKUP($D148,Cards!$A:$A,Cards!G:G),"")</f>
        <v/>
      </c>
      <c r="M148" s="214" t="str">
        <f t="array" ref="M148">IFNA(XLOOKUP($D148,Cards!$A:$A,Cards!H:H),"")</f>
        <v/>
      </c>
      <c r="N148" s="214" t="str">
        <f t="array" ref="N148">IFNA(XLOOKUP($D148,Cards!$A:$A,Cards!I:I),"")</f>
        <v/>
      </c>
      <c r="O148" s="215">
        <f t="shared" si="1"/>
        <v>0</v>
      </c>
    </row>
    <row r="149">
      <c r="E149" s="20"/>
      <c r="G149" s="20"/>
      <c r="H149" s="213" t="str">
        <f t="array" ref="H149">IFNA(XLOOKUP($D149,Cards!$A:$A,Cards!C:C),"")</f>
        <v/>
      </c>
      <c r="I149" s="213" t="str">
        <f t="array" ref="I149">IFNA(XLOOKUP($D149,Cards!$A:$A,Cards!B:B),"")</f>
        <v/>
      </c>
      <c r="J149" s="213" t="str">
        <f t="array" ref="J149">IFNA(XLOOKUP($D149,Cards!$A:$A,Cards!D:D),"")</f>
        <v/>
      </c>
      <c r="K149" s="213" t="str">
        <f t="array" ref="K149">IFNA(XLOOKUP($D149,Cards!$A:$A,Cards!E:E),"")</f>
        <v/>
      </c>
      <c r="L149" s="214" t="str">
        <f t="array" ref="L149">IFNA(XLOOKUP($D149,Cards!$A:$A,Cards!G:G),"")</f>
        <v/>
      </c>
      <c r="M149" s="214" t="str">
        <f t="array" ref="M149">IFNA(XLOOKUP($D149,Cards!$A:$A,Cards!H:H),"")</f>
        <v/>
      </c>
      <c r="N149" s="214" t="str">
        <f t="array" ref="N149">IFNA(XLOOKUP($D149,Cards!$A:$A,Cards!I:I),"")</f>
        <v/>
      </c>
      <c r="O149" s="215">
        <f t="shared" si="1"/>
        <v>0</v>
      </c>
    </row>
    <row r="150">
      <c r="E150" s="20"/>
      <c r="G150" s="20"/>
      <c r="H150" s="213" t="str">
        <f t="array" ref="H150">IFNA(XLOOKUP($D150,Cards!$A:$A,Cards!C:C),"")</f>
        <v/>
      </c>
      <c r="I150" s="213" t="str">
        <f t="array" ref="I150">IFNA(XLOOKUP($D150,Cards!$A:$A,Cards!B:B),"")</f>
        <v/>
      </c>
      <c r="J150" s="213" t="str">
        <f t="array" ref="J150">IFNA(XLOOKUP($D150,Cards!$A:$A,Cards!D:D),"")</f>
        <v/>
      </c>
      <c r="K150" s="213" t="str">
        <f t="array" ref="K150">IFNA(XLOOKUP($D150,Cards!$A:$A,Cards!E:E),"")</f>
        <v/>
      </c>
      <c r="L150" s="214" t="str">
        <f t="array" ref="L150">IFNA(XLOOKUP($D150,Cards!$A:$A,Cards!G:G),"")</f>
        <v/>
      </c>
      <c r="M150" s="214" t="str">
        <f t="array" ref="M150">IFNA(XLOOKUP($D150,Cards!$A:$A,Cards!H:H),"")</f>
        <v/>
      </c>
      <c r="N150" s="214" t="str">
        <f t="array" ref="N150">IFNA(XLOOKUP($D150,Cards!$A:$A,Cards!I:I),"")</f>
        <v/>
      </c>
      <c r="O150" s="215">
        <f t="shared" si="1"/>
        <v>0</v>
      </c>
    </row>
    <row r="151">
      <c r="E151" s="20"/>
      <c r="G151" s="20"/>
      <c r="H151" s="213" t="str">
        <f t="array" ref="H151">IFNA(XLOOKUP($D151,Cards!$A:$A,Cards!C:C),"")</f>
        <v/>
      </c>
      <c r="I151" s="213" t="str">
        <f t="array" ref="I151">IFNA(XLOOKUP($D151,Cards!$A:$A,Cards!B:B),"")</f>
        <v/>
      </c>
      <c r="J151" s="213" t="str">
        <f t="array" ref="J151">IFNA(XLOOKUP($D151,Cards!$A:$A,Cards!D:D),"")</f>
        <v/>
      </c>
      <c r="K151" s="213" t="str">
        <f t="array" ref="K151">IFNA(XLOOKUP($D151,Cards!$A:$A,Cards!E:E),"")</f>
        <v/>
      </c>
      <c r="L151" s="214" t="str">
        <f t="array" ref="L151">IFNA(XLOOKUP($D151,Cards!$A:$A,Cards!G:G),"")</f>
        <v/>
      </c>
      <c r="M151" s="214" t="str">
        <f t="array" ref="M151">IFNA(XLOOKUP($D151,Cards!$A:$A,Cards!H:H),"")</f>
        <v/>
      </c>
      <c r="N151" s="214" t="str">
        <f t="array" ref="N151">IFNA(XLOOKUP($D151,Cards!$A:$A,Cards!I:I),"")</f>
        <v/>
      </c>
      <c r="O151" s="215">
        <f t="shared" si="1"/>
        <v>0</v>
      </c>
    </row>
    <row r="152">
      <c r="E152" s="20"/>
      <c r="G152" s="20"/>
      <c r="H152" s="213" t="str">
        <f t="array" ref="H152">IFNA(XLOOKUP($D152,Cards!$A:$A,Cards!C:C),"")</f>
        <v/>
      </c>
      <c r="I152" s="213" t="str">
        <f t="array" ref="I152">IFNA(XLOOKUP($D152,Cards!$A:$A,Cards!B:B),"")</f>
        <v/>
      </c>
      <c r="J152" s="213" t="str">
        <f t="array" ref="J152">IFNA(XLOOKUP($D152,Cards!$A:$A,Cards!D:D),"")</f>
        <v/>
      </c>
      <c r="K152" s="213" t="str">
        <f t="array" ref="K152">IFNA(XLOOKUP($D152,Cards!$A:$A,Cards!E:E),"")</f>
        <v/>
      </c>
      <c r="L152" s="214" t="str">
        <f t="array" ref="L152">IFNA(XLOOKUP($D152,Cards!$A:$A,Cards!G:G),"")</f>
        <v/>
      </c>
      <c r="M152" s="214" t="str">
        <f t="array" ref="M152">IFNA(XLOOKUP($D152,Cards!$A:$A,Cards!H:H),"")</f>
        <v/>
      </c>
      <c r="N152" s="214" t="str">
        <f t="array" ref="N152">IFNA(XLOOKUP($D152,Cards!$A:$A,Cards!I:I),"")</f>
        <v/>
      </c>
      <c r="O152" s="215">
        <f t="shared" si="1"/>
        <v>0</v>
      </c>
    </row>
    <row r="153">
      <c r="E153" s="20"/>
      <c r="G153" s="20"/>
      <c r="H153" s="213" t="str">
        <f t="array" ref="H153">IFNA(XLOOKUP($D153,Cards!$A:$A,Cards!C:C),"")</f>
        <v/>
      </c>
      <c r="I153" s="213" t="str">
        <f t="array" ref="I153">IFNA(XLOOKUP($D153,Cards!$A:$A,Cards!B:B),"")</f>
        <v/>
      </c>
      <c r="J153" s="213" t="str">
        <f t="array" ref="J153">IFNA(XLOOKUP($D153,Cards!$A:$A,Cards!D:D),"")</f>
        <v/>
      </c>
      <c r="K153" s="213" t="str">
        <f t="array" ref="K153">IFNA(XLOOKUP($D153,Cards!$A:$A,Cards!E:E),"")</f>
        <v/>
      </c>
      <c r="L153" s="214" t="str">
        <f t="array" ref="L153">IFNA(XLOOKUP($D153,Cards!$A:$A,Cards!G:G),"")</f>
        <v/>
      </c>
      <c r="M153" s="214" t="str">
        <f t="array" ref="M153">IFNA(XLOOKUP($D153,Cards!$A:$A,Cards!H:H),"")</f>
        <v/>
      </c>
      <c r="N153" s="214" t="str">
        <f t="array" ref="N153">IFNA(XLOOKUP($D153,Cards!$A:$A,Cards!I:I),"")</f>
        <v/>
      </c>
      <c r="O153" s="215">
        <f t="shared" si="1"/>
        <v>0</v>
      </c>
    </row>
    <row r="154">
      <c r="E154" s="20"/>
      <c r="G154" s="20"/>
      <c r="H154" s="213" t="str">
        <f t="array" ref="H154">IFNA(XLOOKUP($D154,Cards!$A:$A,Cards!C:C),"")</f>
        <v/>
      </c>
      <c r="I154" s="213" t="str">
        <f t="array" ref="I154">IFNA(XLOOKUP($D154,Cards!$A:$A,Cards!B:B),"")</f>
        <v/>
      </c>
      <c r="J154" s="213" t="str">
        <f t="array" ref="J154">IFNA(XLOOKUP($D154,Cards!$A:$A,Cards!D:D),"")</f>
        <v/>
      </c>
      <c r="K154" s="213" t="str">
        <f t="array" ref="K154">IFNA(XLOOKUP($D154,Cards!$A:$A,Cards!E:E),"")</f>
        <v/>
      </c>
      <c r="L154" s="214" t="str">
        <f t="array" ref="L154">IFNA(XLOOKUP($D154,Cards!$A:$A,Cards!G:G),"")</f>
        <v/>
      </c>
      <c r="M154" s="214" t="str">
        <f t="array" ref="M154">IFNA(XLOOKUP($D154,Cards!$A:$A,Cards!H:H),"")</f>
        <v/>
      </c>
      <c r="N154" s="214" t="str">
        <f t="array" ref="N154">IFNA(XLOOKUP($D154,Cards!$A:$A,Cards!I:I),"")</f>
        <v/>
      </c>
      <c r="O154" s="215">
        <f t="shared" si="1"/>
        <v>0</v>
      </c>
    </row>
    <row r="155">
      <c r="E155" s="20"/>
      <c r="G155" s="20"/>
      <c r="H155" s="213" t="str">
        <f t="array" ref="H155">IFNA(XLOOKUP($D155,Cards!$A:$A,Cards!C:C),"")</f>
        <v/>
      </c>
      <c r="I155" s="213" t="str">
        <f t="array" ref="I155">IFNA(XLOOKUP($D155,Cards!$A:$A,Cards!B:B),"")</f>
        <v/>
      </c>
      <c r="J155" s="213" t="str">
        <f t="array" ref="J155">IFNA(XLOOKUP($D155,Cards!$A:$A,Cards!D:D),"")</f>
        <v/>
      </c>
      <c r="K155" s="213" t="str">
        <f t="array" ref="K155">IFNA(XLOOKUP($D155,Cards!$A:$A,Cards!E:E),"")</f>
        <v/>
      </c>
      <c r="L155" s="214" t="str">
        <f t="array" ref="L155">IFNA(XLOOKUP($D155,Cards!$A:$A,Cards!G:G),"")</f>
        <v/>
      </c>
      <c r="M155" s="214" t="str">
        <f t="array" ref="M155">IFNA(XLOOKUP($D155,Cards!$A:$A,Cards!H:H),"")</f>
        <v/>
      </c>
      <c r="N155" s="214" t="str">
        <f t="array" ref="N155">IFNA(XLOOKUP($D155,Cards!$A:$A,Cards!I:I),"")</f>
        <v/>
      </c>
      <c r="O155" s="215">
        <f t="shared" si="1"/>
        <v>0</v>
      </c>
    </row>
    <row r="156">
      <c r="E156" s="20"/>
      <c r="G156" s="20"/>
      <c r="H156" s="213" t="str">
        <f t="array" ref="H156">IFNA(XLOOKUP($D156,Cards!$A:$A,Cards!C:C),"")</f>
        <v/>
      </c>
      <c r="I156" s="213" t="str">
        <f t="array" ref="I156">IFNA(XLOOKUP($D156,Cards!$A:$A,Cards!B:B),"")</f>
        <v/>
      </c>
      <c r="J156" s="213" t="str">
        <f t="array" ref="J156">IFNA(XLOOKUP($D156,Cards!$A:$A,Cards!D:D),"")</f>
        <v/>
      </c>
      <c r="K156" s="213" t="str">
        <f t="array" ref="K156">IFNA(XLOOKUP($D156,Cards!$A:$A,Cards!E:E),"")</f>
        <v/>
      </c>
      <c r="L156" s="214" t="str">
        <f t="array" ref="L156">IFNA(XLOOKUP($D156,Cards!$A:$A,Cards!G:G),"")</f>
        <v/>
      </c>
      <c r="M156" s="214" t="str">
        <f t="array" ref="M156">IFNA(XLOOKUP($D156,Cards!$A:$A,Cards!H:H),"")</f>
        <v/>
      </c>
      <c r="N156" s="214" t="str">
        <f t="array" ref="N156">IFNA(XLOOKUP($D156,Cards!$A:$A,Cards!I:I),"")</f>
        <v/>
      </c>
      <c r="O156" s="215">
        <f t="shared" si="1"/>
        <v>0</v>
      </c>
    </row>
    <row r="157">
      <c r="E157" s="20"/>
      <c r="G157" s="20"/>
      <c r="H157" s="213" t="str">
        <f t="array" ref="H157">IFNA(XLOOKUP($D157,Cards!$A:$A,Cards!C:C),"")</f>
        <v/>
      </c>
      <c r="I157" s="213" t="str">
        <f t="array" ref="I157">IFNA(XLOOKUP($D157,Cards!$A:$A,Cards!B:B),"")</f>
        <v/>
      </c>
      <c r="J157" s="213" t="str">
        <f t="array" ref="J157">IFNA(XLOOKUP($D157,Cards!$A:$A,Cards!D:D),"")</f>
        <v/>
      </c>
      <c r="K157" s="213" t="str">
        <f t="array" ref="K157">IFNA(XLOOKUP($D157,Cards!$A:$A,Cards!E:E),"")</f>
        <v/>
      </c>
      <c r="L157" s="214" t="str">
        <f t="array" ref="L157">IFNA(XLOOKUP($D157,Cards!$A:$A,Cards!G:G),"")</f>
        <v/>
      </c>
      <c r="M157" s="214" t="str">
        <f t="array" ref="M157">IFNA(XLOOKUP($D157,Cards!$A:$A,Cards!H:H),"")</f>
        <v/>
      </c>
      <c r="N157" s="214" t="str">
        <f t="array" ref="N157">IFNA(XLOOKUP($D157,Cards!$A:$A,Cards!I:I),"")</f>
        <v/>
      </c>
      <c r="O157" s="215">
        <f t="shared" si="1"/>
        <v>0</v>
      </c>
    </row>
    <row r="158">
      <c r="E158" s="20"/>
      <c r="G158" s="20"/>
      <c r="H158" s="213" t="str">
        <f t="array" ref="H158">IFNA(XLOOKUP($D158,Cards!$A:$A,Cards!C:C),"")</f>
        <v/>
      </c>
      <c r="I158" s="213" t="str">
        <f t="array" ref="I158">IFNA(XLOOKUP($D158,Cards!$A:$A,Cards!B:B),"")</f>
        <v/>
      </c>
      <c r="J158" s="213" t="str">
        <f t="array" ref="J158">IFNA(XLOOKUP($D158,Cards!$A:$A,Cards!D:D),"")</f>
        <v/>
      </c>
      <c r="K158" s="213" t="str">
        <f t="array" ref="K158">IFNA(XLOOKUP($D158,Cards!$A:$A,Cards!E:E),"")</f>
        <v/>
      </c>
      <c r="L158" s="214" t="str">
        <f t="array" ref="L158">IFNA(XLOOKUP($D158,Cards!$A:$A,Cards!G:G),"")</f>
        <v/>
      </c>
      <c r="M158" s="214" t="str">
        <f t="array" ref="M158">IFNA(XLOOKUP($D158,Cards!$A:$A,Cards!H:H),"")</f>
        <v/>
      </c>
      <c r="N158" s="214" t="str">
        <f t="array" ref="N158">IFNA(XLOOKUP($D158,Cards!$A:$A,Cards!I:I),"")</f>
        <v/>
      </c>
      <c r="O158" s="215">
        <f t="shared" si="1"/>
        <v>0</v>
      </c>
    </row>
    <row r="159">
      <c r="E159" s="20"/>
      <c r="G159" s="20"/>
      <c r="H159" s="213" t="str">
        <f t="array" ref="H159">IFNA(XLOOKUP($D159,Cards!$A:$A,Cards!C:C),"")</f>
        <v/>
      </c>
      <c r="I159" s="213" t="str">
        <f t="array" ref="I159">IFNA(XLOOKUP($D159,Cards!$A:$A,Cards!B:B),"")</f>
        <v/>
      </c>
      <c r="J159" s="213" t="str">
        <f t="array" ref="J159">IFNA(XLOOKUP($D159,Cards!$A:$A,Cards!D:D),"")</f>
        <v/>
      </c>
      <c r="K159" s="213" t="str">
        <f t="array" ref="K159">IFNA(XLOOKUP($D159,Cards!$A:$A,Cards!E:E),"")</f>
        <v/>
      </c>
      <c r="L159" s="214" t="str">
        <f t="array" ref="L159">IFNA(XLOOKUP($D159,Cards!$A:$A,Cards!G:G),"")</f>
        <v/>
      </c>
      <c r="M159" s="214" t="str">
        <f t="array" ref="M159">IFNA(XLOOKUP($D159,Cards!$A:$A,Cards!H:H),"")</f>
        <v/>
      </c>
      <c r="N159" s="214" t="str">
        <f t="array" ref="N159">IFNA(XLOOKUP($D159,Cards!$A:$A,Cards!I:I),"")</f>
        <v/>
      </c>
      <c r="O159" s="215">
        <f t="shared" si="1"/>
        <v>0</v>
      </c>
    </row>
    <row r="160">
      <c r="E160" s="20"/>
      <c r="G160" s="20"/>
      <c r="H160" s="213" t="str">
        <f t="array" ref="H160">IFNA(XLOOKUP($D160,Cards!$A:$A,Cards!C:C),"")</f>
        <v/>
      </c>
      <c r="I160" s="213" t="str">
        <f t="array" ref="I160">IFNA(XLOOKUP($D160,Cards!$A:$A,Cards!B:B),"")</f>
        <v/>
      </c>
      <c r="J160" s="213" t="str">
        <f t="array" ref="J160">IFNA(XLOOKUP($D160,Cards!$A:$A,Cards!D:D),"")</f>
        <v/>
      </c>
      <c r="K160" s="213" t="str">
        <f t="array" ref="K160">IFNA(XLOOKUP($D160,Cards!$A:$A,Cards!E:E),"")</f>
        <v/>
      </c>
      <c r="L160" s="214" t="str">
        <f t="array" ref="L160">IFNA(XLOOKUP($D160,Cards!$A:$A,Cards!G:G),"")</f>
        <v/>
      </c>
      <c r="M160" s="214" t="str">
        <f t="array" ref="M160">IFNA(XLOOKUP($D160,Cards!$A:$A,Cards!H:H),"")</f>
        <v/>
      </c>
      <c r="N160" s="214" t="str">
        <f t="array" ref="N160">IFNA(XLOOKUP($D160,Cards!$A:$A,Cards!I:I),"")</f>
        <v/>
      </c>
      <c r="O160" s="215">
        <f t="shared" si="1"/>
        <v>0</v>
      </c>
    </row>
    <row r="161">
      <c r="E161" s="20"/>
      <c r="G161" s="20"/>
      <c r="H161" s="213" t="str">
        <f t="array" ref="H161">IFNA(XLOOKUP($D161,Cards!$A:$A,Cards!C:C),"")</f>
        <v/>
      </c>
      <c r="I161" s="213" t="str">
        <f t="array" ref="I161">IFNA(XLOOKUP($D161,Cards!$A:$A,Cards!B:B),"")</f>
        <v/>
      </c>
      <c r="J161" s="213" t="str">
        <f t="array" ref="J161">IFNA(XLOOKUP($D161,Cards!$A:$A,Cards!D:D),"")</f>
        <v/>
      </c>
      <c r="K161" s="213" t="str">
        <f t="array" ref="K161">IFNA(XLOOKUP($D161,Cards!$A:$A,Cards!E:E),"")</f>
        <v/>
      </c>
      <c r="L161" s="214" t="str">
        <f t="array" ref="L161">IFNA(XLOOKUP($D161,Cards!$A:$A,Cards!G:G),"")</f>
        <v/>
      </c>
      <c r="M161" s="214" t="str">
        <f t="array" ref="M161">IFNA(XLOOKUP($D161,Cards!$A:$A,Cards!H:H),"")</f>
        <v/>
      </c>
      <c r="N161" s="214" t="str">
        <f t="array" ref="N161">IFNA(XLOOKUP($D161,Cards!$A:$A,Cards!I:I),"")</f>
        <v/>
      </c>
      <c r="O161" s="215">
        <f t="shared" si="1"/>
        <v>0</v>
      </c>
    </row>
    <row r="162">
      <c r="E162" s="20"/>
      <c r="G162" s="20"/>
      <c r="H162" s="213" t="str">
        <f t="array" ref="H162">IFNA(XLOOKUP($D162,Cards!$A:$A,Cards!C:C),"")</f>
        <v/>
      </c>
      <c r="I162" s="213" t="str">
        <f t="array" ref="I162">IFNA(XLOOKUP($D162,Cards!$A:$A,Cards!B:B),"")</f>
        <v/>
      </c>
      <c r="J162" s="213" t="str">
        <f t="array" ref="J162">IFNA(XLOOKUP($D162,Cards!$A:$A,Cards!D:D),"")</f>
        <v/>
      </c>
      <c r="K162" s="213" t="str">
        <f t="array" ref="K162">IFNA(XLOOKUP($D162,Cards!$A:$A,Cards!E:E),"")</f>
        <v/>
      </c>
      <c r="L162" s="214" t="str">
        <f t="array" ref="L162">IFNA(XLOOKUP($D162,Cards!$A:$A,Cards!G:G),"")</f>
        <v/>
      </c>
      <c r="M162" s="214" t="str">
        <f t="array" ref="M162">IFNA(XLOOKUP($D162,Cards!$A:$A,Cards!H:H),"")</f>
        <v/>
      </c>
      <c r="N162" s="214" t="str">
        <f t="array" ref="N162">IFNA(XLOOKUP($D162,Cards!$A:$A,Cards!I:I),"")</f>
        <v/>
      </c>
      <c r="O162" s="215">
        <f t="shared" si="1"/>
        <v>0</v>
      </c>
    </row>
    <row r="163">
      <c r="E163" s="20"/>
      <c r="G163" s="20"/>
      <c r="H163" s="213" t="str">
        <f t="array" ref="H163">IFNA(XLOOKUP($D163,Cards!$A:$A,Cards!C:C),"")</f>
        <v/>
      </c>
      <c r="I163" s="213" t="str">
        <f t="array" ref="I163">IFNA(XLOOKUP($D163,Cards!$A:$A,Cards!B:B),"")</f>
        <v/>
      </c>
      <c r="J163" s="213" t="str">
        <f t="array" ref="J163">IFNA(XLOOKUP($D163,Cards!$A:$A,Cards!D:D),"")</f>
        <v/>
      </c>
      <c r="K163" s="213" t="str">
        <f t="array" ref="K163">IFNA(XLOOKUP($D163,Cards!$A:$A,Cards!E:E),"")</f>
        <v/>
      </c>
      <c r="L163" s="214" t="str">
        <f t="array" ref="L163">IFNA(XLOOKUP($D163,Cards!$A:$A,Cards!G:G),"")</f>
        <v/>
      </c>
      <c r="M163" s="214" t="str">
        <f t="array" ref="M163">IFNA(XLOOKUP($D163,Cards!$A:$A,Cards!H:H),"")</f>
        <v/>
      </c>
      <c r="N163" s="214" t="str">
        <f t="array" ref="N163">IFNA(XLOOKUP($D163,Cards!$A:$A,Cards!I:I),"")</f>
        <v/>
      </c>
      <c r="O163" s="215">
        <f t="shared" si="1"/>
        <v>0</v>
      </c>
    </row>
    <row r="164">
      <c r="E164" s="20"/>
      <c r="G164" s="20"/>
      <c r="H164" s="213" t="str">
        <f t="array" ref="H164">IFNA(XLOOKUP($D164,Cards!$A:$A,Cards!C:C),"")</f>
        <v/>
      </c>
      <c r="I164" s="213" t="str">
        <f t="array" ref="I164">IFNA(XLOOKUP($D164,Cards!$A:$A,Cards!B:B),"")</f>
        <v/>
      </c>
      <c r="J164" s="213" t="str">
        <f t="array" ref="J164">IFNA(XLOOKUP($D164,Cards!$A:$A,Cards!D:D),"")</f>
        <v/>
      </c>
      <c r="K164" s="213" t="str">
        <f t="array" ref="K164">IFNA(XLOOKUP($D164,Cards!$A:$A,Cards!E:E),"")</f>
        <v/>
      </c>
      <c r="L164" s="214" t="str">
        <f t="array" ref="L164">IFNA(XLOOKUP($D164,Cards!$A:$A,Cards!G:G),"")</f>
        <v/>
      </c>
      <c r="M164" s="214" t="str">
        <f t="array" ref="M164">IFNA(XLOOKUP($D164,Cards!$A:$A,Cards!H:H),"")</f>
        <v/>
      </c>
      <c r="N164" s="214" t="str">
        <f t="array" ref="N164">IFNA(XLOOKUP($D164,Cards!$A:$A,Cards!I:I),"")</f>
        <v/>
      </c>
      <c r="O164" s="215">
        <f t="shared" si="1"/>
        <v>0</v>
      </c>
    </row>
    <row r="165">
      <c r="E165" s="20"/>
      <c r="G165" s="20"/>
      <c r="H165" s="213" t="str">
        <f t="array" ref="H165">IFNA(XLOOKUP($D165,Cards!$A:$A,Cards!C:C),"")</f>
        <v/>
      </c>
      <c r="I165" s="213" t="str">
        <f t="array" ref="I165">IFNA(XLOOKUP($D165,Cards!$A:$A,Cards!B:B),"")</f>
        <v/>
      </c>
      <c r="J165" s="213" t="str">
        <f t="array" ref="J165">IFNA(XLOOKUP($D165,Cards!$A:$A,Cards!D:D),"")</f>
        <v/>
      </c>
      <c r="K165" s="213" t="str">
        <f t="array" ref="K165">IFNA(XLOOKUP($D165,Cards!$A:$A,Cards!E:E),"")</f>
        <v/>
      </c>
      <c r="L165" s="214" t="str">
        <f t="array" ref="L165">IFNA(XLOOKUP($D165,Cards!$A:$A,Cards!G:G),"")</f>
        <v/>
      </c>
      <c r="M165" s="214" t="str">
        <f t="array" ref="M165">IFNA(XLOOKUP($D165,Cards!$A:$A,Cards!H:H),"")</f>
        <v/>
      </c>
      <c r="N165" s="214" t="str">
        <f t="array" ref="N165">IFNA(XLOOKUP($D165,Cards!$A:$A,Cards!I:I),"")</f>
        <v/>
      </c>
      <c r="O165" s="215">
        <f t="shared" si="1"/>
        <v>0</v>
      </c>
    </row>
    <row r="166">
      <c r="E166" s="20"/>
      <c r="G166" s="20"/>
      <c r="H166" s="213" t="str">
        <f t="array" ref="H166">IFNA(XLOOKUP($D166,Cards!$A:$A,Cards!C:C),"")</f>
        <v/>
      </c>
      <c r="I166" s="213" t="str">
        <f t="array" ref="I166">IFNA(XLOOKUP($D166,Cards!$A:$A,Cards!B:B),"")</f>
        <v/>
      </c>
      <c r="J166" s="213" t="str">
        <f t="array" ref="J166">IFNA(XLOOKUP($D166,Cards!$A:$A,Cards!D:D),"")</f>
        <v/>
      </c>
      <c r="K166" s="213" t="str">
        <f t="array" ref="K166">IFNA(XLOOKUP($D166,Cards!$A:$A,Cards!E:E),"")</f>
        <v/>
      </c>
      <c r="L166" s="214" t="str">
        <f t="array" ref="L166">IFNA(XLOOKUP($D166,Cards!$A:$A,Cards!G:G),"")</f>
        <v/>
      </c>
      <c r="M166" s="214" t="str">
        <f t="array" ref="M166">IFNA(XLOOKUP($D166,Cards!$A:$A,Cards!H:H),"")</f>
        <v/>
      </c>
      <c r="N166" s="214" t="str">
        <f t="array" ref="N166">IFNA(XLOOKUP($D166,Cards!$A:$A,Cards!I:I),"")</f>
        <v/>
      </c>
      <c r="O166" s="215">
        <f t="shared" si="1"/>
        <v>0</v>
      </c>
    </row>
    <row r="167">
      <c r="E167" s="20"/>
      <c r="G167" s="20"/>
      <c r="H167" s="213" t="str">
        <f t="array" ref="H167">IFNA(XLOOKUP($D167,Cards!$A:$A,Cards!C:C),"")</f>
        <v/>
      </c>
      <c r="I167" s="213" t="str">
        <f t="array" ref="I167">IFNA(XLOOKUP($D167,Cards!$A:$A,Cards!B:B),"")</f>
        <v/>
      </c>
      <c r="J167" s="213" t="str">
        <f t="array" ref="J167">IFNA(XLOOKUP($D167,Cards!$A:$A,Cards!D:D),"")</f>
        <v/>
      </c>
      <c r="K167" s="213" t="str">
        <f t="array" ref="K167">IFNA(XLOOKUP($D167,Cards!$A:$A,Cards!E:E),"")</f>
        <v/>
      </c>
      <c r="L167" s="214" t="str">
        <f t="array" ref="L167">IFNA(XLOOKUP($D167,Cards!$A:$A,Cards!G:G),"")</f>
        <v/>
      </c>
      <c r="M167" s="214" t="str">
        <f t="array" ref="M167">IFNA(XLOOKUP($D167,Cards!$A:$A,Cards!H:H),"")</f>
        <v/>
      </c>
      <c r="N167" s="214" t="str">
        <f t="array" ref="N167">IFNA(XLOOKUP($D167,Cards!$A:$A,Cards!I:I),"")</f>
        <v/>
      </c>
      <c r="O167" s="215">
        <f t="shared" si="1"/>
        <v>0</v>
      </c>
    </row>
    <row r="168">
      <c r="E168" s="20"/>
      <c r="G168" s="20"/>
      <c r="H168" s="213" t="str">
        <f t="array" ref="H168">IFNA(XLOOKUP($D168,Cards!$A:$A,Cards!C:C),"")</f>
        <v/>
      </c>
      <c r="I168" s="213" t="str">
        <f t="array" ref="I168">IFNA(XLOOKUP($D168,Cards!$A:$A,Cards!B:B),"")</f>
        <v/>
      </c>
      <c r="J168" s="213" t="str">
        <f t="array" ref="J168">IFNA(XLOOKUP($D168,Cards!$A:$A,Cards!D:D),"")</f>
        <v/>
      </c>
      <c r="K168" s="213" t="str">
        <f t="array" ref="K168">IFNA(XLOOKUP($D168,Cards!$A:$A,Cards!E:E),"")</f>
        <v/>
      </c>
      <c r="L168" s="214" t="str">
        <f t="array" ref="L168">IFNA(XLOOKUP($D168,Cards!$A:$A,Cards!G:G),"")</f>
        <v/>
      </c>
      <c r="M168" s="214" t="str">
        <f t="array" ref="M168">IFNA(XLOOKUP($D168,Cards!$A:$A,Cards!H:H),"")</f>
        <v/>
      </c>
      <c r="N168" s="214" t="str">
        <f t="array" ref="N168">IFNA(XLOOKUP($D168,Cards!$A:$A,Cards!I:I),"")</f>
        <v/>
      </c>
      <c r="O168" s="215">
        <f t="shared" si="1"/>
        <v>0</v>
      </c>
    </row>
    <row r="169">
      <c r="E169" s="20"/>
      <c r="G169" s="20"/>
      <c r="H169" s="213" t="str">
        <f t="array" ref="H169">IFNA(XLOOKUP($D169,Cards!$A:$A,Cards!C:C),"")</f>
        <v/>
      </c>
      <c r="I169" s="213" t="str">
        <f t="array" ref="I169">IFNA(XLOOKUP($D169,Cards!$A:$A,Cards!B:B),"")</f>
        <v/>
      </c>
      <c r="J169" s="213" t="str">
        <f t="array" ref="J169">IFNA(XLOOKUP($D169,Cards!$A:$A,Cards!D:D),"")</f>
        <v/>
      </c>
      <c r="K169" s="213" t="str">
        <f t="array" ref="K169">IFNA(XLOOKUP($D169,Cards!$A:$A,Cards!E:E),"")</f>
        <v/>
      </c>
      <c r="L169" s="214" t="str">
        <f t="array" ref="L169">IFNA(XLOOKUP($D169,Cards!$A:$A,Cards!G:G),"")</f>
        <v/>
      </c>
      <c r="M169" s="214" t="str">
        <f t="array" ref="M169">IFNA(XLOOKUP($D169,Cards!$A:$A,Cards!H:H),"")</f>
        <v/>
      </c>
      <c r="N169" s="214" t="str">
        <f t="array" ref="N169">IFNA(XLOOKUP($D169,Cards!$A:$A,Cards!I:I),"")</f>
        <v/>
      </c>
      <c r="O169" s="215">
        <f t="shared" si="1"/>
        <v>0</v>
      </c>
    </row>
    <row r="170">
      <c r="E170" s="20"/>
      <c r="G170" s="20"/>
      <c r="H170" s="213" t="str">
        <f t="array" ref="H170">IFNA(XLOOKUP($D170,Cards!$A:$A,Cards!C:C),"")</f>
        <v/>
      </c>
      <c r="I170" s="213" t="str">
        <f t="array" ref="I170">IFNA(XLOOKUP($D170,Cards!$A:$A,Cards!B:B),"")</f>
        <v/>
      </c>
      <c r="J170" s="213" t="str">
        <f t="array" ref="J170">IFNA(XLOOKUP($D170,Cards!$A:$A,Cards!D:D),"")</f>
        <v/>
      </c>
      <c r="K170" s="213" t="str">
        <f t="array" ref="K170">IFNA(XLOOKUP($D170,Cards!$A:$A,Cards!E:E),"")</f>
        <v/>
      </c>
      <c r="L170" s="214" t="str">
        <f t="array" ref="L170">IFNA(XLOOKUP($D170,Cards!$A:$A,Cards!G:G),"")</f>
        <v/>
      </c>
      <c r="M170" s="214" t="str">
        <f t="array" ref="M170">IFNA(XLOOKUP($D170,Cards!$A:$A,Cards!H:H),"")</f>
        <v/>
      </c>
      <c r="N170" s="214" t="str">
        <f t="array" ref="N170">IFNA(XLOOKUP($D170,Cards!$A:$A,Cards!I:I),"")</f>
        <v/>
      </c>
      <c r="O170" s="215">
        <f t="shared" si="1"/>
        <v>0</v>
      </c>
    </row>
    <row r="171">
      <c r="E171" s="20"/>
      <c r="G171" s="20"/>
      <c r="H171" s="213" t="str">
        <f t="array" ref="H171">IFNA(XLOOKUP($D171,Cards!$A:$A,Cards!C:C),"")</f>
        <v/>
      </c>
      <c r="I171" s="213" t="str">
        <f t="array" ref="I171">IFNA(XLOOKUP($D171,Cards!$A:$A,Cards!B:B),"")</f>
        <v/>
      </c>
      <c r="J171" s="213" t="str">
        <f t="array" ref="J171">IFNA(XLOOKUP($D171,Cards!$A:$A,Cards!D:D),"")</f>
        <v/>
      </c>
      <c r="K171" s="213" t="str">
        <f t="array" ref="K171">IFNA(XLOOKUP($D171,Cards!$A:$A,Cards!E:E),"")</f>
        <v/>
      </c>
      <c r="L171" s="214" t="str">
        <f t="array" ref="L171">IFNA(XLOOKUP($D171,Cards!$A:$A,Cards!G:G),"")</f>
        <v/>
      </c>
      <c r="M171" s="214" t="str">
        <f t="array" ref="M171">IFNA(XLOOKUP($D171,Cards!$A:$A,Cards!H:H),"")</f>
        <v/>
      </c>
      <c r="N171" s="214" t="str">
        <f t="array" ref="N171">IFNA(XLOOKUP($D171,Cards!$A:$A,Cards!I:I),"")</f>
        <v/>
      </c>
      <c r="O171" s="215">
        <f t="shared" si="1"/>
        <v>0</v>
      </c>
    </row>
    <row r="172">
      <c r="E172" s="20"/>
      <c r="G172" s="20"/>
      <c r="H172" s="213" t="str">
        <f t="array" ref="H172">IFNA(XLOOKUP($D172,Cards!$A:$A,Cards!C:C),"")</f>
        <v/>
      </c>
      <c r="I172" s="213" t="str">
        <f t="array" ref="I172">IFNA(XLOOKUP($D172,Cards!$A:$A,Cards!B:B),"")</f>
        <v/>
      </c>
      <c r="J172" s="213" t="str">
        <f t="array" ref="J172">IFNA(XLOOKUP($D172,Cards!$A:$A,Cards!D:D),"")</f>
        <v/>
      </c>
      <c r="K172" s="213" t="str">
        <f t="array" ref="K172">IFNA(XLOOKUP($D172,Cards!$A:$A,Cards!E:E),"")</f>
        <v/>
      </c>
      <c r="L172" s="214" t="str">
        <f t="array" ref="L172">IFNA(XLOOKUP($D172,Cards!$A:$A,Cards!G:G),"")</f>
        <v/>
      </c>
      <c r="M172" s="214" t="str">
        <f t="array" ref="M172">IFNA(XLOOKUP($D172,Cards!$A:$A,Cards!H:H),"")</f>
        <v/>
      </c>
      <c r="N172" s="214" t="str">
        <f t="array" ref="N172">IFNA(XLOOKUP($D172,Cards!$A:$A,Cards!I:I),"")</f>
        <v/>
      </c>
      <c r="O172" s="215">
        <f t="shared" si="1"/>
        <v>0</v>
      </c>
    </row>
    <row r="173">
      <c r="E173" s="20"/>
      <c r="G173" s="20"/>
      <c r="H173" s="213" t="str">
        <f t="array" ref="H173">IFNA(XLOOKUP($D173,Cards!$A:$A,Cards!C:C),"")</f>
        <v/>
      </c>
      <c r="I173" s="213" t="str">
        <f t="array" ref="I173">IFNA(XLOOKUP($D173,Cards!$A:$A,Cards!B:B),"")</f>
        <v/>
      </c>
      <c r="J173" s="213" t="str">
        <f t="array" ref="J173">IFNA(XLOOKUP($D173,Cards!$A:$A,Cards!D:D),"")</f>
        <v/>
      </c>
      <c r="K173" s="213" t="str">
        <f t="array" ref="K173">IFNA(XLOOKUP($D173,Cards!$A:$A,Cards!E:E),"")</f>
        <v/>
      </c>
      <c r="L173" s="214" t="str">
        <f t="array" ref="L173">IFNA(XLOOKUP($D173,Cards!$A:$A,Cards!G:G),"")</f>
        <v/>
      </c>
      <c r="M173" s="214" t="str">
        <f t="array" ref="M173">IFNA(XLOOKUP($D173,Cards!$A:$A,Cards!H:H),"")</f>
        <v/>
      </c>
      <c r="N173" s="214" t="str">
        <f t="array" ref="N173">IFNA(XLOOKUP($D173,Cards!$A:$A,Cards!I:I),"")</f>
        <v/>
      </c>
      <c r="O173" s="215">
        <f t="shared" si="1"/>
        <v>0</v>
      </c>
    </row>
    <row r="174">
      <c r="E174" s="20"/>
      <c r="G174" s="20"/>
      <c r="H174" s="213" t="str">
        <f t="array" ref="H174">IFNA(XLOOKUP($D174,Cards!$A:$A,Cards!C:C),"")</f>
        <v/>
      </c>
      <c r="I174" s="213" t="str">
        <f t="array" ref="I174">IFNA(XLOOKUP($D174,Cards!$A:$A,Cards!B:B),"")</f>
        <v/>
      </c>
      <c r="J174" s="213" t="str">
        <f t="array" ref="J174">IFNA(XLOOKUP($D174,Cards!$A:$A,Cards!D:D),"")</f>
        <v/>
      </c>
      <c r="K174" s="213" t="str">
        <f t="array" ref="K174">IFNA(XLOOKUP($D174,Cards!$A:$A,Cards!E:E),"")</f>
        <v/>
      </c>
      <c r="L174" s="214" t="str">
        <f t="array" ref="L174">IFNA(XLOOKUP($D174,Cards!$A:$A,Cards!G:G),"")</f>
        <v/>
      </c>
      <c r="M174" s="214" t="str">
        <f t="array" ref="M174">IFNA(XLOOKUP($D174,Cards!$A:$A,Cards!H:H),"")</f>
        <v/>
      </c>
      <c r="N174" s="214" t="str">
        <f t="array" ref="N174">IFNA(XLOOKUP($D174,Cards!$A:$A,Cards!I:I),"")</f>
        <v/>
      </c>
      <c r="O174" s="215">
        <f t="shared" si="1"/>
        <v>0</v>
      </c>
    </row>
    <row r="175">
      <c r="E175" s="20"/>
      <c r="G175" s="20"/>
      <c r="H175" s="213" t="str">
        <f t="array" ref="H175">IFNA(XLOOKUP($D175,Cards!$A:$A,Cards!C:C),"")</f>
        <v/>
      </c>
      <c r="I175" s="213" t="str">
        <f t="array" ref="I175">IFNA(XLOOKUP($D175,Cards!$A:$A,Cards!B:B),"")</f>
        <v/>
      </c>
      <c r="J175" s="213" t="str">
        <f t="array" ref="J175">IFNA(XLOOKUP($D175,Cards!$A:$A,Cards!D:D),"")</f>
        <v/>
      </c>
      <c r="K175" s="213" t="str">
        <f t="array" ref="K175">IFNA(XLOOKUP($D175,Cards!$A:$A,Cards!E:E),"")</f>
        <v/>
      </c>
      <c r="L175" s="214" t="str">
        <f t="array" ref="L175">IFNA(XLOOKUP($D175,Cards!$A:$A,Cards!G:G),"")</f>
        <v/>
      </c>
      <c r="M175" s="214" t="str">
        <f t="array" ref="M175">IFNA(XLOOKUP($D175,Cards!$A:$A,Cards!H:H),"")</f>
        <v/>
      </c>
      <c r="N175" s="214" t="str">
        <f t="array" ref="N175">IFNA(XLOOKUP($D175,Cards!$A:$A,Cards!I:I),"")</f>
        <v/>
      </c>
      <c r="O175" s="215">
        <f t="shared" si="1"/>
        <v>0</v>
      </c>
    </row>
    <row r="176">
      <c r="E176" s="20"/>
      <c r="G176" s="20"/>
      <c r="H176" s="213" t="str">
        <f t="array" ref="H176">IFNA(XLOOKUP($D176,Cards!$A:$A,Cards!C:C),"")</f>
        <v/>
      </c>
      <c r="I176" s="213" t="str">
        <f t="array" ref="I176">IFNA(XLOOKUP($D176,Cards!$A:$A,Cards!B:B),"")</f>
        <v/>
      </c>
      <c r="J176" s="213" t="str">
        <f t="array" ref="J176">IFNA(XLOOKUP($D176,Cards!$A:$A,Cards!D:D),"")</f>
        <v/>
      </c>
      <c r="K176" s="213" t="str">
        <f t="array" ref="K176">IFNA(XLOOKUP($D176,Cards!$A:$A,Cards!E:E),"")</f>
        <v/>
      </c>
      <c r="L176" s="214" t="str">
        <f t="array" ref="L176">IFNA(XLOOKUP($D176,Cards!$A:$A,Cards!G:G),"")</f>
        <v/>
      </c>
      <c r="M176" s="214" t="str">
        <f t="array" ref="M176">IFNA(XLOOKUP($D176,Cards!$A:$A,Cards!H:H),"")</f>
        <v/>
      </c>
      <c r="N176" s="214" t="str">
        <f t="array" ref="N176">IFNA(XLOOKUP($D176,Cards!$A:$A,Cards!I:I),"")</f>
        <v/>
      </c>
      <c r="O176" s="215">
        <f t="shared" si="1"/>
        <v>0</v>
      </c>
    </row>
    <row r="177">
      <c r="E177" s="20"/>
      <c r="G177" s="20"/>
      <c r="H177" s="213" t="str">
        <f t="array" ref="H177">IFNA(XLOOKUP($D177,Cards!$A:$A,Cards!C:C),"")</f>
        <v/>
      </c>
      <c r="I177" s="213" t="str">
        <f t="array" ref="I177">IFNA(XLOOKUP($D177,Cards!$A:$A,Cards!B:B),"")</f>
        <v/>
      </c>
      <c r="J177" s="213" t="str">
        <f t="array" ref="J177">IFNA(XLOOKUP($D177,Cards!$A:$A,Cards!D:D),"")</f>
        <v/>
      </c>
      <c r="K177" s="213" t="str">
        <f t="array" ref="K177">IFNA(XLOOKUP($D177,Cards!$A:$A,Cards!E:E),"")</f>
        <v/>
      </c>
      <c r="L177" s="214" t="str">
        <f t="array" ref="L177">IFNA(XLOOKUP($D177,Cards!$A:$A,Cards!G:G),"")</f>
        <v/>
      </c>
      <c r="M177" s="214" t="str">
        <f t="array" ref="M177">IFNA(XLOOKUP($D177,Cards!$A:$A,Cards!H:H),"")</f>
        <v/>
      </c>
      <c r="N177" s="214" t="str">
        <f t="array" ref="N177">IFNA(XLOOKUP($D177,Cards!$A:$A,Cards!I:I),"")</f>
        <v/>
      </c>
      <c r="O177" s="215">
        <f t="shared" si="1"/>
        <v>0</v>
      </c>
    </row>
    <row r="178">
      <c r="E178" s="20"/>
      <c r="G178" s="20"/>
      <c r="H178" s="213" t="str">
        <f t="array" ref="H178">IFNA(XLOOKUP($D178,Cards!$A:$A,Cards!C:C),"")</f>
        <v/>
      </c>
      <c r="I178" s="213" t="str">
        <f t="array" ref="I178">IFNA(XLOOKUP($D178,Cards!$A:$A,Cards!B:B),"")</f>
        <v/>
      </c>
      <c r="J178" s="213" t="str">
        <f t="array" ref="J178">IFNA(XLOOKUP($D178,Cards!$A:$A,Cards!D:D),"")</f>
        <v/>
      </c>
      <c r="K178" s="213" t="str">
        <f t="array" ref="K178">IFNA(XLOOKUP($D178,Cards!$A:$A,Cards!E:E),"")</f>
        <v/>
      </c>
      <c r="L178" s="214" t="str">
        <f t="array" ref="L178">IFNA(XLOOKUP($D178,Cards!$A:$A,Cards!G:G),"")</f>
        <v/>
      </c>
      <c r="M178" s="214" t="str">
        <f t="array" ref="M178">IFNA(XLOOKUP($D178,Cards!$A:$A,Cards!H:H),"")</f>
        <v/>
      </c>
      <c r="N178" s="214" t="str">
        <f t="array" ref="N178">IFNA(XLOOKUP($D178,Cards!$A:$A,Cards!I:I),"")</f>
        <v/>
      </c>
      <c r="O178" s="215">
        <f t="shared" si="1"/>
        <v>0</v>
      </c>
    </row>
    <row r="179">
      <c r="E179" s="20"/>
      <c r="G179" s="20"/>
      <c r="H179" s="213" t="str">
        <f t="array" ref="H179">IFNA(XLOOKUP($D179,Cards!$A:$A,Cards!C:C),"")</f>
        <v/>
      </c>
      <c r="I179" s="213" t="str">
        <f t="array" ref="I179">IFNA(XLOOKUP($D179,Cards!$A:$A,Cards!B:B),"")</f>
        <v/>
      </c>
      <c r="J179" s="213" t="str">
        <f t="array" ref="J179">IFNA(XLOOKUP($D179,Cards!$A:$A,Cards!D:D),"")</f>
        <v/>
      </c>
      <c r="K179" s="213" t="str">
        <f t="array" ref="K179">IFNA(XLOOKUP($D179,Cards!$A:$A,Cards!E:E),"")</f>
        <v/>
      </c>
      <c r="L179" s="214" t="str">
        <f t="array" ref="L179">IFNA(XLOOKUP($D179,Cards!$A:$A,Cards!G:G),"")</f>
        <v/>
      </c>
      <c r="M179" s="214" t="str">
        <f t="array" ref="M179">IFNA(XLOOKUP($D179,Cards!$A:$A,Cards!H:H),"")</f>
        <v/>
      </c>
      <c r="N179" s="214" t="str">
        <f t="array" ref="N179">IFNA(XLOOKUP($D179,Cards!$A:$A,Cards!I:I),"")</f>
        <v/>
      </c>
      <c r="O179" s="215">
        <f t="shared" si="1"/>
        <v>0</v>
      </c>
    </row>
    <row r="180">
      <c r="E180" s="20"/>
      <c r="G180" s="20"/>
      <c r="H180" s="213" t="str">
        <f t="array" ref="H180">IFNA(XLOOKUP($D180,Cards!$A:$A,Cards!C:C),"")</f>
        <v/>
      </c>
      <c r="I180" s="213" t="str">
        <f t="array" ref="I180">IFNA(XLOOKUP($D180,Cards!$A:$A,Cards!B:B),"")</f>
        <v/>
      </c>
      <c r="J180" s="213" t="str">
        <f t="array" ref="J180">IFNA(XLOOKUP($D180,Cards!$A:$A,Cards!D:D),"")</f>
        <v/>
      </c>
      <c r="K180" s="213" t="str">
        <f t="array" ref="K180">IFNA(XLOOKUP($D180,Cards!$A:$A,Cards!E:E),"")</f>
        <v/>
      </c>
      <c r="L180" s="214" t="str">
        <f t="array" ref="L180">IFNA(XLOOKUP($D180,Cards!$A:$A,Cards!G:G),"")</f>
        <v/>
      </c>
      <c r="M180" s="214" t="str">
        <f t="array" ref="M180">IFNA(XLOOKUP($D180,Cards!$A:$A,Cards!H:H),"")</f>
        <v/>
      </c>
      <c r="N180" s="214" t="str">
        <f t="array" ref="N180">IFNA(XLOOKUP($D180,Cards!$A:$A,Cards!I:I),"")</f>
        <v/>
      </c>
      <c r="O180" s="215">
        <f t="shared" si="1"/>
        <v>0</v>
      </c>
    </row>
    <row r="181">
      <c r="E181" s="20"/>
      <c r="G181" s="20"/>
      <c r="H181" s="213" t="str">
        <f t="array" ref="H181">IFNA(XLOOKUP($D181,Cards!$A:$A,Cards!C:C),"")</f>
        <v/>
      </c>
      <c r="I181" s="213" t="str">
        <f t="array" ref="I181">IFNA(XLOOKUP($D181,Cards!$A:$A,Cards!B:B),"")</f>
        <v/>
      </c>
      <c r="J181" s="213" t="str">
        <f t="array" ref="J181">IFNA(XLOOKUP($D181,Cards!$A:$A,Cards!D:D),"")</f>
        <v/>
      </c>
      <c r="K181" s="213" t="str">
        <f t="array" ref="K181">IFNA(XLOOKUP($D181,Cards!$A:$A,Cards!E:E),"")</f>
        <v/>
      </c>
      <c r="L181" s="214" t="str">
        <f t="array" ref="L181">IFNA(XLOOKUP($D181,Cards!$A:$A,Cards!G:G),"")</f>
        <v/>
      </c>
      <c r="M181" s="214" t="str">
        <f t="array" ref="M181">IFNA(XLOOKUP($D181,Cards!$A:$A,Cards!H:H),"")</f>
        <v/>
      </c>
      <c r="N181" s="214" t="str">
        <f t="array" ref="N181">IFNA(XLOOKUP($D181,Cards!$A:$A,Cards!I:I),"")</f>
        <v/>
      </c>
      <c r="O181" s="215">
        <f t="shared" si="1"/>
        <v>0</v>
      </c>
    </row>
    <row r="182">
      <c r="E182" s="20"/>
      <c r="G182" s="20"/>
      <c r="H182" s="213" t="str">
        <f t="array" ref="H182">IFNA(XLOOKUP($D182,Cards!$A:$A,Cards!C:C),"")</f>
        <v/>
      </c>
      <c r="I182" s="213" t="str">
        <f t="array" ref="I182">IFNA(XLOOKUP($D182,Cards!$A:$A,Cards!B:B),"")</f>
        <v/>
      </c>
      <c r="J182" s="213" t="str">
        <f t="array" ref="J182">IFNA(XLOOKUP($D182,Cards!$A:$A,Cards!D:D),"")</f>
        <v/>
      </c>
      <c r="K182" s="213" t="str">
        <f t="array" ref="K182">IFNA(XLOOKUP($D182,Cards!$A:$A,Cards!E:E),"")</f>
        <v/>
      </c>
      <c r="L182" s="214" t="str">
        <f t="array" ref="L182">IFNA(XLOOKUP($D182,Cards!$A:$A,Cards!G:G),"")</f>
        <v/>
      </c>
      <c r="M182" s="214" t="str">
        <f t="array" ref="M182">IFNA(XLOOKUP($D182,Cards!$A:$A,Cards!H:H),"")</f>
        <v/>
      </c>
      <c r="N182" s="214" t="str">
        <f t="array" ref="N182">IFNA(XLOOKUP($D182,Cards!$A:$A,Cards!I:I),"")</f>
        <v/>
      </c>
      <c r="O182" s="215">
        <f t="shared" si="1"/>
        <v>0</v>
      </c>
    </row>
    <row r="183">
      <c r="E183" s="20"/>
      <c r="G183" s="20"/>
      <c r="H183" s="213" t="str">
        <f t="array" ref="H183">IFNA(XLOOKUP($D183,Cards!$A:$A,Cards!C:C),"")</f>
        <v/>
      </c>
      <c r="I183" s="213" t="str">
        <f t="array" ref="I183">IFNA(XLOOKUP($D183,Cards!$A:$A,Cards!B:B),"")</f>
        <v/>
      </c>
      <c r="J183" s="213" t="str">
        <f t="array" ref="J183">IFNA(XLOOKUP($D183,Cards!$A:$A,Cards!D:D),"")</f>
        <v/>
      </c>
      <c r="K183" s="213" t="str">
        <f t="array" ref="K183">IFNA(XLOOKUP($D183,Cards!$A:$A,Cards!E:E),"")</f>
        <v/>
      </c>
      <c r="L183" s="214" t="str">
        <f t="array" ref="L183">IFNA(XLOOKUP($D183,Cards!$A:$A,Cards!G:G),"")</f>
        <v/>
      </c>
      <c r="M183" s="214" t="str">
        <f t="array" ref="M183">IFNA(XLOOKUP($D183,Cards!$A:$A,Cards!H:H),"")</f>
        <v/>
      </c>
      <c r="N183" s="214" t="str">
        <f t="array" ref="N183">IFNA(XLOOKUP($D183,Cards!$A:$A,Cards!I:I),"")</f>
        <v/>
      </c>
      <c r="O183" s="215">
        <f t="shared" si="1"/>
        <v>0</v>
      </c>
    </row>
    <row r="184">
      <c r="E184" s="20"/>
      <c r="G184" s="20"/>
      <c r="H184" s="213" t="str">
        <f t="array" ref="H184">IFNA(XLOOKUP($D184,Cards!$A:$A,Cards!C:C),"")</f>
        <v/>
      </c>
      <c r="I184" s="213" t="str">
        <f t="array" ref="I184">IFNA(XLOOKUP($D184,Cards!$A:$A,Cards!B:B),"")</f>
        <v/>
      </c>
      <c r="J184" s="213" t="str">
        <f t="array" ref="J184">IFNA(XLOOKUP($D184,Cards!$A:$A,Cards!D:D),"")</f>
        <v/>
      </c>
      <c r="K184" s="213" t="str">
        <f t="array" ref="K184">IFNA(XLOOKUP($D184,Cards!$A:$A,Cards!E:E),"")</f>
        <v/>
      </c>
      <c r="L184" s="214" t="str">
        <f t="array" ref="L184">IFNA(XLOOKUP($D184,Cards!$A:$A,Cards!G:G),"")</f>
        <v/>
      </c>
      <c r="M184" s="214" t="str">
        <f t="array" ref="M184">IFNA(XLOOKUP($D184,Cards!$A:$A,Cards!H:H),"")</f>
        <v/>
      </c>
      <c r="N184" s="214" t="str">
        <f t="array" ref="N184">IFNA(XLOOKUP($D184,Cards!$A:$A,Cards!I:I),"")</f>
        <v/>
      </c>
      <c r="O184" s="215">
        <f t="shared" si="1"/>
        <v>0</v>
      </c>
    </row>
    <row r="185">
      <c r="E185" s="20"/>
      <c r="G185" s="20"/>
      <c r="H185" s="213" t="str">
        <f t="array" ref="H185">IFNA(XLOOKUP($D185,Cards!$A:$A,Cards!C:C),"")</f>
        <v/>
      </c>
      <c r="I185" s="213" t="str">
        <f t="array" ref="I185">IFNA(XLOOKUP($D185,Cards!$A:$A,Cards!B:B),"")</f>
        <v/>
      </c>
      <c r="J185" s="213" t="str">
        <f t="array" ref="J185">IFNA(XLOOKUP($D185,Cards!$A:$A,Cards!D:D),"")</f>
        <v/>
      </c>
      <c r="K185" s="213" t="str">
        <f t="array" ref="K185">IFNA(XLOOKUP($D185,Cards!$A:$A,Cards!E:E),"")</f>
        <v/>
      </c>
      <c r="L185" s="214" t="str">
        <f t="array" ref="L185">IFNA(XLOOKUP($D185,Cards!$A:$A,Cards!G:G),"")</f>
        <v/>
      </c>
      <c r="M185" s="214" t="str">
        <f t="array" ref="M185">IFNA(XLOOKUP($D185,Cards!$A:$A,Cards!H:H),"")</f>
        <v/>
      </c>
      <c r="N185" s="214" t="str">
        <f t="array" ref="N185">IFNA(XLOOKUP($D185,Cards!$A:$A,Cards!I:I),"")</f>
        <v/>
      </c>
      <c r="O185" s="215">
        <f t="shared" si="1"/>
        <v>0</v>
      </c>
    </row>
    <row r="186">
      <c r="E186" s="20"/>
      <c r="G186" s="20"/>
      <c r="H186" s="213" t="str">
        <f t="array" ref="H186">IFNA(XLOOKUP($D186,Cards!$A:$A,Cards!C:C),"")</f>
        <v/>
      </c>
      <c r="I186" s="213" t="str">
        <f t="array" ref="I186">IFNA(XLOOKUP($D186,Cards!$A:$A,Cards!B:B),"")</f>
        <v/>
      </c>
      <c r="J186" s="213" t="str">
        <f t="array" ref="J186">IFNA(XLOOKUP($D186,Cards!$A:$A,Cards!D:D),"")</f>
        <v/>
      </c>
      <c r="K186" s="213" t="str">
        <f t="array" ref="K186">IFNA(XLOOKUP($D186,Cards!$A:$A,Cards!E:E),"")</f>
        <v/>
      </c>
      <c r="L186" s="214" t="str">
        <f t="array" ref="L186">IFNA(XLOOKUP($D186,Cards!$A:$A,Cards!G:G),"")</f>
        <v/>
      </c>
      <c r="M186" s="214" t="str">
        <f t="array" ref="M186">IFNA(XLOOKUP($D186,Cards!$A:$A,Cards!H:H),"")</f>
        <v/>
      </c>
      <c r="N186" s="214" t="str">
        <f t="array" ref="N186">IFNA(XLOOKUP($D186,Cards!$A:$A,Cards!I:I),"")</f>
        <v/>
      </c>
      <c r="O186" s="215">
        <f t="shared" si="1"/>
        <v>0</v>
      </c>
    </row>
    <row r="187">
      <c r="E187" s="20"/>
      <c r="G187" s="20"/>
      <c r="H187" s="213" t="str">
        <f t="array" ref="H187">IFNA(XLOOKUP($D187,Cards!$A:$A,Cards!C:C),"")</f>
        <v/>
      </c>
      <c r="I187" s="213" t="str">
        <f t="array" ref="I187">IFNA(XLOOKUP($D187,Cards!$A:$A,Cards!B:B),"")</f>
        <v/>
      </c>
      <c r="J187" s="213" t="str">
        <f t="array" ref="J187">IFNA(XLOOKUP($D187,Cards!$A:$A,Cards!D:D),"")</f>
        <v/>
      </c>
      <c r="K187" s="213" t="str">
        <f t="array" ref="K187">IFNA(XLOOKUP($D187,Cards!$A:$A,Cards!E:E),"")</f>
        <v/>
      </c>
      <c r="L187" s="214" t="str">
        <f t="array" ref="L187">IFNA(XLOOKUP($D187,Cards!$A:$A,Cards!G:G),"")</f>
        <v/>
      </c>
      <c r="M187" s="214" t="str">
        <f t="array" ref="M187">IFNA(XLOOKUP($D187,Cards!$A:$A,Cards!H:H),"")</f>
        <v/>
      </c>
      <c r="N187" s="214" t="str">
        <f t="array" ref="N187">IFNA(XLOOKUP($D187,Cards!$A:$A,Cards!I:I),"")</f>
        <v/>
      </c>
      <c r="O187" s="215">
        <f t="shared" si="1"/>
        <v>0</v>
      </c>
    </row>
    <row r="188">
      <c r="E188" s="20"/>
      <c r="G188" s="20"/>
      <c r="H188" s="213" t="str">
        <f t="array" ref="H188">IFNA(XLOOKUP($D188,Cards!$A:$A,Cards!C:C),"")</f>
        <v/>
      </c>
      <c r="I188" s="213" t="str">
        <f t="array" ref="I188">IFNA(XLOOKUP($D188,Cards!$A:$A,Cards!B:B),"")</f>
        <v/>
      </c>
      <c r="J188" s="213" t="str">
        <f t="array" ref="J188">IFNA(XLOOKUP($D188,Cards!$A:$A,Cards!D:D),"")</f>
        <v/>
      </c>
      <c r="K188" s="213" t="str">
        <f t="array" ref="K188">IFNA(XLOOKUP($D188,Cards!$A:$A,Cards!E:E),"")</f>
        <v/>
      </c>
      <c r="L188" s="214" t="str">
        <f t="array" ref="L188">IFNA(XLOOKUP($D188,Cards!$A:$A,Cards!G:G),"")</f>
        <v/>
      </c>
      <c r="M188" s="214" t="str">
        <f t="array" ref="M188">IFNA(XLOOKUP($D188,Cards!$A:$A,Cards!H:H),"")</f>
        <v/>
      </c>
      <c r="N188" s="214" t="str">
        <f t="array" ref="N188">IFNA(XLOOKUP($D188,Cards!$A:$A,Cards!I:I),"")</f>
        <v/>
      </c>
      <c r="O188" s="215">
        <f t="shared" si="1"/>
        <v>0</v>
      </c>
    </row>
    <row r="189">
      <c r="E189" s="20"/>
      <c r="G189" s="20"/>
      <c r="H189" s="213" t="str">
        <f t="array" ref="H189">IFNA(XLOOKUP($D189,Cards!$A:$A,Cards!C:C),"")</f>
        <v/>
      </c>
      <c r="I189" s="213" t="str">
        <f t="array" ref="I189">IFNA(XLOOKUP($D189,Cards!$A:$A,Cards!B:B),"")</f>
        <v/>
      </c>
      <c r="J189" s="213" t="str">
        <f t="array" ref="J189">IFNA(XLOOKUP($D189,Cards!$A:$A,Cards!D:D),"")</f>
        <v/>
      </c>
      <c r="K189" s="213" t="str">
        <f t="array" ref="K189">IFNA(XLOOKUP($D189,Cards!$A:$A,Cards!E:E),"")</f>
        <v/>
      </c>
      <c r="L189" s="214" t="str">
        <f t="array" ref="L189">IFNA(XLOOKUP($D189,Cards!$A:$A,Cards!G:G),"")</f>
        <v/>
      </c>
      <c r="M189" s="214" t="str">
        <f t="array" ref="M189">IFNA(XLOOKUP($D189,Cards!$A:$A,Cards!H:H),"")</f>
        <v/>
      </c>
      <c r="N189" s="214" t="str">
        <f t="array" ref="N189">IFNA(XLOOKUP($D189,Cards!$A:$A,Cards!I:I),"")</f>
        <v/>
      </c>
      <c r="O189" s="215">
        <f t="shared" si="1"/>
        <v>0</v>
      </c>
    </row>
    <row r="190">
      <c r="E190" s="20"/>
      <c r="G190" s="20"/>
      <c r="H190" s="213" t="str">
        <f t="array" ref="H190">IFNA(XLOOKUP($D190,Cards!$A:$A,Cards!C:C),"")</f>
        <v/>
      </c>
      <c r="I190" s="213" t="str">
        <f t="array" ref="I190">IFNA(XLOOKUP($D190,Cards!$A:$A,Cards!B:B),"")</f>
        <v/>
      </c>
      <c r="J190" s="213" t="str">
        <f t="array" ref="J190">IFNA(XLOOKUP($D190,Cards!$A:$A,Cards!D:D),"")</f>
        <v/>
      </c>
      <c r="K190" s="213" t="str">
        <f t="array" ref="K190">IFNA(XLOOKUP($D190,Cards!$A:$A,Cards!E:E),"")</f>
        <v/>
      </c>
      <c r="L190" s="214" t="str">
        <f t="array" ref="L190">IFNA(XLOOKUP($D190,Cards!$A:$A,Cards!G:G),"")</f>
        <v/>
      </c>
      <c r="M190" s="214" t="str">
        <f t="array" ref="M190">IFNA(XLOOKUP($D190,Cards!$A:$A,Cards!H:H),"")</f>
        <v/>
      </c>
      <c r="N190" s="214" t="str">
        <f t="array" ref="N190">IFNA(XLOOKUP($D190,Cards!$A:$A,Cards!I:I),"")</f>
        <v/>
      </c>
      <c r="O190" s="215">
        <f t="shared" si="1"/>
        <v>0</v>
      </c>
    </row>
    <row r="191">
      <c r="E191" s="20"/>
      <c r="G191" s="20"/>
      <c r="H191" s="213" t="str">
        <f t="array" ref="H191">IFNA(XLOOKUP($D191,Cards!$A:$A,Cards!C:C),"")</f>
        <v/>
      </c>
      <c r="I191" s="213" t="str">
        <f t="array" ref="I191">IFNA(XLOOKUP($D191,Cards!$A:$A,Cards!B:B),"")</f>
        <v/>
      </c>
      <c r="J191" s="213" t="str">
        <f t="array" ref="J191">IFNA(XLOOKUP($D191,Cards!$A:$A,Cards!D:D),"")</f>
        <v/>
      </c>
      <c r="K191" s="213" t="str">
        <f t="array" ref="K191">IFNA(XLOOKUP($D191,Cards!$A:$A,Cards!E:E),"")</f>
        <v/>
      </c>
      <c r="L191" s="214" t="str">
        <f t="array" ref="L191">IFNA(XLOOKUP($D191,Cards!$A:$A,Cards!G:G),"")</f>
        <v/>
      </c>
      <c r="M191" s="214" t="str">
        <f t="array" ref="M191">IFNA(XLOOKUP($D191,Cards!$A:$A,Cards!H:H),"")</f>
        <v/>
      </c>
      <c r="N191" s="214" t="str">
        <f t="array" ref="N191">IFNA(XLOOKUP($D191,Cards!$A:$A,Cards!I:I),"")</f>
        <v/>
      </c>
      <c r="O191" s="215">
        <f t="shared" si="1"/>
        <v>0</v>
      </c>
    </row>
    <row r="192">
      <c r="E192" s="20"/>
      <c r="G192" s="20"/>
      <c r="H192" s="213" t="str">
        <f t="array" ref="H192">IFNA(XLOOKUP($D192,Cards!$A:$A,Cards!C:C),"")</f>
        <v/>
      </c>
      <c r="I192" s="213" t="str">
        <f t="array" ref="I192">IFNA(XLOOKUP($D192,Cards!$A:$A,Cards!B:B),"")</f>
        <v/>
      </c>
      <c r="J192" s="213" t="str">
        <f t="array" ref="J192">IFNA(XLOOKUP($D192,Cards!$A:$A,Cards!D:D),"")</f>
        <v/>
      </c>
      <c r="K192" s="213" t="str">
        <f t="array" ref="K192">IFNA(XLOOKUP($D192,Cards!$A:$A,Cards!E:E),"")</f>
        <v/>
      </c>
      <c r="L192" s="214" t="str">
        <f t="array" ref="L192">IFNA(XLOOKUP($D192,Cards!$A:$A,Cards!G:G),"")</f>
        <v/>
      </c>
      <c r="M192" s="214" t="str">
        <f t="array" ref="M192">IFNA(XLOOKUP($D192,Cards!$A:$A,Cards!H:H),"")</f>
        <v/>
      </c>
      <c r="N192" s="214" t="str">
        <f t="array" ref="N192">IFNA(XLOOKUP($D192,Cards!$A:$A,Cards!I:I),"")</f>
        <v/>
      </c>
      <c r="O192" s="215">
        <f t="shared" si="1"/>
        <v>0</v>
      </c>
    </row>
    <row r="193">
      <c r="E193" s="20"/>
      <c r="G193" s="20"/>
      <c r="H193" s="213" t="str">
        <f t="array" ref="H193">IFNA(XLOOKUP($D193,Cards!$A:$A,Cards!C:C),"")</f>
        <v/>
      </c>
      <c r="I193" s="213" t="str">
        <f t="array" ref="I193">IFNA(XLOOKUP($D193,Cards!$A:$A,Cards!B:B),"")</f>
        <v/>
      </c>
      <c r="J193" s="213" t="str">
        <f t="array" ref="J193">IFNA(XLOOKUP($D193,Cards!$A:$A,Cards!D:D),"")</f>
        <v/>
      </c>
      <c r="K193" s="213" t="str">
        <f t="array" ref="K193">IFNA(XLOOKUP($D193,Cards!$A:$A,Cards!E:E),"")</f>
        <v/>
      </c>
      <c r="L193" s="214" t="str">
        <f t="array" ref="L193">IFNA(XLOOKUP($D193,Cards!$A:$A,Cards!G:G),"")</f>
        <v/>
      </c>
      <c r="M193" s="214" t="str">
        <f t="array" ref="M193">IFNA(XLOOKUP($D193,Cards!$A:$A,Cards!H:H),"")</f>
        <v/>
      </c>
      <c r="N193" s="214" t="str">
        <f t="array" ref="N193">IFNA(XLOOKUP($D193,Cards!$A:$A,Cards!I:I),"")</f>
        <v/>
      </c>
      <c r="O193" s="215">
        <f t="shared" si="1"/>
        <v>0</v>
      </c>
    </row>
    <row r="194">
      <c r="E194" s="20"/>
      <c r="G194" s="20"/>
      <c r="H194" s="213" t="str">
        <f t="array" ref="H194">IFNA(XLOOKUP($D194,Cards!$A:$A,Cards!C:C),"")</f>
        <v/>
      </c>
      <c r="I194" s="213" t="str">
        <f t="array" ref="I194">IFNA(XLOOKUP($D194,Cards!$A:$A,Cards!B:B),"")</f>
        <v/>
      </c>
      <c r="J194" s="213" t="str">
        <f t="array" ref="J194">IFNA(XLOOKUP($D194,Cards!$A:$A,Cards!D:D),"")</f>
        <v/>
      </c>
      <c r="K194" s="213" t="str">
        <f t="array" ref="K194">IFNA(XLOOKUP($D194,Cards!$A:$A,Cards!E:E),"")</f>
        <v/>
      </c>
      <c r="L194" s="214" t="str">
        <f t="array" ref="L194">IFNA(XLOOKUP($D194,Cards!$A:$A,Cards!G:G),"")</f>
        <v/>
      </c>
      <c r="M194" s="214" t="str">
        <f t="array" ref="M194">IFNA(XLOOKUP($D194,Cards!$A:$A,Cards!H:H),"")</f>
        <v/>
      </c>
      <c r="N194" s="214" t="str">
        <f t="array" ref="N194">IFNA(XLOOKUP($D194,Cards!$A:$A,Cards!I:I),"")</f>
        <v/>
      </c>
      <c r="O194" s="215">
        <f t="shared" si="1"/>
        <v>0</v>
      </c>
    </row>
    <row r="195">
      <c r="E195" s="20"/>
      <c r="G195" s="20"/>
      <c r="H195" s="213" t="str">
        <f t="array" ref="H195">IFNA(XLOOKUP($D195,Cards!$A:$A,Cards!C:C),"")</f>
        <v/>
      </c>
      <c r="I195" s="213" t="str">
        <f t="array" ref="I195">IFNA(XLOOKUP($D195,Cards!$A:$A,Cards!B:B),"")</f>
        <v/>
      </c>
      <c r="J195" s="213" t="str">
        <f t="array" ref="J195">IFNA(XLOOKUP($D195,Cards!$A:$A,Cards!D:D),"")</f>
        <v/>
      </c>
      <c r="K195" s="213" t="str">
        <f t="array" ref="K195">IFNA(XLOOKUP($D195,Cards!$A:$A,Cards!E:E),"")</f>
        <v/>
      </c>
      <c r="L195" s="214" t="str">
        <f t="array" ref="L195">IFNA(XLOOKUP($D195,Cards!$A:$A,Cards!G:G),"")</f>
        <v/>
      </c>
      <c r="M195" s="214" t="str">
        <f t="array" ref="M195">IFNA(XLOOKUP($D195,Cards!$A:$A,Cards!H:H),"")</f>
        <v/>
      </c>
      <c r="N195" s="214" t="str">
        <f t="array" ref="N195">IFNA(XLOOKUP($D195,Cards!$A:$A,Cards!I:I),"")</f>
        <v/>
      </c>
      <c r="O195" s="215">
        <f t="shared" si="1"/>
        <v>0</v>
      </c>
    </row>
    <row r="196">
      <c r="E196" s="20"/>
      <c r="G196" s="20"/>
      <c r="H196" s="213" t="str">
        <f t="array" ref="H196">IFNA(XLOOKUP($D196,Cards!$A:$A,Cards!C:C),"")</f>
        <v/>
      </c>
      <c r="I196" s="213" t="str">
        <f t="array" ref="I196">IFNA(XLOOKUP($D196,Cards!$A:$A,Cards!B:B),"")</f>
        <v/>
      </c>
      <c r="J196" s="213" t="str">
        <f t="array" ref="J196">IFNA(XLOOKUP($D196,Cards!$A:$A,Cards!D:D),"")</f>
        <v/>
      </c>
      <c r="K196" s="213" t="str">
        <f t="array" ref="K196">IFNA(XLOOKUP($D196,Cards!$A:$A,Cards!E:E),"")</f>
        <v/>
      </c>
      <c r="L196" s="214" t="str">
        <f t="array" ref="L196">IFNA(XLOOKUP($D196,Cards!$A:$A,Cards!G:G),"")</f>
        <v/>
      </c>
      <c r="M196" s="214" t="str">
        <f t="array" ref="M196">IFNA(XLOOKUP($D196,Cards!$A:$A,Cards!H:H),"")</f>
        <v/>
      </c>
      <c r="N196" s="214" t="str">
        <f t="array" ref="N196">IFNA(XLOOKUP($D196,Cards!$A:$A,Cards!I:I),"")</f>
        <v/>
      </c>
      <c r="O196" s="215">
        <f t="shared" si="1"/>
        <v>0</v>
      </c>
    </row>
    <row r="197">
      <c r="E197" s="20"/>
      <c r="G197" s="20"/>
      <c r="H197" s="213" t="str">
        <f t="array" ref="H197">IFNA(XLOOKUP($D197,Cards!$A:$A,Cards!C:C),"")</f>
        <v/>
      </c>
      <c r="I197" s="213" t="str">
        <f t="array" ref="I197">IFNA(XLOOKUP($D197,Cards!$A:$A,Cards!B:B),"")</f>
        <v/>
      </c>
      <c r="J197" s="213" t="str">
        <f t="array" ref="J197">IFNA(XLOOKUP($D197,Cards!$A:$A,Cards!D:D),"")</f>
        <v/>
      </c>
      <c r="K197" s="213" t="str">
        <f t="array" ref="K197">IFNA(XLOOKUP($D197,Cards!$A:$A,Cards!E:E),"")</f>
        <v/>
      </c>
      <c r="L197" s="214" t="str">
        <f t="array" ref="L197">IFNA(XLOOKUP($D197,Cards!$A:$A,Cards!G:G),"")</f>
        <v/>
      </c>
      <c r="M197" s="214" t="str">
        <f t="array" ref="M197">IFNA(XLOOKUP($D197,Cards!$A:$A,Cards!H:H),"")</f>
        <v/>
      </c>
      <c r="N197" s="214" t="str">
        <f t="array" ref="N197">IFNA(XLOOKUP($D197,Cards!$A:$A,Cards!I:I),"")</f>
        <v/>
      </c>
      <c r="O197" s="215">
        <f t="shared" si="1"/>
        <v>0</v>
      </c>
    </row>
    <row r="198">
      <c r="E198" s="20"/>
      <c r="G198" s="20"/>
      <c r="H198" s="213" t="str">
        <f t="array" ref="H198">IFNA(XLOOKUP($D198,Cards!$A:$A,Cards!C:C),"")</f>
        <v/>
      </c>
      <c r="I198" s="213" t="str">
        <f t="array" ref="I198">IFNA(XLOOKUP($D198,Cards!$A:$A,Cards!B:B),"")</f>
        <v/>
      </c>
      <c r="J198" s="213" t="str">
        <f t="array" ref="J198">IFNA(XLOOKUP($D198,Cards!$A:$A,Cards!D:D),"")</f>
        <v/>
      </c>
      <c r="K198" s="213" t="str">
        <f t="array" ref="K198">IFNA(XLOOKUP($D198,Cards!$A:$A,Cards!E:E),"")</f>
        <v/>
      </c>
      <c r="L198" s="214" t="str">
        <f t="array" ref="L198">IFNA(XLOOKUP($D198,Cards!$A:$A,Cards!G:G),"")</f>
        <v/>
      </c>
      <c r="M198" s="214" t="str">
        <f t="array" ref="M198">IFNA(XLOOKUP($D198,Cards!$A:$A,Cards!H:H),"")</f>
        <v/>
      </c>
      <c r="N198" s="214" t="str">
        <f t="array" ref="N198">IFNA(XLOOKUP($D198,Cards!$A:$A,Cards!I:I),"")</f>
        <v/>
      </c>
      <c r="O198" s="215">
        <f t="shared" si="1"/>
        <v>0</v>
      </c>
    </row>
    <row r="199">
      <c r="E199" s="20"/>
      <c r="G199" s="20"/>
      <c r="H199" s="213" t="str">
        <f t="array" ref="H199">IFNA(XLOOKUP($D199,Cards!$A:$A,Cards!C:C),"")</f>
        <v/>
      </c>
      <c r="I199" s="213" t="str">
        <f t="array" ref="I199">IFNA(XLOOKUP($D199,Cards!$A:$A,Cards!B:B),"")</f>
        <v/>
      </c>
      <c r="J199" s="213" t="str">
        <f t="array" ref="J199">IFNA(XLOOKUP($D199,Cards!$A:$A,Cards!D:D),"")</f>
        <v/>
      </c>
      <c r="K199" s="213" t="str">
        <f t="array" ref="K199">IFNA(XLOOKUP($D199,Cards!$A:$A,Cards!E:E),"")</f>
        <v/>
      </c>
      <c r="L199" s="214" t="str">
        <f t="array" ref="L199">IFNA(XLOOKUP($D199,Cards!$A:$A,Cards!G:G),"")</f>
        <v/>
      </c>
      <c r="M199" s="214" t="str">
        <f t="array" ref="M199">IFNA(XLOOKUP($D199,Cards!$A:$A,Cards!H:H),"")</f>
        <v/>
      </c>
      <c r="N199" s="214" t="str">
        <f t="array" ref="N199">IFNA(XLOOKUP($D199,Cards!$A:$A,Cards!I:I),"")</f>
        <v/>
      </c>
      <c r="O199" s="215">
        <f t="shared" si="1"/>
        <v>0</v>
      </c>
    </row>
    <row r="200">
      <c r="E200" s="20"/>
      <c r="G200" s="20"/>
      <c r="H200" s="213" t="str">
        <f t="array" ref="H200">IFNA(XLOOKUP($D200,Cards!$A:$A,Cards!C:C),"")</f>
        <v/>
      </c>
      <c r="I200" s="213" t="str">
        <f t="array" ref="I200">IFNA(XLOOKUP($D200,Cards!$A:$A,Cards!B:B),"")</f>
        <v/>
      </c>
      <c r="J200" s="213" t="str">
        <f t="array" ref="J200">IFNA(XLOOKUP($D200,Cards!$A:$A,Cards!D:D),"")</f>
        <v/>
      </c>
      <c r="K200" s="213" t="str">
        <f t="array" ref="K200">IFNA(XLOOKUP($D200,Cards!$A:$A,Cards!E:E),"")</f>
        <v/>
      </c>
      <c r="L200" s="214" t="str">
        <f t="array" ref="L200">IFNA(XLOOKUP($D200,Cards!$A:$A,Cards!G:G),"")</f>
        <v/>
      </c>
      <c r="M200" s="214" t="str">
        <f t="array" ref="M200">IFNA(XLOOKUP($D200,Cards!$A:$A,Cards!H:H),"")</f>
        <v/>
      </c>
      <c r="N200" s="214" t="str">
        <f t="array" ref="N200">IFNA(XLOOKUP($D200,Cards!$A:$A,Cards!I:I),"")</f>
        <v/>
      </c>
      <c r="O200" s="215">
        <f t="shared" si="1"/>
        <v>0</v>
      </c>
    </row>
    <row r="201">
      <c r="E201" s="20"/>
      <c r="G201" s="20"/>
      <c r="H201" s="213" t="str">
        <f t="array" ref="H201">IFNA(XLOOKUP($D201,Cards!$A:$A,Cards!C:C),"")</f>
        <v/>
      </c>
      <c r="I201" s="213" t="str">
        <f t="array" ref="I201">IFNA(XLOOKUP($D201,Cards!$A:$A,Cards!B:B),"")</f>
        <v/>
      </c>
      <c r="J201" s="213" t="str">
        <f t="array" ref="J201">IFNA(XLOOKUP($D201,Cards!$A:$A,Cards!D:D),"")</f>
        <v/>
      </c>
      <c r="K201" s="213" t="str">
        <f t="array" ref="K201">IFNA(XLOOKUP($D201,Cards!$A:$A,Cards!E:E),"")</f>
        <v/>
      </c>
      <c r="L201" s="214" t="str">
        <f t="array" ref="L201">IFNA(XLOOKUP($D201,Cards!$A:$A,Cards!G:G),"")</f>
        <v/>
      </c>
      <c r="M201" s="214" t="str">
        <f t="array" ref="M201">IFNA(XLOOKUP($D201,Cards!$A:$A,Cards!H:H),"")</f>
        <v/>
      </c>
      <c r="N201" s="214" t="str">
        <f t="array" ref="N201">IFNA(XLOOKUP($D201,Cards!$A:$A,Cards!I:I),"")</f>
        <v/>
      </c>
      <c r="O201" s="215">
        <f t="shared" si="1"/>
        <v>0</v>
      </c>
    </row>
    <row r="202">
      <c r="E202" s="20"/>
      <c r="G202" s="20"/>
      <c r="H202" s="213" t="str">
        <f t="array" ref="H202">IFNA(XLOOKUP($D202,Cards!$A:$A,Cards!C:C),"")</f>
        <v/>
      </c>
      <c r="I202" s="213" t="str">
        <f t="array" ref="I202">IFNA(XLOOKUP($D202,Cards!$A:$A,Cards!B:B),"")</f>
        <v/>
      </c>
      <c r="J202" s="213" t="str">
        <f t="array" ref="J202">IFNA(XLOOKUP($D202,Cards!$A:$A,Cards!D:D),"")</f>
        <v/>
      </c>
      <c r="K202" s="213" t="str">
        <f t="array" ref="K202">IFNA(XLOOKUP($D202,Cards!$A:$A,Cards!E:E),"")</f>
        <v/>
      </c>
      <c r="L202" s="214" t="str">
        <f t="array" ref="L202">IFNA(XLOOKUP($D202,Cards!$A:$A,Cards!G:G),"")</f>
        <v/>
      </c>
      <c r="M202" s="214" t="str">
        <f t="array" ref="M202">IFNA(XLOOKUP($D202,Cards!$A:$A,Cards!H:H),"")</f>
        <v/>
      </c>
      <c r="N202" s="214" t="str">
        <f t="array" ref="N202">IFNA(XLOOKUP($D202,Cards!$A:$A,Cards!I:I),"")</f>
        <v/>
      </c>
      <c r="O202" s="215">
        <f t="shared" si="1"/>
        <v>0</v>
      </c>
    </row>
    <row r="203">
      <c r="E203" s="20"/>
      <c r="G203" s="20"/>
      <c r="H203" s="213" t="str">
        <f t="array" ref="H203">IFNA(XLOOKUP($D203,Cards!$A:$A,Cards!C:C),"")</f>
        <v/>
      </c>
      <c r="I203" s="213" t="str">
        <f t="array" ref="I203">IFNA(XLOOKUP($D203,Cards!$A:$A,Cards!B:B),"")</f>
        <v/>
      </c>
      <c r="J203" s="213" t="str">
        <f t="array" ref="J203">IFNA(XLOOKUP($D203,Cards!$A:$A,Cards!D:D),"")</f>
        <v/>
      </c>
      <c r="K203" s="213" t="str">
        <f t="array" ref="K203">IFNA(XLOOKUP($D203,Cards!$A:$A,Cards!E:E),"")</f>
        <v/>
      </c>
      <c r="L203" s="214" t="str">
        <f t="array" ref="L203">IFNA(XLOOKUP($D203,Cards!$A:$A,Cards!G:G),"")</f>
        <v/>
      </c>
      <c r="M203" s="214" t="str">
        <f t="array" ref="M203">IFNA(XLOOKUP($D203,Cards!$A:$A,Cards!H:H),"")</f>
        <v/>
      </c>
      <c r="N203" s="214" t="str">
        <f t="array" ref="N203">IFNA(XLOOKUP($D203,Cards!$A:$A,Cards!I:I),"")</f>
        <v/>
      </c>
      <c r="O203" s="215">
        <f t="shared" si="1"/>
        <v>0</v>
      </c>
    </row>
    <row r="204">
      <c r="E204" s="20"/>
      <c r="G204" s="20"/>
      <c r="H204" s="213" t="str">
        <f t="array" ref="H204">IFNA(XLOOKUP($D204,Cards!$A:$A,Cards!C:C),"")</f>
        <v/>
      </c>
      <c r="I204" s="213" t="str">
        <f t="array" ref="I204">IFNA(XLOOKUP($D204,Cards!$A:$A,Cards!B:B),"")</f>
        <v/>
      </c>
      <c r="J204" s="213" t="str">
        <f t="array" ref="J204">IFNA(XLOOKUP($D204,Cards!$A:$A,Cards!D:D),"")</f>
        <v/>
      </c>
      <c r="K204" s="213" t="str">
        <f t="array" ref="K204">IFNA(XLOOKUP($D204,Cards!$A:$A,Cards!E:E),"")</f>
        <v/>
      </c>
      <c r="L204" s="214" t="str">
        <f t="array" ref="L204">IFNA(XLOOKUP($D204,Cards!$A:$A,Cards!G:G),"")</f>
        <v/>
      </c>
      <c r="M204" s="214" t="str">
        <f t="array" ref="M204">IFNA(XLOOKUP($D204,Cards!$A:$A,Cards!H:H),"")</f>
        <v/>
      </c>
      <c r="N204" s="214" t="str">
        <f t="array" ref="N204">IFNA(XLOOKUP($D204,Cards!$A:$A,Cards!I:I),"")</f>
        <v/>
      </c>
      <c r="O204" s="215">
        <f t="shared" si="1"/>
        <v>0</v>
      </c>
    </row>
    <row r="205">
      <c r="E205" s="20"/>
      <c r="G205" s="20"/>
      <c r="H205" s="213" t="str">
        <f t="array" ref="H205">IFNA(XLOOKUP($D205,Cards!$A:$A,Cards!C:C),"")</f>
        <v/>
      </c>
      <c r="I205" s="213" t="str">
        <f t="array" ref="I205">IFNA(XLOOKUP($D205,Cards!$A:$A,Cards!B:B),"")</f>
        <v/>
      </c>
      <c r="J205" s="213" t="str">
        <f t="array" ref="J205">IFNA(XLOOKUP($D205,Cards!$A:$A,Cards!D:D),"")</f>
        <v/>
      </c>
      <c r="K205" s="213" t="str">
        <f t="array" ref="K205">IFNA(XLOOKUP($D205,Cards!$A:$A,Cards!E:E),"")</f>
        <v/>
      </c>
      <c r="L205" s="214" t="str">
        <f t="array" ref="L205">IFNA(XLOOKUP($D205,Cards!$A:$A,Cards!G:G),"")</f>
        <v/>
      </c>
      <c r="M205" s="214" t="str">
        <f t="array" ref="M205">IFNA(XLOOKUP($D205,Cards!$A:$A,Cards!H:H),"")</f>
        <v/>
      </c>
      <c r="N205" s="214" t="str">
        <f t="array" ref="N205">IFNA(XLOOKUP($D205,Cards!$A:$A,Cards!I:I),"")</f>
        <v/>
      </c>
      <c r="O205" s="215">
        <f t="shared" si="1"/>
        <v>0</v>
      </c>
    </row>
    <row r="206">
      <c r="E206" s="20"/>
      <c r="G206" s="20"/>
      <c r="H206" s="213" t="str">
        <f t="array" ref="H206">IFNA(XLOOKUP($D206,Cards!$A:$A,Cards!C:C),"")</f>
        <v/>
      </c>
      <c r="I206" s="213" t="str">
        <f t="array" ref="I206">IFNA(XLOOKUP($D206,Cards!$A:$A,Cards!B:B),"")</f>
        <v/>
      </c>
      <c r="J206" s="213" t="str">
        <f t="array" ref="J206">IFNA(XLOOKUP($D206,Cards!$A:$A,Cards!D:D),"")</f>
        <v/>
      </c>
      <c r="K206" s="213" t="str">
        <f t="array" ref="K206">IFNA(XLOOKUP($D206,Cards!$A:$A,Cards!E:E),"")</f>
        <v/>
      </c>
      <c r="L206" s="214" t="str">
        <f t="array" ref="L206">IFNA(XLOOKUP($D206,Cards!$A:$A,Cards!G:G),"")</f>
        <v/>
      </c>
      <c r="M206" s="214" t="str">
        <f t="array" ref="M206">IFNA(XLOOKUP($D206,Cards!$A:$A,Cards!H:H),"")</f>
        <v/>
      </c>
      <c r="N206" s="214" t="str">
        <f t="array" ref="N206">IFNA(XLOOKUP($D206,Cards!$A:$A,Cards!I:I),"")</f>
        <v/>
      </c>
      <c r="O206" s="215">
        <f t="shared" si="1"/>
        <v>0</v>
      </c>
    </row>
    <row r="207">
      <c r="E207" s="20"/>
      <c r="G207" s="20"/>
      <c r="H207" s="213" t="str">
        <f t="array" ref="H207">IFNA(XLOOKUP($D207,Cards!$A:$A,Cards!C:C),"")</f>
        <v/>
      </c>
      <c r="I207" s="213" t="str">
        <f t="array" ref="I207">IFNA(XLOOKUP($D207,Cards!$A:$A,Cards!B:B),"")</f>
        <v/>
      </c>
      <c r="J207" s="213" t="str">
        <f t="array" ref="J207">IFNA(XLOOKUP($D207,Cards!$A:$A,Cards!D:D),"")</f>
        <v/>
      </c>
      <c r="K207" s="213" t="str">
        <f t="array" ref="K207">IFNA(XLOOKUP($D207,Cards!$A:$A,Cards!E:E),"")</f>
        <v/>
      </c>
      <c r="L207" s="214" t="str">
        <f t="array" ref="L207">IFNA(XLOOKUP($D207,Cards!$A:$A,Cards!G:G),"")</f>
        <v/>
      </c>
      <c r="M207" s="214" t="str">
        <f t="array" ref="M207">IFNA(XLOOKUP($D207,Cards!$A:$A,Cards!H:H),"")</f>
        <v/>
      </c>
      <c r="N207" s="214" t="str">
        <f t="array" ref="N207">IFNA(XLOOKUP($D207,Cards!$A:$A,Cards!I:I),"")</f>
        <v/>
      </c>
      <c r="O207" s="215">
        <f t="shared" si="1"/>
        <v>0</v>
      </c>
    </row>
    <row r="208">
      <c r="E208" s="20"/>
      <c r="G208" s="20"/>
      <c r="H208" s="213" t="str">
        <f t="array" ref="H208">IFNA(XLOOKUP($D208,Cards!$A:$A,Cards!C:C),"")</f>
        <v/>
      </c>
      <c r="I208" s="213" t="str">
        <f t="array" ref="I208">IFNA(XLOOKUP($D208,Cards!$A:$A,Cards!B:B),"")</f>
        <v/>
      </c>
      <c r="J208" s="213" t="str">
        <f t="array" ref="J208">IFNA(XLOOKUP($D208,Cards!$A:$A,Cards!D:D),"")</f>
        <v/>
      </c>
      <c r="K208" s="213" t="str">
        <f t="array" ref="K208">IFNA(XLOOKUP($D208,Cards!$A:$A,Cards!E:E),"")</f>
        <v/>
      </c>
      <c r="L208" s="214" t="str">
        <f t="array" ref="L208">IFNA(XLOOKUP($D208,Cards!$A:$A,Cards!G:G),"")</f>
        <v/>
      </c>
      <c r="M208" s="214" t="str">
        <f t="array" ref="M208">IFNA(XLOOKUP($D208,Cards!$A:$A,Cards!H:H),"")</f>
        <v/>
      </c>
      <c r="N208" s="214" t="str">
        <f t="array" ref="N208">IFNA(XLOOKUP($D208,Cards!$A:$A,Cards!I:I),"")</f>
        <v/>
      </c>
      <c r="O208" s="215">
        <f t="shared" si="1"/>
        <v>0</v>
      </c>
    </row>
    <row r="209">
      <c r="E209" s="20"/>
      <c r="G209" s="20"/>
      <c r="H209" s="213" t="str">
        <f t="array" ref="H209">IFNA(XLOOKUP($D209,Cards!$A:$A,Cards!C:C),"")</f>
        <v/>
      </c>
      <c r="I209" s="213" t="str">
        <f t="array" ref="I209">IFNA(XLOOKUP($D209,Cards!$A:$A,Cards!B:B),"")</f>
        <v/>
      </c>
      <c r="J209" s="213" t="str">
        <f t="array" ref="J209">IFNA(XLOOKUP($D209,Cards!$A:$A,Cards!D:D),"")</f>
        <v/>
      </c>
      <c r="K209" s="213" t="str">
        <f t="array" ref="K209">IFNA(XLOOKUP($D209,Cards!$A:$A,Cards!E:E),"")</f>
        <v/>
      </c>
      <c r="L209" s="214" t="str">
        <f t="array" ref="L209">IFNA(XLOOKUP($D209,Cards!$A:$A,Cards!G:G),"")</f>
        <v/>
      </c>
      <c r="M209" s="214" t="str">
        <f t="array" ref="M209">IFNA(XLOOKUP($D209,Cards!$A:$A,Cards!H:H),"")</f>
        <v/>
      </c>
      <c r="N209" s="214" t="str">
        <f t="array" ref="N209">IFNA(XLOOKUP($D209,Cards!$A:$A,Cards!I:I),"")</f>
        <v/>
      </c>
      <c r="O209" s="215">
        <f t="shared" si="1"/>
        <v>0</v>
      </c>
    </row>
    <row r="210">
      <c r="E210" s="20"/>
      <c r="G210" s="20"/>
      <c r="H210" s="213" t="str">
        <f t="array" ref="H210">IFNA(XLOOKUP($D210,Cards!$A:$A,Cards!C:C),"")</f>
        <v/>
      </c>
      <c r="I210" s="213" t="str">
        <f t="array" ref="I210">IFNA(XLOOKUP($D210,Cards!$A:$A,Cards!B:B),"")</f>
        <v/>
      </c>
      <c r="J210" s="213" t="str">
        <f t="array" ref="J210">IFNA(XLOOKUP($D210,Cards!$A:$A,Cards!D:D),"")</f>
        <v/>
      </c>
      <c r="K210" s="213" t="str">
        <f t="array" ref="K210">IFNA(XLOOKUP($D210,Cards!$A:$A,Cards!E:E),"")</f>
        <v/>
      </c>
      <c r="L210" s="214" t="str">
        <f t="array" ref="L210">IFNA(XLOOKUP($D210,Cards!$A:$A,Cards!G:G),"")</f>
        <v/>
      </c>
      <c r="M210" s="214" t="str">
        <f t="array" ref="M210">IFNA(XLOOKUP($D210,Cards!$A:$A,Cards!H:H),"")</f>
        <v/>
      </c>
      <c r="N210" s="214" t="str">
        <f t="array" ref="N210">IFNA(XLOOKUP($D210,Cards!$A:$A,Cards!I:I),"")</f>
        <v/>
      </c>
      <c r="O210" s="215">
        <f t="shared" si="1"/>
        <v>0</v>
      </c>
    </row>
    <row r="211">
      <c r="E211" s="20"/>
      <c r="G211" s="20"/>
      <c r="H211" s="213" t="str">
        <f t="array" ref="H211">IFNA(XLOOKUP($D211,Cards!$A:$A,Cards!C:C),"")</f>
        <v/>
      </c>
      <c r="I211" s="213" t="str">
        <f t="array" ref="I211">IFNA(XLOOKUP($D211,Cards!$A:$A,Cards!B:B),"")</f>
        <v/>
      </c>
      <c r="J211" s="213" t="str">
        <f t="array" ref="J211">IFNA(XLOOKUP($D211,Cards!$A:$A,Cards!D:D),"")</f>
        <v/>
      </c>
      <c r="K211" s="213" t="str">
        <f t="array" ref="K211">IFNA(XLOOKUP($D211,Cards!$A:$A,Cards!E:E),"")</f>
        <v/>
      </c>
      <c r="L211" s="214" t="str">
        <f t="array" ref="L211">IFNA(XLOOKUP($D211,Cards!$A:$A,Cards!G:G),"")</f>
        <v/>
      </c>
      <c r="M211" s="214" t="str">
        <f t="array" ref="M211">IFNA(XLOOKUP($D211,Cards!$A:$A,Cards!H:H),"")</f>
        <v/>
      </c>
      <c r="N211" s="214" t="str">
        <f t="array" ref="N211">IFNA(XLOOKUP($D211,Cards!$A:$A,Cards!I:I),"")</f>
        <v/>
      </c>
      <c r="O211" s="215">
        <f t="shared" si="1"/>
        <v>0</v>
      </c>
    </row>
    <row r="212">
      <c r="E212" s="20"/>
      <c r="G212" s="20"/>
      <c r="H212" s="213" t="str">
        <f t="array" ref="H212">IFNA(XLOOKUP($D212,Cards!$A:$A,Cards!C:C),"")</f>
        <v/>
      </c>
      <c r="I212" s="213" t="str">
        <f t="array" ref="I212">IFNA(XLOOKUP($D212,Cards!$A:$A,Cards!B:B),"")</f>
        <v/>
      </c>
      <c r="J212" s="213" t="str">
        <f t="array" ref="J212">IFNA(XLOOKUP($D212,Cards!$A:$A,Cards!D:D),"")</f>
        <v/>
      </c>
      <c r="K212" s="213" t="str">
        <f t="array" ref="K212">IFNA(XLOOKUP($D212,Cards!$A:$A,Cards!E:E),"")</f>
        <v/>
      </c>
      <c r="L212" s="214" t="str">
        <f t="array" ref="L212">IFNA(XLOOKUP($D212,Cards!$A:$A,Cards!G:G),"")</f>
        <v/>
      </c>
      <c r="M212" s="214" t="str">
        <f t="array" ref="M212">IFNA(XLOOKUP($D212,Cards!$A:$A,Cards!H:H),"")</f>
        <v/>
      </c>
      <c r="N212" s="214" t="str">
        <f t="array" ref="N212">IFNA(XLOOKUP($D212,Cards!$A:$A,Cards!I:I),"")</f>
        <v/>
      </c>
      <c r="O212" s="215">
        <f t="shared" si="1"/>
        <v>0</v>
      </c>
    </row>
    <row r="213">
      <c r="E213" s="20"/>
      <c r="G213" s="20"/>
      <c r="H213" s="213" t="str">
        <f t="array" ref="H213">IFNA(XLOOKUP($D213,Cards!$A:$A,Cards!C:C),"")</f>
        <v/>
      </c>
      <c r="I213" s="213" t="str">
        <f t="array" ref="I213">IFNA(XLOOKUP($D213,Cards!$A:$A,Cards!B:B),"")</f>
        <v/>
      </c>
      <c r="J213" s="213" t="str">
        <f t="array" ref="J213">IFNA(XLOOKUP($D213,Cards!$A:$A,Cards!D:D),"")</f>
        <v/>
      </c>
      <c r="K213" s="213" t="str">
        <f t="array" ref="K213">IFNA(XLOOKUP($D213,Cards!$A:$A,Cards!E:E),"")</f>
        <v/>
      </c>
      <c r="L213" s="214" t="str">
        <f t="array" ref="L213">IFNA(XLOOKUP($D213,Cards!$A:$A,Cards!G:G),"")</f>
        <v/>
      </c>
      <c r="M213" s="214" t="str">
        <f t="array" ref="M213">IFNA(XLOOKUP($D213,Cards!$A:$A,Cards!H:H),"")</f>
        <v/>
      </c>
      <c r="N213" s="214" t="str">
        <f t="array" ref="N213">IFNA(XLOOKUP($D213,Cards!$A:$A,Cards!I:I),"")</f>
        <v/>
      </c>
      <c r="O213" s="215">
        <f t="shared" si="1"/>
        <v>0</v>
      </c>
    </row>
    <row r="214">
      <c r="E214" s="20"/>
      <c r="G214" s="20"/>
      <c r="H214" s="213" t="str">
        <f t="array" ref="H214">IFNA(XLOOKUP($D214,Cards!$A:$A,Cards!C:C),"")</f>
        <v/>
      </c>
      <c r="I214" s="213" t="str">
        <f t="array" ref="I214">IFNA(XLOOKUP($D214,Cards!$A:$A,Cards!B:B),"")</f>
        <v/>
      </c>
      <c r="J214" s="213" t="str">
        <f t="array" ref="J214">IFNA(XLOOKUP($D214,Cards!$A:$A,Cards!D:D),"")</f>
        <v/>
      </c>
      <c r="K214" s="213" t="str">
        <f t="array" ref="K214">IFNA(XLOOKUP($D214,Cards!$A:$A,Cards!E:E),"")</f>
        <v/>
      </c>
      <c r="L214" s="214" t="str">
        <f t="array" ref="L214">IFNA(XLOOKUP($D214,Cards!$A:$A,Cards!G:G),"")</f>
        <v/>
      </c>
      <c r="M214" s="214" t="str">
        <f t="array" ref="M214">IFNA(XLOOKUP($D214,Cards!$A:$A,Cards!H:H),"")</f>
        <v/>
      </c>
      <c r="N214" s="214" t="str">
        <f t="array" ref="N214">IFNA(XLOOKUP($D214,Cards!$A:$A,Cards!I:I),"")</f>
        <v/>
      </c>
      <c r="O214" s="215">
        <f t="shared" si="1"/>
        <v>0</v>
      </c>
    </row>
    <row r="215">
      <c r="E215" s="20"/>
      <c r="G215" s="20"/>
      <c r="H215" s="213" t="str">
        <f t="array" ref="H215">IFNA(XLOOKUP($D215,Cards!$A:$A,Cards!C:C),"")</f>
        <v/>
      </c>
      <c r="I215" s="213" t="str">
        <f t="array" ref="I215">IFNA(XLOOKUP($D215,Cards!$A:$A,Cards!B:B),"")</f>
        <v/>
      </c>
      <c r="J215" s="213" t="str">
        <f t="array" ref="J215">IFNA(XLOOKUP($D215,Cards!$A:$A,Cards!D:D),"")</f>
        <v/>
      </c>
      <c r="K215" s="213" t="str">
        <f t="array" ref="K215">IFNA(XLOOKUP($D215,Cards!$A:$A,Cards!E:E),"")</f>
        <v/>
      </c>
      <c r="L215" s="214" t="str">
        <f t="array" ref="L215">IFNA(XLOOKUP($D215,Cards!$A:$A,Cards!G:G),"")</f>
        <v/>
      </c>
      <c r="M215" s="214" t="str">
        <f t="array" ref="M215">IFNA(XLOOKUP($D215,Cards!$A:$A,Cards!H:H),"")</f>
        <v/>
      </c>
      <c r="N215" s="214" t="str">
        <f t="array" ref="N215">IFNA(XLOOKUP($D215,Cards!$A:$A,Cards!I:I),"")</f>
        <v/>
      </c>
      <c r="O215" s="215">
        <f t="shared" si="1"/>
        <v>0</v>
      </c>
    </row>
    <row r="216">
      <c r="E216" s="20"/>
      <c r="G216" s="20"/>
      <c r="H216" s="213" t="str">
        <f t="array" ref="H216">IFNA(XLOOKUP($D216,Cards!$A:$A,Cards!C:C),"")</f>
        <v/>
      </c>
      <c r="I216" s="213" t="str">
        <f t="array" ref="I216">IFNA(XLOOKUP($D216,Cards!$A:$A,Cards!B:B),"")</f>
        <v/>
      </c>
      <c r="J216" s="213" t="str">
        <f t="array" ref="J216">IFNA(XLOOKUP($D216,Cards!$A:$A,Cards!D:D),"")</f>
        <v/>
      </c>
      <c r="K216" s="213" t="str">
        <f t="array" ref="K216">IFNA(XLOOKUP($D216,Cards!$A:$A,Cards!E:E),"")</f>
        <v/>
      </c>
      <c r="L216" s="214" t="str">
        <f t="array" ref="L216">IFNA(XLOOKUP($D216,Cards!$A:$A,Cards!G:G),"")</f>
        <v/>
      </c>
      <c r="M216" s="214" t="str">
        <f t="array" ref="M216">IFNA(XLOOKUP($D216,Cards!$A:$A,Cards!H:H),"")</f>
        <v/>
      </c>
      <c r="N216" s="214" t="str">
        <f t="array" ref="N216">IFNA(XLOOKUP($D216,Cards!$A:$A,Cards!I:I),"")</f>
        <v/>
      </c>
      <c r="O216" s="215">
        <f t="shared" si="1"/>
        <v>0</v>
      </c>
    </row>
    <row r="217">
      <c r="E217" s="20"/>
      <c r="G217" s="20"/>
      <c r="H217" s="213"/>
      <c r="I217" s="213" t="str">
        <f t="array" ref="I217">IFNA(XLOOKUP($D217,Cards!$A:$A,Cards!B:B),"")</f>
        <v/>
      </c>
      <c r="J217" s="213" t="str">
        <f t="array" ref="J217">IFNA(XLOOKUP($D217,Cards!$A:$A,Cards!D:D),"")</f>
        <v/>
      </c>
      <c r="K217" s="213" t="str">
        <f t="array" ref="K217">IFNA(XLOOKUP($D217,Cards!$A:$A,Cards!E:E),"")</f>
        <v/>
      </c>
      <c r="L217" s="214" t="str">
        <f t="array" ref="L217">IFNA(XLOOKUP($D217,Cards!$A:$A,Cards!G:G),"")</f>
        <v/>
      </c>
      <c r="M217" s="214" t="str">
        <f t="array" ref="M217">IFNA(XLOOKUP($D217,Cards!$A:$A,Cards!H:H),"")</f>
        <v/>
      </c>
      <c r="N217" s="214" t="str">
        <f t="array" ref="N217">IFNA(XLOOKUP($D217,Cards!$A:$A,Cards!I:I),"")</f>
        <v/>
      </c>
      <c r="O217" s="215">
        <f t="shared" si="1"/>
        <v>0</v>
      </c>
    </row>
    <row r="218">
      <c r="E218" s="20"/>
      <c r="G218" s="20"/>
      <c r="H218" s="213"/>
      <c r="I218" s="213" t="str">
        <f t="array" ref="I218">IFNA(XLOOKUP($D218,Cards!$A:$A,Cards!B:B),"")</f>
        <v/>
      </c>
      <c r="J218" s="213" t="str">
        <f t="array" ref="J218">IFNA(XLOOKUP($D218,Cards!$A:$A,Cards!D:D),"")</f>
        <v/>
      </c>
      <c r="K218" s="213" t="str">
        <f t="array" ref="K218">IFNA(XLOOKUP($D218,Cards!$A:$A,Cards!E:E),"")</f>
        <v/>
      </c>
      <c r="L218" s="214" t="str">
        <f t="array" ref="L218">IFNA(XLOOKUP($D218,Cards!$A:$A,Cards!G:G),"")</f>
        <v/>
      </c>
      <c r="M218" s="214" t="str">
        <f t="array" ref="M218">IFNA(XLOOKUP($D218,Cards!$A:$A,Cards!H:H),"")</f>
        <v/>
      </c>
      <c r="N218" s="214" t="str">
        <f t="array" ref="N218">IFNA(XLOOKUP($D218,Cards!$A:$A,Cards!I:I),"")</f>
        <v/>
      </c>
      <c r="O218" s="215">
        <f t="shared" si="1"/>
        <v>0</v>
      </c>
    </row>
    <row r="219">
      <c r="E219" s="20"/>
      <c r="G219" s="20"/>
      <c r="H219" s="213"/>
      <c r="I219" s="213" t="str">
        <f t="array" ref="I219">IFNA(XLOOKUP($D219,Cards!$A:$A,Cards!B:B),"")</f>
        <v/>
      </c>
      <c r="J219" s="213" t="str">
        <f t="array" ref="J219">IFNA(XLOOKUP($D219,Cards!$A:$A,Cards!D:D),"")</f>
        <v/>
      </c>
      <c r="K219" s="213" t="str">
        <f t="array" ref="K219">IFNA(XLOOKUP($D219,Cards!$A:$A,Cards!E:E),"")</f>
        <v/>
      </c>
      <c r="L219" s="214" t="str">
        <f t="array" ref="L219">IFNA(XLOOKUP($D219,Cards!$A:$A,Cards!G:G),"")</f>
        <v/>
      </c>
      <c r="M219" s="214" t="str">
        <f t="array" ref="M219">IFNA(XLOOKUP($D219,Cards!$A:$A,Cards!H:H),"")</f>
        <v/>
      </c>
      <c r="N219" s="214" t="str">
        <f t="array" ref="N219">IFNA(XLOOKUP($D219,Cards!$A:$A,Cards!I:I),"")</f>
        <v/>
      </c>
      <c r="O219" s="215">
        <f t="shared" si="1"/>
        <v>0</v>
      </c>
    </row>
    <row r="220">
      <c r="E220" s="20"/>
      <c r="G220" s="20"/>
      <c r="H220" s="213"/>
      <c r="I220" s="213" t="str">
        <f t="array" ref="I220">IFNA(XLOOKUP($D220,Cards!$A:$A,Cards!B:B),"")</f>
        <v/>
      </c>
      <c r="J220" s="213" t="str">
        <f t="array" ref="J220">IFNA(XLOOKUP($D220,Cards!$A:$A,Cards!D:D),"")</f>
        <v/>
      </c>
      <c r="K220" s="213" t="str">
        <f t="array" ref="K220">IFNA(XLOOKUP($D220,Cards!$A:$A,Cards!E:E),"")</f>
        <v/>
      </c>
      <c r="L220" s="214" t="str">
        <f t="array" ref="L220">IFNA(XLOOKUP($D220,Cards!$A:$A,Cards!G:G),"")</f>
        <v/>
      </c>
      <c r="M220" s="214" t="str">
        <f t="array" ref="M220">IFNA(XLOOKUP($D220,Cards!$A:$A,Cards!H:H),"")</f>
        <v/>
      </c>
      <c r="N220" s="214" t="str">
        <f t="array" ref="N220">IFNA(XLOOKUP($D220,Cards!$A:$A,Cards!I:I),"")</f>
        <v/>
      </c>
      <c r="O220" s="215">
        <f t="shared" si="1"/>
        <v>0</v>
      </c>
    </row>
    <row r="221">
      <c r="E221" s="20"/>
      <c r="G221" s="20"/>
      <c r="H221" s="213"/>
      <c r="I221" s="213" t="str">
        <f t="array" ref="I221">IFNA(XLOOKUP($D221,Cards!$A:$A,Cards!B:B),"")</f>
        <v/>
      </c>
      <c r="J221" s="213" t="str">
        <f t="array" ref="J221">IFNA(XLOOKUP($D221,Cards!$A:$A,Cards!D:D),"")</f>
        <v/>
      </c>
      <c r="K221" s="213" t="str">
        <f t="array" ref="K221">IFNA(XLOOKUP($D221,Cards!$A:$A,Cards!E:E),"")</f>
        <v/>
      </c>
      <c r="L221" s="214" t="str">
        <f t="array" ref="L221">IFNA(XLOOKUP($D221,Cards!$A:$A,Cards!G:G),"")</f>
        <v/>
      </c>
      <c r="M221" s="214" t="str">
        <f t="array" ref="M221">IFNA(XLOOKUP($D221,Cards!$A:$A,Cards!H:H),"")</f>
        <v/>
      </c>
      <c r="N221" s="214" t="str">
        <f t="array" ref="N221">IFNA(XLOOKUP($D221,Cards!$A:$A,Cards!I:I),"")</f>
        <v/>
      </c>
      <c r="O221" s="215">
        <f t="shared" si="1"/>
        <v>0</v>
      </c>
    </row>
    <row r="222">
      <c r="E222" s="20"/>
      <c r="G222" s="20"/>
      <c r="H222" s="213"/>
      <c r="I222" s="213" t="str">
        <f t="array" ref="I222">IFNA(XLOOKUP($D222,Cards!$A:$A,Cards!B:B),"")</f>
        <v/>
      </c>
      <c r="J222" s="213" t="str">
        <f t="array" ref="J222">IFNA(XLOOKUP($D222,Cards!$A:$A,Cards!D:D),"")</f>
        <v/>
      </c>
      <c r="K222" s="213" t="str">
        <f t="array" ref="K222">IFNA(XLOOKUP($D222,Cards!$A:$A,Cards!E:E),"")</f>
        <v/>
      </c>
      <c r="L222" s="214" t="str">
        <f t="array" ref="L222">IFNA(XLOOKUP($D222,Cards!$A:$A,Cards!G:G),"")</f>
        <v/>
      </c>
      <c r="M222" s="214" t="str">
        <f t="array" ref="M222">IFNA(XLOOKUP($D222,Cards!$A:$A,Cards!H:H),"")</f>
        <v/>
      </c>
      <c r="N222" s="214" t="str">
        <f t="array" ref="N222">IFNA(XLOOKUP($D222,Cards!$A:$A,Cards!I:I),"")</f>
        <v/>
      </c>
      <c r="O222" s="215">
        <f t="shared" si="1"/>
        <v>0</v>
      </c>
    </row>
    <row r="223">
      <c r="E223" s="20"/>
      <c r="G223" s="20"/>
      <c r="H223" s="213"/>
      <c r="I223" s="213" t="str">
        <f t="array" ref="I223">IFNA(XLOOKUP($D223,Cards!$A:$A,Cards!B:B),"")</f>
        <v/>
      </c>
      <c r="J223" s="213" t="str">
        <f t="array" ref="J223">IFNA(XLOOKUP($D223,Cards!$A:$A,Cards!D:D),"")</f>
        <v/>
      </c>
      <c r="K223" s="213" t="str">
        <f t="array" ref="K223">IFNA(XLOOKUP($D223,Cards!$A:$A,Cards!E:E),"")</f>
        <v/>
      </c>
      <c r="L223" s="214" t="str">
        <f t="array" ref="L223">IFNA(XLOOKUP($D223,Cards!$A:$A,Cards!G:G),"")</f>
        <v/>
      </c>
      <c r="M223" s="214" t="str">
        <f t="array" ref="M223">IFNA(XLOOKUP($D223,Cards!$A:$A,Cards!H:H),"")</f>
        <v/>
      </c>
      <c r="N223" s="214" t="str">
        <f t="array" ref="N223">IFNA(XLOOKUP($D223,Cards!$A:$A,Cards!I:I),"")</f>
        <v/>
      </c>
      <c r="O223" s="215">
        <f t="shared" si="1"/>
        <v>0</v>
      </c>
    </row>
    <row r="224">
      <c r="E224" s="20"/>
      <c r="G224" s="20"/>
      <c r="H224" s="213"/>
      <c r="I224" s="213" t="str">
        <f t="array" ref="I224">IFNA(XLOOKUP($D224,Cards!$A:$A,Cards!B:B),"")</f>
        <v/>
      </c>
      <c r="J224" s="213" t="str">
        <f t="array" ref="J224">IFNA(XLOOKUP($D224,Cards!$A:$A,Cards!D:D),"")</f>
        <v/>
      </c>
      <c r="K224" s="213" t="str">
        <f t="array" ref="K224">IFNA(XLOOKUP($D224,Cards!$A:$A,Cards!E:E),"")</f>
        <v/>
      </c>
      <c r="L224" s="214" t="str">
        <f t="array" ref="L224">IFNA(XLOOKUP($D224,Cards!$A:$A,Cards!G:G),"")</f>
        <v/>
      </c>
      <c r="M224" s="214" t="str">
        <f t="array" ref="M224">IFNA(XLOOKUP($D224,Cards!$A:$A,Cards!H:H),"")</f>
        <v/>
      </c>
      <c r="N224" s="214" t="str">
        <f t="array" ref="N224">IFNA(XLOOKUP($D224,Cards!$A:$A,Cards!I:I),"")</f>
        <v/>
      </c>
      <c r="O224" s="215">
        <f t="shared" si="1"/>
        <v>0</v>
      </c>
    </row>
    <row r="225">
      <c r="E225" s="20"/>
      <c r="G225" s="20"/>
      <c r="H225" s="213"/>
      <c r="I225" s="213" t="str">
        <f t="array" ref="I225">IFNA(XLOOKUP($D225,Cards!$A:$A,Cards!B:B),"")</f>
        <v/>
      </c>
      <c r="J225" s="213" t="str">
        <f t="array" ref="J225">IFNA(XLOOKUP($D225,Cards!$A:$A,Cards!D:D),"")</f>
        <v/>
      </c>
      <c r="K225" s="213" t="str">
        <f t="array" ref="K225">IFNA(XLOOKUP($D225,Cards!$A:$A,Cards!E:E),"")</f>
        <v/>
      </c>
      <c r="L225" s="214" t="str">
        <f t="array" ref="L225">IFNA(XLOOKUP($D225,Cards!$A:$A,Cards!G:G),"")</f>
        <v/>
      </c>
      <c r="M225" s="214" t="str">
        <f t="array" ref="M225">IFNA(XLOOKUP($D225,Cards!$A:$A,Cards!H:H),"")</f>
        <v/>
      </c>
      <c r="N225" s="214" t="str">
        <f t="array" ref="N225">IFNA(XLOOKUP($D225,Cards!$A:$A,Cards!I:I),"")</f>
        <v/>
      </c>
      <c r="O225" s="215">
        <f t="shared" si="1"/>
        <v>0</v>
      </c>
    </row>
    <row r="226">
      <c r="E226" s="20"/>
      <c r="G226" s="20"/>
      <c r="H226" s="213"/>
      <c r="I226" s="213" t="str">
        <f t="array" ref="I226">IFNA(XLOOKUP($D226,Cards!$A:$A,Cards!B:B),"")</f>
        <v/>
      </c>
      <c r="J226" s="213" t="str">
        <f t="array" ref="J226">IFNA(XLOOKUP($D226,Cards!$A:$A,Cards!D:D),"")</f>
        <v/>
      </c>
      <c r="K226" s="213" t="str">
        <f t="array" ref="K226">IFNA(XLOOKUP($D226,Cards!$A:$A,Cards!E:E),"")</f>
        <v/>
      </c>
      <c r="L226" s="214" t="str">
        <f t="array" ref="L226">IFNA(XLOOKUP($D226,Cards!$A:$A,Cards!G:G),"")</f>
        <v/>
      </c>
      <c r="M226" s="214" t="str">
        <f t="array" ref="M226">IFNA(XLOOKUP($D226,Cards!$A:$A,Cards!H:H),"")</f>
        <v/>
      </c>
      <c r="N226" s="214" t="str">
        <f t="array" ref="N226">IFNA(XLOOKUP($D226,Cards!$A:$A,Cards!I:I),"")</f>
        <v/>
      </c>
      <c r="O226" s="215">
        <f t="shared" si="1"/>
        <v>0</v>
      </c>
    </row>
    <row r="227">
      <c r="E227" s="20"/>
      <c r="G227" s="20"/>
      <c r="H227" s="213"/>
      <c r="I227" s="213" t="str">
        <f t="array" ref="I227">IFNA(XLOOKUP($D227,Cards!$A:$A,Cards!B:B),"")</f>
        <v/>
      </c>
      <c r="J227" s="213" t="str">
        <f t="array" ref="J227">IFNA(XLOOKUP($D227,Cards!$A:$A,Cards!D:D),"")</f>
        <v/>
      </c>
      <c r="K227" s="213" t="str">
        <f t="array" ref="K227">IFNA(XLOOKUP($D227,Cards!$A:$A,Cards!E:E),"")</f>
        <v/>
      </c>
      <c r="L227" s="214" t="str">
        <f t="array" ref="L227">IFNA(XLOOKUP($D227,Cards!$A:$A,Cards!G:G),"")</f>
        <v/>
      </c>
      <c r="M227" s="214" t="str">
        <f t="array" ref="M227">IFNA(XLOOKUP($D227,Cards!$A:$A,Cards!H:H),"")</f>
        <v/>
      </c>
      <c r="N227" s="214" t="str">
        <f t="array" ref="N227">IFNA(XLOOKUP($D227,Cards!$A:$A,Cards!I:I),"")</f>
        <v/>
      </c>
      <c r="O227" s="215">
        <f t="shared" si="1"/>
        <v>0</v>
      </c>
    </row>
    <row r="228">
      <c r="E228" s="20"/>
      <c r="G228" s="20"/>
      <c r="H228" s="213"/>
      <c r="I228" s="213" t="str">
        <f t="array" ref="I228">IFNA(XLOOKUP($D228,Cards!$A:$A,Cards!B:B),"")</f>
        <v/>
      </c>
      <c r="J228" s="213" t="str">
        <f t="array" ref="J228">IFNA(XLOOKUP($D228,Cards!$A:$A,Cards!D:D),"")</f>
        <v/>
      </c>
      <c r="K228" s="213" t="str">
        <f t="array" ref="K228">IFNA(XLOOKUP($D228,Cards!$A:$A,Cards!E:E),"")</f>
        <v/>
      </c>
      <c r="L228" s="214" t="str">
        <f t="array" ref="L228">IFNA(XLOOKUP($D228,Cards!$A:$A,Cards!G:G),"")</f>
        <v/>
      </c>
      <c r="M228" s="214" t="str">
        <f t="array" ref="M228">IFNA(XLOOKUP($D228,Cards!$A:$A,Cards!H:H),"")</f>
        <v/>
      </c>
      <c r="N228" s="214" t="str">
        <f t="array" ref="N228">IFNA(XLOOKUP($D228,Cards!$A:$A,Cards!I:I),"")</f>
        <v/>
      </c>
      <c r="O228" s="215">
        <f t="shared" si="1"/>
        <v>0</v>
      </c>
    </row>
    <row r="229">
      <c r="E229" s="20"/>
      <c r="G229" s="20"/>
      <c r="H229" s="213"/>
      <c r="I229" s="213" t="str">
        <f t="array" ref="I229">IFNA(XLOOKUP($D229,Cards!$A:$A,Cards!B:B),"")</f>
        <v/>
      </c>
      <c r="J229" s="213" t="str">
        <f t="array" ref="J229">IFNA(XLOOKUP($D229,Cards!$A:$A,Cards!D:D),"")</f>
        <v/>
      </c>
      <c r="K229" s="213" t="str">
        <f t="array" ref="K229">IFNA(XLOOKUP($D229,Cards!$A:$A,Cards!E:E),"")</f>
        <v/>
      </c>
      <c r="L229" s="214" t="str">
        <f t="array" ref="L229">IFNA(XLOOKUP($D229,Cards!$A:$A,Cards!G:G),"")</f>
        <v/>
      </c>
      <c r="M229" s="214" t="str">
        <f t="array" ref="M229">IFNA(XLOOKUP($D229,Cards!$A:$A,Cards!H:H),"")</f>
        <v/>
      </c>
      <c r="N229" s="214" t="str">
        <f t="array" ref="N229">IFNA(XLOOKUP($D229,Cards!$A:$A,Cards!I:I),"")</f>
        <v/>
      </c>
      <c r="O229" s="215">
        <f t="shared" si="1"/>
        <v>0</v>
      </c>
    </row>
    <row r="230">
      <c r="E230" s="20"/>
      <c r="G230" s="20"/>
      <c r="H230" s="213"/>
      <c r="I230" s="213" t="str">
        <f t="array" ref="I230">IFNA(XLOOKUP($D230,Cards!$A:$A,Cards!B:B),"")</f>
        <v/>
      </c>
      <c r="J230" s="213" t="str">
        <f t="array" ref="J230">IFNA(XLOOKUP($D230,Cards!$A:$A,Cards!D:D),"")</f>
        <v/>
      </c>
      <c r="K230" s="213" t="str">
        <f t="array" ref="K230">IFNA(XLOOKUP($D230,Cards!$A:$A,Cards!E:E),"")</f>
        <v/>
      </c>
      <c r="L230" s="214" t="str">
        <f t="array" ref="L230">IFNA(XLOOKUP($D230,Cards!$A:$A,Cards!G:G),"")</f>
        <v/>
      </c>
      <c r="M230" s="214" t="str">
        <f t="array" ref="M230">IFNA(XLOOKUP($D230,Cards!$A:$A,Cards!H:H),"")</f>
        <v/>
      </c>
      <c r="N230" s="214" t="str">
        <f t="array" ref="N230">IFNA(XLOOKUP($D230,Cards!$A:$A,Cards!I:I),"")</f>
        <v/>
      </c>
      <c r="O230" s="215">
        <f t="shared" si="1"/>
        <v>0</v>
      </c>
    </row>
    <row r="231">
      <c r="E231" s="20"/>
      <c r="G231" s="20"/>
      <c r="H231" s="213"/>
      <c r="I231" s="213" t="str">
        <f t="array" ref="I231">IFNA(XLOOKUP($D231,Cards!$A:$A,Cards!B:B),"")</f>
        <v/>
      </c>
      <c r="J231" s="213" t="str">
        <f t="array" ref="J231">IFNA(XLOOKUP($D231,Cards!$A:$A,Cards!D:D),"")</f>
        <v/>
      </c>
      <c r="K231" s="213" t="str">
        <f t="array" ref="K231">IFNA(XLOOKUP($D231,Cards!$A:$A,Cards!E:E),"")</f>
        <v/>
      </c>
      <c r="L231" s="214" t="str">
        <f t="array" ref="L231">IFNA(XLOOKUP($D231,Cards!$A:$A,Cards!G:G),"")</f>
        <v/>
      </c>
      <c r="M231" s="214" t="str">
        <f t="array" ref="M231">IFNA(XLOOKUP($D231,Cards!$A:$A,Cards!H:H),"")</f>
        <v/>
      </c>
      <c r="N231" s="214" t="str">
        <f t="array" ref="N231">IFNA(XLOOKUP($D231,Cards!$A:$A,Cards!I:I),"")</f>
        <v/>
      </c>
      <c r="O231" s="215">
        <f t="shared" si="1"/>
        <v>0</v>
      </c>
    </row>
    <row r="232">
      <c r="E232" s="20"/>
      <c r="G232" s="20"/>
      <c r="H232" s="213"/>
      <c r="I232" s="213" t="str">
        <f t="array" ref="I232">IFNA(XLOOKUP($D232,Cards!$A:$A,Cards!B:B),"")</f>
        <v/>
      </c>
      <c r="J232" s="213" t="str">
        <f t="array" ref="J232">IFNA(XLOOKUP($D232,Cards!$A:$A,Cards!D:D),"")</f>
        <v/>
      </c>
      <c r="K232" s="213" t="str">
        <f t="array" ref="K232">IFNA(XLOOKUP($D232,Cards!$A:$A,Cards!E:E),"")</f>
        <v/>
      </c>
      <c r="L232" s="214" t="str">
        <f t="array" ref="L232">IFNA(XLOOKUP($D232,Cards!$A:$A,Cards!G:G),"")</f>
        <v/>
      </c>
      <c r="M232" s="214" t="str">
        <f t="array" ref="M232">IFNA(XLOOKUP($D232,Cards!$A:$A,Cards!H:H),"")</f>
        <v/>
      </c>
      <c r="N232" s="214" t="str">
        <f t="array" ref="N232">IFNA(XLOOKUP($D232,Cards!$A:$A,Cards!I:I),"")</f>
        <v/>
      </c>
      <c r="O232" s="215">
        <f t="shared" si="1"/>
        <v>0</v>
      </c>
    </row>
    <row r="233">
      <c r="E233" s="20"/>
      <c r="G233" s="20"/>
      <c r="H233" s="213"/>
      <c r="I233" s="213" t="str">
        <f t="array" ref="I233">IFNA(XLOOKUP($D233,Cards!$A:$A,Cards!B:B),"")</f>
        <v/>
      </c>
      <c r="J233" s="213" t="str">
        <f t="array" ref="J233">IFNA(XLOOKUP($D233,Cards!$A:$A,Cards!D:D),"")</f>
        <v/>
      </c>
      <c r="K233" s="213" t="str">
        <f t="array" ref="K233">IFNA(XLOOKUP($D233,Cards!$A:$A,Cards!E:E),"")</f>
        <v/>
      </c>
      <c r="L233" s="214" t="str">
        <f t="array" ref="L233">IFNA(XLOOKUP($D233,Cards!$A:$A,Cards!G:G),"")</f>
        <v/>
      </c>
      <c r="M233" s="214" t="str">
        <f t="array" ref="M233">IFNA(XLOOKUP($D233,Cards!$A:$A,Cards!H:H),"")</f>
        <v/>
      </c>
      <c r="N233" s="214" t="str">
        <f t="array" ref="N233">IFNA(XLOOKUP($D233,Cards!$A:$A,Cards!I:I),"")</f>
        <v/>
      </c>
      <c r="O233" s="215">
        <f t="shared" si="1"/>
        <v>0</v>
      </c>
    </row>
    <row r="234">
      <c r="E234" s="20"/>
      <c r="G234" s="20"/>
      <c r="H234" s="215"/>
      <c r="I234" s="215"/>
      <c r="J234" s="215"/>
      <c r="K234" s="215"/>
      <c r="L234" s="215"/>
      <c r="M234" s="224"/>
      <c r="N234" s="224"/>
      <c r="O234" s="215">
        <f t="shared" si="1"/>
        <v>0</v>
      </c>
    </row>
    <row r="235">
      <c r="E235" s="20"/>
      <c r="G235" s="20"/>
      <c r="H235" s="215"/>
      <c r="I235" s="215"/>
      <c r="J235" s="215"/>
      <c r="K235" s="215"/>
      <c r="L235" s="215"/>
      <c r="M235" s="224"/>
      <c r="N235" s="224"/>
      <c r="O235" s="215">
        <f t="shared" si="1"/>
        <v>0</v>
      </c>
    </row>
    <row r="236">
      <c r="E236" s="20"/>
      <c r="G236" s="20"/>
      <c r="H236" s="215"/>
      <c r="I236" s="215"/>
      <c r="J236" s="215"/>
      <c r="K236" s="215"/>
      <c r="L236" s="215"/>
      <c r="M236" s="224"/>
      <c r="N236" s="224"/>
      <c r="O236" s="215">
        <f t="shared" si="1"/>
        <v>0</v>
      </c>
    </row>
    <row r="237">
      <c r="E237" s="20"/>
      <c r="G237" s="20"/>
      <c r="H237" s="215"/>
      <c r="I237" s="215"/>
      <c r="J237" s="215"/>
      <c r="K237" s="215"/>
      <c r="L237" s="215"/>
      <c r="M237" s="224"/>
      <c r="N237" s="224"/>
      <c r="O237" s="215">
        <f t="shared" si="1"/>
        <v>0</v>
      </c>
    </row>
    <row r="238">
      <c r="E238" s="20"/>
      <c r="G238" s="20"/>
      <c r="H238" s="215"/>
      <c r="I238" s="215"/>
      <c r="J238" s="215"/>
      <c r="K238" s="215"/>
      <c r="L238" s="215"/>
      <c r="M238" s="224"/>
      <c r="N238" s="224"/>
      <c r="O238" s="215">
        <f t="shared" si="1"/>
        <v>0</v>
      </c>
    </row>
    <row r="239">
      <c r="E239" s="20"/>
      <c r="G239" s="20"/>
      <c r="H239" s="215"/>
      <c r="I239" s="215"/>
      <c r="J239" s="215"/>
      <c r="K239" s="215"/>
      <c r="L239" s="215"/>
      <c r="M239" s="224"/>
      <c r="N239" s="224"/>
      <c r="O239" s="215">
        <f t="shared" si="1"/>
        <v>0</v>
      </c>
    </row>
    <row r="240">
      <c r="E240" s="20"/>
      <c r="G240" s="20"/>
      <c r="H240" s="215"/>
      <c r="I240" s="215"/>
      <c r="J240" s="215"/>
      <c r="K240" s="215"/>
      <c r="L240" s="215"/>
      <c r="M240" s="224"/>
      <c r="N240" s="224"/>
      <c r="O240" s="215">
        <f t="shared" si="1"/>
        <v>0</v>
      </c>
    </row>
    <row r="241">
      <c r="E241" s="20"/>
      <c r="G241" s="20"/>
      <c r="H241" s="215"/>
      <c r="I241" s="215"/>
      <c r="J241" s="215"/>
      <c r="K241" s="215"/>
      <c r="L241" s="215"/>
      <c r="M241" s="224"/>
      <c r="N241" s="224"/>
      <c r="O241" s="215">
        <f t="shared" si="1"/>
        <v>0</v>
      </c>
    </row>
    <row r="242">
      <c r="E242" s="20"/>
      <c r="G242" s="20"/>
      <c r="H242" s="215"/>
      <c r="I242" s="215"/>
      <c r="J242" s="215"/>
      <c r="K242" s="215"/>
      <c r="L242" s="215"/>
      <c r="M242" s="224"/>
      <c r="N242" s="224"/>
      <c r="O242" s="215">
        <f t="shared" si="1"/>
        <v>0</v>
      </c>
    </row>
    <row r="243">
      <c r="E243" s="20"/>
      <c r="G243" s="20"/>
      <c r="H243" s="215"/>
      <c r="I243" s="215"/>
      <c r="J243" s="215"/>
      <c r="K243" s="215"/>
      <c r="L243" s="215"/>
      <c r="M243" s="224"/>
      <c r="N243" s="224"/>
      <c r="O243" s="215">
        <f t="shared" si="1"/>
        <v>0</v>
      </c>
    </row>
    <row r="244">
      <c r="E244" s="20"/>
      <c r="G244" s="20"/>
      <c r="H244" s="215"/>
      <c r="I244" s="215"/>
      <c r="J244" s="215"/>
      <c r="K244" s="215"/>
      <c r="L244" s="215"/>
      <c r="M244" s="224"/>
      <c r="N244" s="224"/>
      <c r="O244" s="215">
        <f t="shared" si="1"/>
        <v>0</v>
      </c>
    </row>
    <row r="245">
      <c r="E245" s="20"/>
      <c r="G245" s="20"/>
      <c r="H245" s="215"/>
      <c r="I245" s="215"/>
      <c r="J245" s="215"/>
      <c r="K245" s="215"/>
      <c r="L245" s="215"/>
      <c r="M245" s="224"/>
      <c r="N245" s="224"/>
      <c r="O245" s="215">
        <f t="shared" si="1"/>
        <v>0</v>
      </c>
    </row>
    <row r="246">
      <c r="E246" s="20"/>
      <c r="G246" s="20"/>
      <c r="H246" s="215"/>
      <c r="I246" s="215"/>
      <c r="J246" s="215"/>
      <c r="K246" s="215"/>
      <c r="L246" s="215"/>
      <c r="M246" s="224"/>
      <c r="N246" s="224"/>
      <c r="O246" s="215">
        <f t="shared" si="1"/>
        <v>0</v>
      </c>
    </row>
    <row r="247">
      <c r="E247" s="20"/>
      <c r="G247" s="20"/>
      <c r="H247" s="215"/>
      <c r="I247" s="215"/>
      <c r="J247" s="215"/>
      <c r="K247" s="215"/>
      <c r="L247" s="215"/>
      <c r="M247" s="224"/>
      <c r="N247" s="224"/>
      <c r="O247" s="215">
        <f t="shared" si="1"/>
        <v>0</v>
      </c>
    </row>
    <row r="248">
      <c r="E248" s="20"/>
      <c r="G248" s="20"/>
      <c r="H248" s="215"/>
      <c r="I248" s="215"/>
      <c r="J248" s="215"/>
      <c r="K248" s="215"/>
      <c r="L248" s="215"/>
      <c r="M248" s="224"/>
      <c r="N248" s="224"/>
      <c r="O248" s="215">
        <f t="shared" si="1"/>
        <v>0</v>
      </c>
    </row>
    <row r="249">
      <c r="E249" s="20"/>
      <c r="G249" s="20"/>
      <c r="H249" s="215"/>
      <c r="I249" s="215"/>
      <c r="J249" s="215"/>
      <c r="K249" s="215"/>
      <c r="L249" s="215"/>
      <c r="M249" s="224"/>
      <c r="N249" s="224"/>
      <c r="O249" s="215">
        <f t="shared" si="1"/>
        <v>0</v>
      </c>
    </row>
    <row r="250">
      <c r="E250" s="20"/>
      <c r="G250" s="20"/>
      <c r="H250" s="215"/>
      <c r="I250" s="215"/>
      <c r="J250" s="215"/>
      <c r="K250" s="215"/>
      <c r="L250" s="215"/>
      <c r="M250" s="224"/>
      <c r="N250" s="224"/>
      <c r="O250" s="215">
        <f t="shared" si="1"/>
        <v>0</v>
      </c>
    </row>
    <row r="251">
      <c r="E251" s="20"/>
      <c r="G251" s="20"/>
      <c r="H251" s="215"/>
      <c r="I251" s="215"/>
      <c r="J251" s="215"/>
      <c r="K251" s="215"/>
      <c r="L251" s="215"/>
      <c r="M251" s="224"/>
      <c r="N251" s="224"/>
      <c r="O251" s="215">
        <f t="shared" si="1"/>
        <v>0</v>
      </c>
    </row>
    <row r="252">
      <c r="E252" s="20"/>
      <c r="G252" s="20"/>
      <c r="H252" s="215"/>
      <c r="I252" s="215"/>
      <c r="J252" s="215"/>
      <c r="K252" s="215"/>
      <c r="L252" s="215"/>
      <c r="M252" s="224"/>
      <c r="N252" s="224"/>
      <c r="O252" s="215">
        <f t="shared" si="1"/>
        <v>0</v>
      </c>
    </row>
    <row r="253">
      <c r="E253" s="20"/>
      <c r="G253" s="20"/>
      <c r="H253" s="215"/>
      <c r="I253" s="215"/>
      <c r="J253" s="215"/>
      <c r="K253" s="215"/>
      <c r="L253" s="215"/>
      <c r="M253" s="224"/>
      <c r="N253" s="224"/>
      <c r="O253" s="215">
        <f t="shared" si="1"/>
        <v>0</v>
      </c>
    </row>
    <row r="254">
      <c r="E254" s="20"/>
      <c r="G254" s="20"/>
      <c r="H254" s="215"/>
      <c r="I254" s="215"/>
      <c r="J254" s="215"/>
      <c r="K254" s="215"/>
      <c r="L254" s="215"/>
      <c r="M254" s="224"/>
      <c r="N254" s="224"/>
      <c r="O254" s="215">
        <f t="shared" si="1"/>
        <v>0</v>
      </c>
    </row>
    <row r="255">
      <c r="E255" s="20"/>
      <c r="G255" s="20"/>
      <c r="H255" s="215"/>
      <c r="I255" s="215"/>
      <c r="J255" s="215"/>
      <c r="K255" s="215"/>
      <c r="L255" s="215"/>
      <c r="M255" s="224"/>
      <c r="N255" s="224"/>
      <c r="O255" s="215">
        <f t="shared" si="1"/>
        <v>0</v>
      </c>
    </row>
    <row r="256">
      <c r="E256" s="20"/>
      <c r="G256" s="20"/>
      <c r="H256" s="215"/>
      <c r="I256" s="215"/>
      <c r="J256" s="215"/>
      <c r="K256" s="215"/>
      <c r="L256" s="215"/>
      <c r="M256" s="224"/>
      <c r="N256" s="224"/>
      <c r="O256" s="215">
        <f t="shared" si="1"/>
        <v>0</v>
      </c>
    </row>
    <row r="257">
      <c r="E257" s="20"/>
      <c r="G257" s="20"/>
      <c r="H257" s="215"/>
      <c r="I257" s="215"/>
      <c r="J257" s="215"/>
      <c r="K257" s="215"/>
      <c r="L257" s="215"/>
      <c r="M257" s="224"/>
      <c r="N257" s="224"/>
      <c r="O257" s="215">
        <f t="shared" si="1"/>
        <v>0</v>
      </c>
    </row>
    <row r="258">
      <c r="E258" s="20"/>
      <c r="G258" s="20"/>
      <c r="H258" s="215"/>
      <c r="I258" s="215"/>
      <c r="J258" s="215"/>
      <c r="K258" s="215"/>
      <c r="L258" s="215"/>
      <c r="M258" s="224"/>
      <c r="N258" s="224"/>
      <c r="O258" s="215">
        <f t="shared" si="1"/>
        <v>0</v>
      </c>
    </row>
    <row r="259">
      <c r="E259" s="20"/>
      <c r="G259" s="20"/>
      <c r="H259" s="215"/>
      <c r="I259" s="215"/>
      <c r="J259" s="215"/>
      <c r="K259" s="215"/>
      <c r="L259" s="215"/>
      <c r="M259" s="224"/>
      <c r="N259" s="224"/>
      <c r="O259" s="215">
        <f t="shared" si="1"/>
        <v>0</v>
      </c>
    </row>
    <row r="260">
      <c r="E260" s="20"/>
      <c r="G260" s="20"/>
      <c r="H260" s="215"/>
      <c r="I260" s="215"/>
      <c r="J260" s="215"/>
      <c r="K260" s="215"/>
      <c r="L260" s="215"/>
      <c r="M260" s="224"/>
      <c r="N260" s="224"/>
      <c r="O260" s="215">
        <f t="shared" si="1"/>
        <v>0</v>
      </c>
    </row>
    <row r="261">
      <c r="E261" s="20"/>
      <c r="G261" s="20"/>
      <c r="H261" s="215"/>
      <c r="I261" s="215"/>
      <c r="J261" s="215"/>
      <c r="K261" s="215"/>
      <c r="L261" s="215"/>
      <c r="M261" s="224"/>
      <c r="N261" s="224"/>
      <c r="O261" s="215">
        <f t="shared" si="1"/>
        <v>0</v>
      </c>
    </row>
    <row r="262">
      <c r="E262" s="20"/>
      <c r="G262" s="20"/>
      <c r="H262" s="215"/>
      <c r="I262" s="215"/>
      <c r="J262" s="215"/>
      <c r="K262" s="215"/>
      <c r="L262" s="215"/>
      <c r="M262" s="224"/>
      <c r="N262" s="224"/>
      <c r="O262" s="215">
        <f t="shared" si="1"/>
        <v>0</v>
      </c>
    </row>
    <row r="263">
      <c r="E263" s="20"/>
      <c r="G263" s="20"/>
      <c r="H263" s="215"/>
      <c r="I263" s="215"/>
      <c r="J263" s="215"/>
      <c r="K263" s="215"/>
      <c r="L263" s="215"/>
      <c r="M263" s="224"/>
      <c r="N263" s="224"/>
      <c r="O263" s="215">
        <f t="shared" si="1"/>
        <v>0</v>
      </c>
    </row>
    <row r="264">
      <c r="E264" s="20"/>
      <c r="G264" s="20"/>
      <c r="H264" s="215"/>
      <c r="I264" s="215"/>
      <c r="J264" s="215"/>
      <c r="K264" s="215"/>
      <c r="L264" s="215"/>
      <c r="M264" s="224"/>
      <c r="N264" s="224"/>
      <c r="O264" s="215"/>
    </row>
    <row r="265">
      <c r="E265" s="20"/>
      <c r="G265" s="20"/>
      <c r="H265" s="215"/>
      <c r="I265" s="215"/>
      <c r="J265" s="215"/>
      <c r="K265" s="215"/>
      <c r="L265" s="215"/>
      <c r="M265" s="224"/>
      <c r="N265" s="224"/>
      <c r="O265" s="215"/>
    </row>
    <row r="266">
      <c r="E266" s="20"/>
      <c r="G266" s="20"/>
      <c r="H266" s="215"/>
      <c r="I266" s="215"/>
      <c r="J266" s="215"/>
      <c r="K266" s="215"/>
      <c r="L266" s="215"/>
      <c r="M266" s="224"/>
      <c r="N266" s="224"/>
      <c r="O266" s="215"/>
    </row>
    <row r="267">
      <c r="E267" s="20"/>
      <c r="G267" s="20"/>
      <c r="H267" s="215"/>
      <c r="I267" s="215"/>
      <c r="J267" s="215"/>
      <c r="K267" s="215"/>
      <c r="L267" s="215"/>
      <c r="M267" s="224"/>
      <c r="N267" s="224"/>
      <c r="O267" s="215"/>
    </row>
    <row r="268">
      <c r="E268" s="20"/>
      <c r="G268" s="20"/>
      <c r="H268" s="215"/>
      <c r="I268" s="215"/>
      <c r="J268" s="215"/>
      <c r="K268" s="215"/>
      <c r="L268" s="215"/>
      <c r="M268" s="224"/>
      <c r="N268" s="224"/>
      <c r="O268" s="215"/>
    </row>
    <row r="269">
      <c r="E269" s="20"/>
      <c r="G269" s="20"/>
      <c r="H269" s="215"/>
      <c r="I269" s="215"/>
      <c r="J269" s="215"/>
      <c r="K269" s="215"/>
      <c r="L269" s="215"/>
      <c r="M269" s="224"/>
      <c r="N269" s="224"/>
      <c r="O269" s="215"/>
    </row>
    <row r="270">
      <c r="E270" s="20"/>
      <c r="G270" s="20"/>
      <c r="H270" s="215"/>
      <c r="I270" s="215"/>
      <c r="J270" s="215"/>
      <c r="K270" s="215"/>
      <c r="L270" s="215"/>
      <c r="M270" s="224"/>
      <c r="N270" s="224"/>
      <c r="O270" s="215"/>
    </row>
    <row r="271">
      <c r="E271" s="20"/>
      <c r="G271" s="20"/>
      <c r="H271" s="215"/>
      <c r="I271" s="215"/>
      <c r="J271" s="215"/>
      <c r="K271" s="215"/>
      <c r="L271" s="215"/>
      <c r="M271" s="224"/>
      <c r="N271" s="224"/>
      <c r="O271" s="215"/>
    </row>
    <row r="272">
      <c r="E272" s="20"/>
      <c r="G272" s="20"/>
      <c r="H272" s="215"/>
      <c r="I272" s="215"/>
      <c r="J272" s="215"/>
      <c r="K272" s="215"/>
      <c r="L272" s="215"/>
      <c r="M272" s="224"/>
      <c r="N272" s="224"/>
      <c r="O272" s="215"/>
    </row>
    <row r="273">
      <c r="E273" s="20"/>
      <c r="G273" s="20"/>
      <c r="H273" s="215"/>
      <c r="I273" s="215"/>
      <c r="J273" s="215"/>
      <c r="K273" s="215"/>
      <c r="L273" s="215"/>
      <c r="M273" s="224"/>
      <c r="N273" s="224"/>
      <c r="O273" s="215"/>
    </row>
    <row r="274">
      <c r="E274" s="20"/>
      <c r="G274" s="20"/>
      <c r="H274" s="215"/>
      <c r="I274" s="215"/>
      <c r="J274" s="215"/>
      <c r="K274" s="215"/>
      <c r="L274" s="215"/>
      <c r="M274" s="224"/>
      <c r="N274" s="224"/>
      <c r="O274" s="215"/>
    </row>
    <row r="275">
      <c r="E275" s="20"/>
      <c r="G275" s="20"/>
      <c r="H275" s="215"/>
      <c r="I275" s="215"/>
      <c r="J275" s="215"/>
      <c r="K275" s="215"/>
      <c r="L275" s="215"/>
      <c r="M275" s="224"/>
      <c r="N275" s="224"/>
      <c r="O275" s="215"/>
    </row>
    <row r="276">
      <c r="E276" s="20"/>
      <c r="G276" s="20"/>
      <c r="H276" s="215"/>
      <c r="I276" s="215"/>
      <c r="J276" s="215"/>
      <c r="K276" s="215"/>
      <c r="L276" s="215"/>
      <c r="M276" s="224"/>
      <c r="N276" s="224"/>
      <c r="O276" s="215"/>
    </row>
    <row r="277">
      <c r="E277" s="20"/>
      <c r="G277" s="20"/>
      <c r="H277" s="215"/>
      <c r="I277" s="215"/>
      <c r="J277" s="215"/>
      <c r="K277" s="215"/>
      <c r="L277" s="215"/>
      <c r="M277" s="224"/>
      <c r="N277" s="224"/>
      <c r="O277" s="215"/>
    </row>
    <row r="278">
      <c r="E278" s="20"/>
      <c r="G278" s="20"/>
      <c r="H278" s="215"/>
      <c r="I278" s="215"/>
      <c r="J278" s="215"/>
      <c r="K278" s="215"/>
      <c r="L278" s="215"/>
      <c r="M278" s="224"/>
      <c r="N278" s="224"/>
      <c r="O278" s="215"/>
    </row>
    <row r="279">
      <c r="E279" s="20"/>
      <c r="G279" s="20"/>
      <c r="H279" s="215"/>
      <c r="I279" s="215"/>
      <c r="J279" s="215"/>
      <c r="K279" s="215"/>
      <c r="L279" s="215"/>
      <c r="M279" s="224"/>
      <c r="N279" s="224"/>
      <c r="O279" s="215"/>
    </row>
    <row r="280">
      <c r="E280" s="20"/>
      <c r="G280" s="20"/>
      <c r="H280" s="215"/>
      <c r="I280" s="215"/>
      <c r="J280" s="215"/>
      <c r="K280" s="215"/>
      <c r="L280" s="215"/>
      <c r="M280" s="224"/>
      <c r="N280" s="224"/>
      <c r="O280" s="215"/>
    </row>
    <row r="281">
      <c r="E281" s="20"/>
      <c r="G281" s="20"/>
      <c r="H281" s="215"/>
      <c r="I281" s="215"/>
      <c r="J281" s="215"/>
      <c r="K281" s="215"/>
      <c r="L281" s="215"/>
      <c r="M281" s="224"/>
      <c r="N281" s="224"/>
      <c r="O281" s="215"/>
    </row>
    <row r="282">
      <c r="E282" s="20"/>
      <c r="G282" s="20"/>
      <c r="H282" s="215"/>
      <c r="I282" s="215"/>
      <c r="J282" s="215"/>
      <c r="K282" s="215"/>
      <c r="L282" s="215"/>
      <c r="M282" s="224"/>
      <c r="N282" s="224"/>
      <c r="O282" s="215"/>
    </row>
    <row r="283">
      <c r="E283" s="20"/>
      <c r="G283" s="20"/>
      <c r="H283" s="215"/>
      <c r="I283" s="215"/>
      <c r="J283" s="215"/>
      <c r="K283" s="215"/>
      <c r="L283" s="215"/>
      <c r="M283" s="224"/>
      <c r="N283" s="224"/>
      <c r="O283" s="215"/>
    </row>
    <row r="284">
      <c r="E284" s="20"/>
      <c r="G284" s="20"/>
      <c r="H284" s="215"/>
      <c r="I284" s="215"/>
      <c r="J284" s="215"/>
      <c r="K284" s="215"/>
      <c r="L284" s="215"/>
      <c r="M284" s="224"/>
      <c r="N284" s="224"/>
      <c r="O284" s="215"/>
    </row>
    <row r="285">
      <c r="E285" s="20"/>
      <c r="G285" s="20"/>
      <c r="H285" s="215"/>
      <c r="I285" s="215"/>
      <c r="J285" s="215"/>
      <c r="K285" s="215"/>
      <c r="L285" s="215"/>
      <c r="M285" s="224"/>
      <c r="N285" s="224"/>
      <c r="O285" s="215"/>
    </row>
    <row r="286">
      <c r="E286" s="20"/>
      <c r="G286" s="20"/>
      <c r="H286" s="215"/>
      <c r="I286" s="215"/>
      <c r="J286" s="215"/>
      <c r="K286" s="215"/>
      <c r="L286" s="215"/>
      <c r="M286" s="224"/>
      <c r="N286" s="224"/>
      <c r="O286" s="215"/>
    </row>
    <row r="287">
      <c r="E287" s="20"/>
      <c r="G287" s="20"/>
      <c r="H287" s="215"/>
      <c r="I287" s="215"/>
      <c r="J287" s="215"/>
      <c r="K287" s="215"/>
      <c r="L287" s="215"/>
      <c r="M287" s="224"/>
      <c r="N287" s="224"/>
      <c r="O287" s="215"/>
    </row>
    <row r="288">
      <c r="E288" s="20"/>
      <c r="G288" s="20"/>
      <c r="H288" s="215"/>
      <c r="I288" s="215"/>
      <c r="J288" s="215"/>
      <c r="K288" s="215"/>
      <c r="L288" s="215"/>
      <c r="M288" s="224"/>
      <c r="N288" s="224"/>
      <c r="O288" s="215"/>
    </row>
    <row r="289">
      <c r="E289" s="20"/>
      <c r="G289" s="20"/>
      <c r="H289" s="215"/>
      <c r="I289" s="215"/>
      <c r="J289" s="215"/>
      <c r="K289" s="215"/>
      <c r="L289" s="215"/>
      <c r="M289" s="224"/>
      <c r="N289" s="224"/>
      <c r="O289" s="215"/>
    </row>
    <row r="290">
      <c r="E290" s="20"/>
      <c r="G290" s="20"/>
      <c r="H290" s="215"/>
      <c r="I290" s="215"/>
      <c r="J290" s="215"/>
      <c r="K290" s="215"/>
      <c r="L290" s="215"/>
      <c r="M290" s="224"/>
      <c r="N290" s="224"/>
      <c r="O290" s="215"/>
    </row>
    <row r="291">
      <c r="E291" s="20"/>
      <c r="G291" s="20"/>
      <c r="H291" s="215"/>
      <c r="I291" s="215"/>
      <c r="J291" s="215"/>
      <c r="K291" s="215"/>
      <c r="L291" s="215"/>
      <c r="M291" s="224"/>
      <c r="N291" s="224"/>
      <c r="O291" s="215"/>
    </row>
    <row r="292">
      <c r="E292" s="20"/>
      <c r="G292" s="20"/>
      <c r="H292" s="215"/>
      <c r="I292" s="215"/>
      <c r="J292" s="215"/>
      <c r="K292" s="215"/>
      <c r="L292" s="215"/>
      <c r="M292" s="224"/>
      <c r="N292" s="224"/>
      <c r="O292" s="215"/>
    </row>
    <row r="293">
      <c r="E293" s="20"/>
      <c r="G293" s="20"/>
      <c r="H293" s="215"/>
      <c r="I293" s="215"/>
      <c r="J293" s="215"/>
      <c r="K293" s="215"/>
      <c r="L293" s="215"/>
      <c r="M293" s="224"/>
      <c r="N293" s="224"/>
      <c r="O293" s="215"/>
    </row>
    <row r="294">
      <c r="E294" s="20"/>
      <c r="G294" s="20"/>
      <c r="H294" s="215"/>
      <c r="I294" s="215"/>
      <c r="J294" s="215"/>
      <c r="K294" s="215"/>
      <c r="L294" s="215"/>
      <c r="M294" s="224"/>
      <c r="N294" s="224"/>
      <c r="O294" s="215"/>
    </row>
    <row r="295">
      <c r="E295" s="20"/>
      <c r="G295" s="20"/>
      <c r="H295" s="215"/>
      <c r="I295" s="215"/>
      <c r="J295" s="215"/>
      <c r="K295" s="215"/>
      <c r="L295" s="215"/>
      <c r="M295" s="224"/>
      <c r="N295" s="224"/>
      <c r="O295" s="215"/>
    </row>
    <row r="296">
      <c r="E296" s="20"/>
      <c r="G296" s="20"/>
      <c r="H296" s="215"/>
      <c r="I296" s="215"/>
      <c r="J296" s="215"/>
      <c r="K296" s="215"/>
      <c r="L296" s="215"/>
      <c r="M296" s="224"/>
      <c r="N296" s="224"/>
      <c r="O296" s="215"/>
    </row>
    <row r="297">
      <c r="E297" s="20"/>
      <c r="G297" s="20"/>
      <c r="H297" s="215"/>
      <c r="I297" s="215"/>
      <c r="J297" s="215"/>
      <c r="K297" s="215"/>
      <c r="L297" s="215"/>
      <c r="M297" s="224"/>
      <c r="N297" s="224"/>
      <c r="O297" s="215"/>
    </row>
    <row r="298">
      <c r="E298" s="20"/>
      <c r="G298" s="20"/>
      <c r="H298" s="215"/>
      <c r="I298" s="215"/>
      <c r="J298" s="215"/>
      <c r="K298" s="215"/>
      <c r="L298" s="215"/>
      <c r="M298" s="224"/>
      <c r="N298" s="224"/>
      <c r="O298" s="215"/>
    </row>
    <row r="299">
      <c r="E299" s="20"/>
      <c r="G299" s="20"/>
      <c r="H299" s="215"/>
      <c r="I299" s="215"/>
      <c r="J299" s="215"/>
      <c r="K299" s="215"/>
      <c r="L299" s="215"/>
      <c r="M299" s="224"/>
      <c r="N299" s="224"/>
      <c r="O299" s="215"/>
    </row>
    <row r="300">
      <c r="E300" s="20"/>
      <c r="G300" s="20"/>
      <c r="H300" s="215"/>
      <c r="I300" s="215"/>
      <c r="J300" s="215"/>
      <c r="K300" s="215"/>
      <c r="L300" s="215"/>
      <c r="M300" s="224"/>
      <c r="N300" s="224"/>
      <c r="O300" s="215"/>
    </row>
    <row r="301">
      <c r="E301" s="20"/>
      <c r="G301" s="20"/>
      <c r="H301" s="215"/>
      <c r="I301" s="215"/>
      <c r="J301" s="215"/>
      <c r="K301" s="215"/>
      <c r="L301" s="215"/>
      <c r="M301" s="224"/>
      <c r="N301" s="224"/>
      <c r="O301" s="215"/>
    </row>
    <row r="302">
      <c r="E302" s="20"/>
      <c r="G302" s="20"/>
      <c r="H302" s="215"/>
      <c r="I302" s="215"/>
      <c r="J302" s="215"/>
      <c r="K302" s="215"/>
      <c r="L302" s="215"/>
      <c r="M302" s="224"/>
      <c r="N302" s="224"/>
      <c r="O302" s="215"/>
    </row>
    <row r="303">
      <c r="E303" s="20"/>
      <c r="G303" s="20"/>
      <c r="H303" s="215"/>
      <c r="I303" s="215"/>
      <c r="J303" s="215"/>
      <c r="K303" s="215"/>
      <c r="L303" s="215"/>
      <c r="M303" s="224"/>
      <c r="N303" s="224"/>
      <c r="O303" s="215"/>
    </row>
    <row r="304">
      <c r="E304" s="20"/>
      <c r="G304" s="20"/>
      <c r="H304" s="215"/>
      <c r="I304" s="215"/>
      <c r="J304" s="215"/>
      <c r="K304" s="215"/>
      <c r="L304" s="215"/>
      <c r="M304" s="224"/>
      <c r="N304" s="224"/>
      <c r="O304" s="215"/>
    </row>
    <row r="305">
      <c r="E305" s="20"/>
      <c r="G305" s="20"/>
      <c r="H305" s="215"/>
      <c r="I305" s="215"/>
      <c r="J305" s="215"/>
      <c r="K305" s="215"/>
      <c r="L305" s="215"/>
      <c r="M305" s="224"/>
      <c r="N305" s="224"/>
      <c r="O305" s="215"/>
    </row>
    <row r="306">
      <c r="E306" s="20"/>
      <c r="G306" s="20"/>
      <c r="H306" s="215"/>
      <c r="I306" s="215"/>
      <c r="J306" s="215"/>
      <c r="K306" s="215"/>
      <c r="L306" s="215"/>
      <c r="M306" s="224"/>
      <c r="N306" s="224"/>
      <c r="O306" s="215"/>
    </row>
    <row r="307">
      <c r="E307" s="20"/>
      <c r="G307" s="20"/>
      <c r="H307" s="215"/>
      <c r="I307" s="215"/>
      <c r="J307" s="215"/>
      <c r="K307" s="215"/>
      <c r="L307" s="215"/>
      <c r="M307" s="224"/>
      <c r="N307" s="224"/>
      <c r="O307" s="215"/>
    </row>
    <row r="308">
      <c r="E308" s="20"/>
      <c r="G308" s="20"/>
      <c r="H308" s="215"/>
      <c r="I308" s="215"/>
      <c r="J308" s="215"/>
      <c r="K308" s="215"/>
      <c r="L308" s="215"/>
      <c r="M308" s="224"/>
      <c r="N308" s="224"/>
      <c r="O308" s="215"/>
    </row>
    <row r="309">
      <c r="E309" s="20"/>
      <c r="G309" s="20"/>
      <c r="H309" s="215"/>
      <c r="I309" s="215"/>
      <c r="J309" s="215"/>
      <c r="K309" s="215"/>
      <c r="L309" s="215"/>
      <c r="M309" s="224"/>
      <c r="N309" s="224"/>
      <c r="O309" s="215"/>
    </row>
    <row r="310">
      <c r="E310" s="20"/>
      <c r="G310" s="20"/>
      <c r="H310" s="215"/>
      <c r="I310" s="215"/>
      <c r="J310" s="215"/>
      <c r="K310" s="215"/>
      <c r="L310" s="215"/>
      <c r="M310" s="224"/>
      <c r="N310" s="224"/>
      <c r="O310" s="215"/>
    </row>
    <row r="311">
      <c r="E311" s="20"/>
      <c r="G311" s="20"/>
      <c r="H311" s="215"/>
      <c r="I311" s="215"/>
      <c r="J311" s="215"/>
      <c r="K311" s="215"/>
      <c r="L311" s="215"/>
      <c r="M311" s="224"/>
      <c r="N311" s="224"/>
      <c r="O311" s="215"/>
    </row>
    <row r="312">
      <c r="E312" s="20"/>
      <c r="G312" s="20"/>
      <c r="H312" s="215"/>
      <c r="I312" s="215"/>
      <c r="J312" s="215"/>
      <c r="K312" s="215"/>
      <c r="L312" s="215"/>
      <c r="M312" s="224"/>
      <c r="N312" s="224"/>
      <c r="O312" s="215"/>
    </row>
    <row r="313">
      <c r="E313" s="20"/>
      <c r="G313" s="20"/>
      <c r="H313" s="215"/>
      <c r="I313" s="215"/>
      <c r="J313" s="215"/>
      <c r="K313" s="215"/>
      <c r="L313" s="215"/>
      <c r="M313" s="224"/>
      <c r="N313" s="224"/>
      <c r="O313" s="215"/>
    </row>
    <row r="314">
      <c r="E314" s="20"/>
      <c r="G314" s="20"/>
      <c r="H314" s="215"/>
      <c r="I314" s="215"/>
      <c r="J314" s="215"/>
      <c r="K314" s="215"/>
      <c r="L314" s="215"/>
      <c r="M314" s="224"/>
      <c r="N314" s="224"/>
      <c r="O314" s="215"/>
    </row>
    <row r="315">
      <c r="E315" s="20"/>
      <c r="G315" s="20"/>
      <c r="H315" s="215"/>
      <c r="I315" s="215"/>
      <c r="J315" s="215"/>
      <c r="K315" s="215"/>
      <c r="L315" s="215"/>
      <c r="M315" s="224"/>
      <c r="N315" s="224"/>
      <c r="O315" s="215"/>
    </row>
    <row r="316">
      <c r="E316" s="20"/>
      <c r="G316" s="20"/>
      <c r="H316" s="215"/>
      <c r="I316" s="215"/>
      <c r="J316" s="215"/>
      <c r="K316" s="215"/>
      <c r="L316" s="215"/>
      <c r="M316" s="224"/>
      <c r="N316" s="224"/>
      <c r="O316" s="215"/>
    </row>
    <row r="317">
      <c r="E317" s="20"/>
      <c r="G317" s="20"/>
      <c r="H317" s="215"/>
      <c r="I317" s="215"/>
      <c r="J317" s="215"/>
      <c r="K317" s="215"/>
      <c r="L317" s="215"/>
      <c r="M317" s="224"/>
      <c r="N317" s="224"/>
      <c r="O317" s="215"/>
    </row>
    <row r="318">
      <c r="E318" s="20"/>
      <c r="G318" s="20"/>
      <c r="H318" s="215"/>
      <c r="I318" s="215"/>
      <c r="J318" s="215"/>
      <c r="K318" s="215"/>
      <c r="L318" s="215"/>
      <c r="M318" s="224"/>
      <c r="N318" s="224"/>
      <c r="O318" s="215"/>
    </row>
    <row r="319">
      <c r="E319" s="20"/>
      <c r="G319" s="20"/>
      <c r="H319" s="215"/>
      <c r="I319" s="215"/>
      <c r="J319" s="215"/>
      <c r="K319" s="215"/>
      <c r="L319" s="215"/>
      <c r="M319" s="224"/>
      <c r="N319" s="224"/>
      <c r="O319" s="215"/>
    </row>
    <row r="320">
      <c r="E320" s="20"/>
      <c r="G320" s="20"/>
      <c r="H320" s="215"/>
      <c r="I320" s="215"/>
      <c r="J320" s="215"/>
      <c r="K320" s="215"/>
      <c r="L320" s="215"/>
      <c r="M320" s="224"/>
      <c r="N320" s="224"/>
      <c r="O320" s="215"/>
    </row>
    <row r="321">
      <c r="E321" s="20"/>
      <c r="G321" s="20"/>
      <c r="H321" s="215"/>
      <c r="I321" s="215"/>
      <c r="J321" s="215"/>
      <c r="K321" s="215"/>
      <c r="L321" s="215"/>
      <c r="M321" s="224"/>
      <c r="N321" s="224"/>
      <c r="O321" s="215"/>
    </row>
    <row r="322">
      <c r="E322" s="20"/>
      <c r="G322" s="20"/>
      <c r="H322" s="215"/>
      <c r="I322" s="215"/>
      <c r="J322" s="215"/>
      <c r="K322" s="215"/>
      <c r="L322" s="215"/>
      <c r="M322" s="224"/>
      <c r="N322" s="224"/>
      <c r="O322" s="215"/>
    </row>
    <row r="323">
      <c r="E323" s="20"/>
      <c r="G323" s="20"/>
      <c r="H323" s="215"/>
      <c r="I323" s="215"/>
      <c r="J323" s="215"/>
      <c r="K323" s="215"/>
      <c r="L323" s="215"/>
      <c r="M323" s="224"/>
      <c r="N323" s="224"/>
      <c r="O323" s="215"/>
    </row>
    <row r="324">
      <c r="E324" s="20"/>
      <c r="G324" s="20"/>
      <c r="H324" s="215"/>
      <c r="I324" s="215"/>
      <c r="J324" s="215"/>
      <c r="K324" s="215"/>
      <c r="L324" s="215"/>
      <c r="M324" s="224"/>
      <c r="N324" s="224"/>
      <c r="O324" s="215"/>
    </row>
    <row r="325">
      <c r="E325" s="20"/>
      <c r="G325" s="20"/>
      <c r="H325" s="215"/>
      <c r="I325" s="215"/>
      <c r="J325" s="215"/>
      <c r="K325" s="215"/>
      <c r="L325" s="215"/>
      <c r="M325" s="224"/>
      <c r="N325" s="224"/>
      <c r="O325" s="215"/>
    </row>
    <row r="326">
      <c r="E326" s="20"/>
      <c r="G326" s="20"/>
      <c r="H326" s="215"/>
      <c r="I326" s="215"/>
      <c r="J326" s="215"/>
      <c r="K326" s="215"/>
      <c r="L326" s="215"/>
      <c r="M326" s="224"/>
      <c r="N326" s="224"/>
      <c r="O326" s="215"/>
    </row>
    <row r="327">
      <c r="E327" s="20"/>
      <c r="G327" s="20"/>
      <c r="H327" s="215"/>
      <c r="I327" s="215"/>
      <c r="J327" s="215"/>
      <c r="K327" s="215"/>
      <c r="L327" s="215"/>
      <c r="M327" s="224"/>
      <c r="N327" s="224"/>
      <c r="O327" s="215"/>
    </row>
    <row r="328">
      <c r="E328" s="20"/>
      <c r="G328" s="20"/>
      <c r="H328" s="215"/>
      <c r="I328" s="215"/>
      <c r="J328" s="215"/>
      <c r="K328" s="215"/>
      <c r="L328" s="215"/>
      <c r="M328" s="224"/>
      <c r="N328" s="224"/>
      <c r="O328" s="215"/>
    </row>
    <row r="329">
      <c r="E329" s="20"/>
      <c r="G329" s="20"/>
      <c r="H329" s="215"/>
      <c r="I329" s="215"/>
      <c r="J329" s="215"/>
      <c r="K329" s="215"/>
      <c r="L329" s="215"/>
      <c r="M329" s="224"/>
      <c r="N329" s="224"/>
      <c r="O329" s="215"/>
    </row>
    <row r="330">
      <c r="E330" s="20"/>
      <c r="G330" s="20"/>
      <c r="H330" s="215"/>
      <c r="I330" s="215"/>
      <c r="J330" s="215"/>
      <c r="K330" s="215"/>
      <c r="L330" s="215"/>
      <c r="M330" s="224"/>
      <c r="N330" s="224"/>
      <c r="O330" s="215"/>
    </row>
    <row r="331">
      <c r="E331" s="20"/>
      <c r="G331" s="20"/>
      <c r="H331" s="215"/>
      <c r="I331" s="215"/>
      <c r="J331" s="215"/>
      <c r="K331" s="215"/>
      <c r="L331" s="215"/>
      <c r="M331" s="224"/>
      <c r="N331" s="224"/>
      <c r="O331" s="215"/>
    </row>
    <row r="332">
      <c r="E332" s="20"/>
      <c r="G332" s="20"/>
      <c r="H332" s="215"/>
      <c r="I332" s="215"/>
      <c r="J332" s="215"/>
      <c r="K332" s="215"/>
      <c r="L332" s="215"/>
      <c r="M332" s="224"/>
      <c r="N332" s="224"/>
      <c r="O332" s="215"/>
    </row>
    <row r="333">
      <c r="E333" s="20"/>
      <c r="G333" s="20"/>
      <c r="H333" s="215"/>
      <c r="I333" s="215"/>
      <c r="J333" s="215"/>
      <c r="K333" s="215"/>
      <c r="L333" s="215"/>
      <c r="M333" s="224"/>
      <c r="N333" s="224"/>
      <c r="O333" s="215"/>
    </row>
    <row r="334">
      <c r="E334" s="20"/>
      <c r="G334" s="20"/>
      <c r="H334" s="215"/>
      <c r="I334" s="215"/>
      <c r="J334" s="215"/>
      <c r="K334" s="215"/>
      <c r="L334" s="215"/>
      <c r="M334" s="224"/>
      <c r="N334" s="224"/>
      <c r="O334" s="215"/>
    </row>
    <row r="335">
      <c r="E335" s="20"/>
      <c r="G335" s="20"/>
      <c r="H335" s="215"/>
      <c r="I335" s="215"/>
      <c r="J335" s="215"/>
      <c r="K335" s="215"/>
      <c r="L335" s="215"/>
      <c r="M335" s="224"/>
      <c r="N335" s="224"/>
      <c r="O335" s="215"/>
    </row>
    <row r="336">
      <c r="E336" s="20"/>
      <c r="G336" s="20"/>
      <c r="H336" s="215"/>
      <c r="I336" s="215"/>
      <c r="J336" s="215"/>
      <c r="K336" s="215"/>
      <c r="L336" s="215"/>
      <c r="M336" s="224"/>
      <c r="N336" s="224"/>
      <c r="O336" s="215"/>
    </row>
    <row r="337">
      <c r="E337" s="20"/>
      <c r="G337" s="20"/>
      <c r="H337" s="215"/>
      <c r="I337" s="215"/>
      <c r="J337" s="215"/>
      <c r="K337" s="215"/>
      <c r="L337" s="215"/>
      <c r="M337" s="224"/>
      <c r="N337" s="224"/>
      <c r="O337" s="215"/>
    </row>
    <row r="338">
      <c r="E338" s="20"/>
      <c r="G338" s="20"/>
      <c r="H338" s="215"/>
      <c r="I338" s="215"/>
      <c r="J338" s="215"/>
      <c r="K338" s="215"/>
      <c r="L338" s="215"/>
      <c r="M338" s="224"/>
      <c r="N338" s="224"/>
      <c r="O338" s="215"/>
    </row>
    <row r="339">
      <c r="E339" s="20"/>
      <c r="G339" s="20"/>
      <c r="H339" s="215"/>
      <c r="I339" s="215"/>
      <c r="J339" s="215"/>
      <c r="K339" s="215"/>
      <c r="L339" s="215"/>
      <c r="M339" s="224"/>
      <c r="N339" s="224"/>
      <c r="O339" s="215"/>
    </row>
    <row r="340">
      <c r="E340" s="20"/>
      <c r="G340" s="20"/>
      <c r="H340" s="215"/>
      <c r="I340" s="215"/>
      <c r="J340" s="215"/>
      <c r="K340" s="215"/>
      <c r="L340" s="215"/>
      <c r="M340" s="224"/>
      <c r="N340" s="224"/>
      <c r="O340" s="215"/>
    </row>
    <row r="341">
      <c r="E341" s="20"/>
      <c r="G341" s="20"/>
      <c r="H341" s="215"/>
      <c r="I341" s="215"/>
      <c r="J341" s="215"/>
      <c r="K341" s="215"/>
      <c r="L341" s="215"/>
      <c r="M341" s="224"/>
      <c r="N341" s="224"/>
      <c r="O341" s="215"/>
    </row>
    <row r="342">
      <c r="E342" s="20"/>
      <c r="G342" s="20"/>
      <c r="H342" s="215"/>
      <c r="I342" s="215"/>
      <c r="J342" s="215"/>
      <c r="K342" s="215"/>
      <c r="L342" s="215"/>
      <c r="M342" s="224"/>
      <c r="N342" s="224"/>
      <c r="O342" s="215"/>
    </row>
    <row r="343">
      <c r="E343" s="20"/>
      <c r="G343" s="20"/>
      <c r="H343" s="215"/>
      <c r="I343" s="215"/>
      <c r="J343" s="215"/>
      <c r="K343" s="215"/>
      <c r="L343" s="215"/>
      <c r="M343" s="224"/>
      <c r="N343" s="224"/>
      <c r="O343" s="215"/>
    </row>
    <row r="344">
      <c r="E344" s="20"/>
      <c r="G344" s="20"/>
      <c r="H344" s="215"/>
      <c r="I344" s="215"/>
      <c r="J344" s="215"/>
      <c r="K344" s="215"/>
      <c r="L344" s="215"/>
      <c r="M344" s="224"/>
      <c r="N344" s="224"/>
      <c r="O344" s="215"/>
    </row>
    <row r="345">
      <c r="E345" s="20"/>
      <c r="G345" s="20"/>
      <c r="H345" s="215"/>
      <c r="I345" s="215"/>
      <c r="J345" s="215"/>
      <c r="K345" s="215"/>
      <c r="L345" s="215"/>
      <c r="M345" s="224"/>
      <c r="N345" s="224"/>
      <c r="O345" s="215"/>
    </row>
    <row r="346">
      <c r="E346" s="20"/>
      <c r="G346" s="20"/>
      <c r="H346" s="215"/>
      <c r="I346" s="215"/>
      <c r="J346" s="215"/>
      <c r="K346" s="215"/>
      <c r="L346" s="215"/>
      <c r="M346" s="224"/>
      <c r="N346" s="224"/>
      <c r="O346" s="215"/>
    </row>
    <row r="347">
      <c r="E347" s="20"/>
      <c r="G347" s="20"/>
      <c r="H347" s="215"/>
      <c r="I347" s="215"/>
      <c r="J347" s="215"/>
      <c r="K347" s="215"/>
      <c r="L347" s="215"/>
      <c r="M347" s="224"/>
      <c r="N347" s="224"/>
      <c r="O347" s="215"/>
    </row>
    <row r="348">
      <c r="E348" s="20"/>
      <c r="G348" s="20"/>
      <c r="H348" s="215"/>
      <c r="I348" s="215"/>
      <c r="J348" s="215"/>
      <c r="K348" s="215"/>
      <c r="L348" s="215"/>
      <c r="M348" s="224"/>
      <c r="N348" s="224"/>
      <c r="O348" s="215"/>
    </row>
    <row r="349">
      <c r="E349" s="20"/>
      <c r="G349" s="20"/>
      <c r="H349" s="215"/>
      <c r="I349" s="215"/>
      <c r="J349" s="215"/>
      <c r="K349" s="215"/>
      <c r="L349" s="215"/>
      <c r="M349" s="224"/>
      <c r="N349" s="224"/>
      <c r="O349" s="215"/>
    </row>
    <row r="350">
      <c r="E350" s="20"/>
      <c r="G350" s="20"/>
      <c r="H350" s="215"/>
      <c r="I350" s="215"/>
      <c r="J350" s="215"/>
      <c r="K350" s="215"/>
      <c r="L350" s="215"/>
      <c r="M350" s="224"/>
      <c r="N350" s="224"/>
      <c r="O350" s="215"/>
    </row>
    <row r="351">
      <c r="E351" s="20"/>
      <c r="G351" s="20"/>
      <c r="H351" s="215"/>
      <c r="I351" s="215"/>
      <c r="J351" s="215"/>
      <c r="K351" s="215"/>
      <c r="L351" s="215"/>
      <c r="M351" s="224"/>
      <c r="N351" s="224"/>
      <c r="O351" s="215"/>
    </row>
    <row r="352">
      <c r="E352" s="20"/>
      <c r="G352" s="20"/>
      <c r="H352" s="215"/>
      <c r="I352" s="215"/>
      <c r="J352" s="215"/>
      <c r="K352" s="215"/>
      <c r="L352" s="215"/>
      <c r="M352" s="224"/>
      <c r="N352" s="224"/>
      <c r="O352" s="215"/>
    </row>
    <row r="366">
      <c r="B366" s="20"/>
      <c r="D366" s="20"/>
      <c r="E366" s="215"/>
      <c r="F366" s="215"/>
      <c r="G366" s="215"/>
      <c r="H366" s="215"/>
      <c r="I366" s="215"/>
      <c r="J366" s="224"/>
      <c r="K366" s="224"/>
      <c r="L366" s="215"/>
    </row>
    <row r="367">
      <c r="B367" s="20"/>
      <c r="D367" s="20"/>
      <c r="E367" s="215"/>
      <c r="F367" s="215"/>
      <c r="G367" s="215"/>
      <c r="H367" s="215"/>
      <c r="I367" s="215"/>
      <c r="J367" s="224"/>
      <c r="K367" s="224"/>
      <c r="L367" s="215"/>
    </row>
    <row r="368">
      <c r="B368" s="20"/>
      <c r="D368" s="20"/>
      <c r="E368" s="215"/>
      <c r="F368" s="215"/>
      <c r="G368" s="215"/>
      <c r="H368" s="215"/>
      <c r="I368" s="215"/>
      <c r="J368" s="224"/>
      <c r="K368" s="224"/>
      <c r="L368" s="215"/>
    </row>
    <row r="369">
      <c r="B369" s="20"/>
      <c r="D369" s="20"/>
      <c r="E369" s="215"/>
      <c r="F369" s="215"/>
      <c r="G369" s="215"/>
      <c r="H369" s="215"/>
      <c r="I369" s="215"/>
      <c r="J369" s="224"/>
      <c r="K369" s="224"/>
      <c r="L369" s="215"/>
    </row>
    <row r="370">
      <c r="B370" s="20"/>
      <c r="D370" s="20"/>
      <c r="E370" s="215"/>
      <c r="F370" s="215"/>
      <c r="G370" s="215"/>
      <c r="H370" s="215"/>
      <c r="I370" s="215"/>
      <c r="J370" s="224"/>
      <c r="K370" s="224"/>
      <c r="L370" s="215"/>
    </row>
    <row r="371">
      <c r="B371" s="20"/>
      <c r="D371" s="20"/>
      <c r="E371" s="215"/>
      <c r="F371" s="215"/>
      <c r="G371" s="215"/>
      <c r="H371" s="215"/>
      <c r="I371" s="215"/>
      <c r="J371" s="224"/>
      <c r="K371" s="224"/>
      <c r="L371" s="215"/>
    </row>
    <row r="372">
      <c r="B372" s="20"/>
      <c r="D372" s="20"/>
      <c r="E372" s="215"/>
      <c r="F372" s="215"/>
      <c r="G372" s="215"/>
      <c r="H372" s="215"/>
      <c r="I372" s="215"/>
      <c r="J372" s="224"/>
      <c r="K372" s="224"/>
      <c r="L372" s="215"/>
    </row>
    <row r="373">
      <c r="B373" s="20"/>
      <c r="D373" s="20"/>
      <c r="E373" s="215"/>
      <c r="F373" s="215"/>
      <c r="G373" s="215"/>
      <c r="H373" s="215"/>
      <c r="I373" s="215"/>
      <c r="J373" s="224"/>
      <c r="K373" s="224"/>
      <c r="L373" s="215"/>
    </row>
    <row r="374">
      <c r="B374" s="20"/>
      <c r="D374" s="20"/>
      <c r="E374" s="215"/>
      <c r="F374" s="215"/>
      <c r="G374" s="215"/>
      <c r="H374" s="215"/>
      <c r="I374" s="215"/>
      <c r="J374" s="224"/>
      <c r="K374" s="224"/>
      <c r="L374" s="215"/>
    </row>
    <row r="375">
      <c r="B375" s="20"/>
      <c r="D375" s="20"/>
      <c r="E375" s="215"/>
      <c r="F375" s="215"/>
      <c r="G375" s="215"/>
      <c r="H375" s="215"/>
      <c r="I375" s="215"/>
      <c r="J375" s="224"/>
      <c r="K375" s="224"/>
      <c r="L375" s="215"/>
    </row>
    <row r="376">
      <c r="B376" s="20"/>
      <c r="D376" s="20"/>
      <c r="E376" s="215"/>
      <c r="F376" s="215"/>
      <c r="G376" s="215"/>
      <c r="H376" s="215"/>
      <c r="I376" s="215"/>
      <c r="J376" s="224"/>
      <c r="K376" s="224"/>
      <c r="L376" s="215"/>
    </row>
    <row r="377">
      <c r="B377" s="20"/>
      <c r="D377" s="20"/>
      <c r="E377" s="215"/>
      <c r="F377" s="215"/>
      <c r="G377" s="215"/>
      <c r="H377" s="215"/>
      <c r="I377" s="215"/>
      <c r="J377" s="224"/>
      <c r="K377" s="224"/>
      <c r="L377" s="215"/>
    </row>
    <row r="378">
      <c r="B378" s="20"/>
      <c r="D378" s="20"/>
      <c r="E378" s="215"/>
      <c r="F378" s="215"/>
      <c r="G378" s="215"/>
      <c r="H378" s="215"/>
      <c r="I378" s="215"/>
      <c r="J378" s="224"/>
      <c r="K378" s="224"/>
      <c r="L378" s="215"/>
    </row>
    <row r="379">
      <c r="B379" s="20"/>
      <c r="D379" s="20"/>
      <c r="E379" s="215"/>
      <c r="F379" s="215"/>
      <c r="G379" s="215"/>
      <c r="H379" s="215"/>
      <c r="I379" s="215"/>
      <c r="J379" s="224"/>
      <c r="K379" s="224"/>
      <c r="L379" s="215"/>
    </row>
    <row r="380">
      <c r="B380" s="20"/>
      <c r="D380" s="20"/>
      <c r="E380" s="215"/>
      <c r="F380" s="215"/>
      <c r="G380" s="215"/>
      <c r="H380" s="215"/>
      <c r="I380" s="215"/>
      <c r="J380" s="224"/>
      <c r="K380" s="224"/>
      <c r="L380" s="215"/>
    </row>
    <row r="381">
      <c r="B381" s="20"/>
      <c r="D381" s="20"/>
      <c r="E381" s="215"/>
      <c r="F381" s="215"/>
      <c r="G381" s="215"/>
      <c r="H381" s="215"/>
      <c r="I381" s="215"/>
      <c r="J381" s="224"/>
      <c r="K381" s="224"/>
      <c r="L381" s="215"/>
    </row>
    <row r="382">
      <c r="B382" s="20"/>
      <c r="D382" s="20"/>
      <c r="E382" s="215"/>
      <c r="F382" s="215"/>
      <c r="G382" s="215"/>
      <c r="H382" s="215"/>
      <c r="I382" s="215"/>
      <c r="J382" s="224"/>
      <c r="K382" s="224"/>
      <c r="L382" s="215"/>
    </row>
    <row r="383">
      <c r="B383" s="20"/>
      <c r="D383" s="20"/>
      <c r="E383" s="215"/>
      <c r="F383" s="215"/>
      <c r="G383" s="215"/>
      <c r="H383" s="215"/>
      <c r="I383" s="215"/>
      <c r="J383" s="224"/>
      <c r="K383" s="224"/>
      <c r="L383" s="215"/>
    </row>
    <row r="384">
      <c r="B384" s="20"/>
      <c r="D384" s="20"/>
      <c r="E384" s="215"/>
      <c r="F384" s="215"/>
      <c r="G384" s="215"/>
      <c r="H384" s="215"/>
      <c r="I384" s="215"/>
      <c r="J384" s="224"/>
      <c r="K384" s="224"/>
      <c r="L384" s="215"/>
    </row>
    <row r="385">
      <c r="B385" s="20"/>
      <c r="D385" s="20"/>
      <c r="E385" s="215"/>
      <c r="F385" s="215"/>
      <c r="G385" s="215"/>
      <c r="H385" s="215"/>
      <c r="I385" s="215"/>
      <c r="J385" s="224"/>
      <c r="K385" s="224"/>
      <c r="L385" s="215"/>
    </row>
    <row r="386">
      <c r="B386" s="20"/>
      <c r="D386" s="20"/>
      <c r="E386" s="215"/>
      <c r="F386" s="215"/>
      <c r="G386" s="215"/>
      <c r="H386" s="215"/>
      <c r="I386" s="215"/>
      <c r="J386" s="224"/>
      <c r="K386" s="224"/>
      <c r="L386" s="215"/>
    </row>
    <row r="387">
      <c r="B387" s="20"/>
      <c r="D387" s="20"/>
      <c r="E387" s="215"/>
      <c r="F387" s="215"/>
      <c r="G387" s="215"/>
      <c r="H387" s="215"/>
      <c r="I387" s="215"/>
      <c r="J387" s="224"/>
      <c r="K387" s="224"/>
      <c r="L387" s="215"/>
    </row>
    <row r="388">
      <c r="B388" s="20"/>
      <c r="D388" s="20"/>
      <c r="E388" s="215"/>
      <c r="F388" s="215"/>
      <c r="G388" s="215"/>
      <c r="H388" s="215"/>
      <c r="I388" s="215"/>
      <c r="J388" s="224"/>
      <c r="K388" s="224"/>
      <c r="L388" s="215"/>
    </row>
    <row r="389">
      <c r="B389" s="20"/>
      <c r="D389" s="20"/>
      <c r="E389" s="215"/>
      <c r="F389" s="215"/>
      <c r="G389" s="215"/>
      <c r="H389" s="215"/>
      <c r="I389" s="215"/>
      <c r="J389" s="224"/>
      <c r="K389" s="224"/>
      <c r="L389" s="215"/>
    </row>
    <row r="390">
      <c r="B390" s="20"/>
      <c r="D390" s="20"/>
      <c r="E390" s="215"/>
      <c r="F390" s="215"/>
      <c r="G390" s="215"/>
      <c r="H390" s="215"/>
      <c r="I390" s="215"/>
      <c r="J390" s="224"/>
      <c r="K390" s="224"/>
      <c r="L390" s="215"/>
    </row>
    <row r="391">
      <c r="B391" s="20"/>
      <c r="D391" s="20"/>
      <c r="E391" s="215"/>
      <c r="F391" s="215"/>
      <c r="G391" s="215"/>
      <c r="H391" s="215"/>
      <c r="I391" s="215"/>
      <c r="J391" s="224"/>
      <c r="K391" s="224"/>
      <c r="L391" s="215"/>
    </row>
    <row r="392">
      <c r="B392" s="20"/>
      <c r="D392" s="20"/>
      <c r="E392" s="215"/>
      <c r="F392" s="215"/>
      <c r="G392" s="215"/>
      <c r="H392" s="215"/>
      <c r="I392" s="215"/>
      <c r="J392" s="224"/>
      <c r="K392" s="224"/>
      <c r="L392" s="215"/>
    </row>
    <row r="393">
      <c r="B393" s="20"/>
      <c r="D393" s="20"/>
      <c r="E393" s="215"/>
      <c r="F393" s="215"/>
      <c r="G393" s="215"/>
      <c r="H393" s="215"/>
      <c r="I393" s="215"/>
      <c r="J393" s="224"/>
      <c r="K393" s="224"/>
      <c r="L393" s="215"/>
    </row>
    <row r="394">
      <c r="B394" s="20"/>
      <c r="D394" s="20"/>
      <c r="E394" s="215"/>
      <c r="F394" s="215"/>
      <c r="G394" s="215"/>
      <c r="H394" s="215"/>
      <c r="I394" s="215"/>
      <c r="J394" s="224"/>
      <c r="K394" s="224"/>
      <c r="L394" s="215"/>
    </row>
    <row r="395">
      <c r="B395" s="20"/>
      <c r="D395" s="20"/>
      <c r="E395" s="215"/>
      <c r="F395" s="215"/>
      <c r="G395" s="215"/>
      <c r="H395" s="215"/>
      <c r="I395" s="215"/>
      <c r="J395" s="224"/>
      <c r="K395" s="224"/>
      <c r="L395" s="215"/>
    </row>
    <row r="396">
      <c r="B396" s="20"/>
      <c r="D396" s="20"/>
      <c r="E396" s="215"/>
      <c r="F396" s="215"/>
      <c r="G396" s="215"/>
      <c r="H396" s="215"/>
      <c r="I396" s="215"/>
      <c r="J396" s="224"/>
      <c r="K396" s="224"/>
      <c r="L396" s="215"/>
    </row>
    <row r="397">
      <c r="B397" s="20"/>
      <c r="D397" s="20"/>
      <c r="E397" s="215"/>
      <c r="F397" s="215"/>
      <c r="G397" s="215"/>
      <c r="H397" s="215"/>
      <c r="I397" s="215"/>
      <c r="J397" s="224"/>
      <c r="K397" s="224"/>
      <c r="L397" s="215"/>
    </row>
    <row r="398">
      <c r="B398" s="20"/>
      <c r="D398" s="20"/>
      <c r="E398" s="215"/>
      <c r="F398" s="215"/>
      <c r="G398" s="215"/>
      <c r="H398" s="215"/>
      <c r="I398" s="215"/>
      <c r="J398" s="224"/>
      <c r="K398" s="224"/>
      <c r="L398" s="215"/>
    </row>
    <row r="399">
      <c r="B399" s="20"/>
      <c r="D399" s="20"/>
      <c r="E399" s="215"/>
      <c r="F399" s="215"/>
      <c r="G399" s="215"/>
      <c r="H399" s="215"/>
      <c r="I399" s="215"/>
      <c r="J399" s="224"/>
      <c r="K399" s="224"/>
      <c r="L399" s="215"/>
    </row>
    <row r="400">
      <c r="B400" s="20"/>
      <c r="D400" s="20"/>
      <c r="E400" s="215"/>
      <c r="F400" s="215"/>
      <c r="G400" s="215"/>
      <c r="H400" s="215"/>
      <c r="I400" s="215"/>
      <c r="J400" s="224"/>
      <c r="K400" s="224"/>
      <c r="L400" s="215"/>
    </row>
    <row r="401">
      <c r="B401" s="20"/>
      <c r="D401" s="20"/>
      <c r="E401" s="215"/>
      <c r="F401" s="215"/>
      <c r="G401" s="215"/>
      <c r="H401" s="215"/>
      <c r="I401" s="215"/>
      <c r="J401" s="224"/>
      <c r="K401" s="224"/>
      <c r="L401" s="215"/>
    </row>
    <row r="402">
      <c r="B402" s="20"/>
      <c r="D402" s="20"/>
      <c r="E402" s="215"/>
      <c r="F402" s="215"/>
      <c r="G402" s="215"/>
      <c r="H402" s="215"/>
      <c r="I402" s="215"/>
      <c r="J402" s="224"/>
      <c r="K402" s="224"/>
      <c r="L402" s="215"/>
    </row>
    <row r="403">
      <c r="B403" s="20"/>
      <c r="D403" s="20"/>
      <c r="E403" s="215"/>
      <c r="F403" s="215"/>
      <c r="G403" s="215"/>
      <c r="H403" s="215"/>
      <c r="I403" s="215"/>
      <c r="J403" s="224"/>
      <c r="K403" s="224"/>
      <c r="L403" s="215"/>
    </row>
    <row r="404">
      <c r="B404" s="20"/>
      <c r="D404" s="20"/>
      <c r="E404" s="215"/>
      <c r="F404" s="215"/>
      <c r="G404" s="215"/>
      <c r="H404" s="215"/>
      <c r="I404" s="215"/>
      <c r="J404" s="224"/>
      <c r="K404" s="224"/>
      <c r="L404" s="215"/>
    </row>
    <row r="405">
      <c r="B405" s="20"/>
      <c r="D405" s="20"/>
      <c r="E405" s="215"/>
      <c r="F405" s="215"/>
      <c r="G405" s="215"/>
      <c r="H405" s="215"/>
      <c r="I405" s="215"/>
      <c r="J405" s="224"/>
      <c r="K405" s="224"/>
      <c r="L405" s="215"/>
    </row>
    <row r="406">
      <c r="B406" s="20"/>
      <c r="D406" s="20"/>
      <c r="E406" s="215"/>
      <c r="F406" s="215"/>
      <c r="G406" s="215"/>
      <c r="H406" s="215"/>
      <c r="I406" s="215"/>
      <c r="J406" s="224"/>
      <c r="K406" s="224"/>
      <c r="L406" s="215"/>
    </row>
    <row r="407">
      <c r="B407" s="20"/>
      <c r="D407" s="20"/>
      <c r="E407" s="215"/>
      <c r="F407" s="215"/>
      <c r="G407" s="215"/>
      <c r="H407" s="215"/>
      <c r="I407" s="215"/>
      <c r="J407" s="224"/>
      <c r="K407" s="224"/>
      <c r="L407" s="215"/>
    </row>
    <row r="408">
      <c r="B408" s="20"/>
      <c r="D408" s="20"/>
      <c r="E408" s="215"/>
      <c r="F408" s="215"/>
      <c r="G408" s="215"/>
      <c r="H408" s="215"/>
      <c r="I408" s="215"/>
      <c r="J408" s="224"/>
      <c r="K408" s="224"/>
      <c r="L408" s="215"/>
    </row>
    <row r="409">
      <c r="B409" s="20"/>
      <c r="D409" s="20"/>
      <c r="E409" s="215"/>
      <c r="F409" s="215"/>
      <c r="G409" s="215"/>
      <c r="H409" s="215"/>
      <c r="I409" s="215"/>
      <c r="J409" s="224"/>
      <c r="K409" s="224"/>
      <c r="L409" s="215"/>
    </row>
    <row r="410">
      <c r="B410" s="20"/>
      <c r="D410" s="20"/>
      <c r="E410" s="215"/>
      <c r="F410" s="215"/>
      <c r="G410" s="215"/>
      <c r="H410" s="215"/>
      <c r="I410" s="215"/>
      <c r="J410" s="224"/>
      <c r="K410" s="224"/>
      <c r="L410" s="215"/>
    </row>
    <row r="411">
      <c r="B411" s="20"/>
      <c r="D411" s="20"/>
      <c r="E411" s="215"/>
      <c r="F411" s="215"/>
      <c r="G411" s="215"/>
      <c r="H411" s="215"/>
      <c r="I411" s="215"/>
      <c r="J411" s="224"/>
      <c r="K411" s="224"/>
      <c r="L411" s="215"/>
    </row>
    <row r="412">
      <c r="B412" s="20"/>
      <c r="D412" s="20"/>
      <c r="E412" s="215"/>
      <c r="F412" s="215"/>
      <c r="G412" s="215"/>
      <c r="H412" s="215"/>
      <c r="I412" s="215"/>
      <c r="J412" s="224"/>
      <c r="K412" s="224"/>
      <c r="L412" s="215"/>
    </row>
    <row r="413">
      <c r="B413" s="20"/>
      <c r="D413" s="20"/>
      <c r="E413" s="215"/>
      <c r="F413" s="215"/>
      <c r="G413" s="215"/>
      <c r="H413" s="215"/>
      <c r="I413" s="215"/>
      <c r="J413" s="224"/>
      <c r="K413" s="224"/>
      <c r="L413" s="215"/>
    </row>
    <row r="414">
      <c r="B414" s="20"/>
      <c r="D414" s="20"/>
      <c r="E414" s="215"/>
      <c r="F414" s="215"/>
      <c r="G414" s="215"/>
      <c r="H414" s="215"/>
      <c r="I414" s="215"/>
      <c r="J414" s="224"/>
      <c r="K414" s="224"/>
      <c r="L414" s="215"/>
    </row>
    <row r="415">
      <c r="B415" s="20"/>
      <c r="D415" s="20"/>
      <c r="E415" s="215"/>
      <c r="F415" s="215"/>
      <c r="G415" s="215"/>
      <c r="H415" s="215"/>
      <c r="I415" s="215"/>
      <c r="J415" s="224"/>
      <c r="K415" s="224"/>
      <c r="L415" s="215"/>
    </row>
    <row r="416">
      <c r="B416" s="20"/>
      <c r="D416" s="20"/>
      <c r="E416" s="215"/>
      <c r="F416" s="215"/>
      <c r="G416" s="215"/>
      <c r="H416" s="215"/>
      <c r="I416" s="215"/>
      <c r="J416" s="224"/>
      <c r="K416" s="224"/>
      <c r="L416" s="215"/>
    </row>
    <row r="417">
      <c r="B417" s="20"/>
      <c r="D417" s="20"/>
      <c r="E417" s="215"/>
      <c r="F417" s="215"/>
      <c r="G417" s="215"/>
      <c r="H417" s="215"/>
      <c r="I417" s="215"/>
      <c r="J417" s="224"/>
      <c r="K417" s="224"/>
      <c r="L417" s="215"/>
    </row>
    <row r="418">
      <c r="B418" s="20"/>
      <c r="D418" s="20"/>
      <c r="E418" s="215"/>
      <c r="F418" s="215"/>
      <c r="G418" s="215"/>
      <c r="H418" s="215"/>
      <c r="I418" s="215"/>
      <c r="J418" s="224"/>
      <c r="K418" s="224"/>
      <c r="L418" s="215"/>
    </row>
    <row r="419">
      <c r="B419" s="20"/>
      <c r="D419" s="20"/>
      <c r="E419" s="215"/>
      <c r="F419" s="215"/>
      <c r="G419" s="215"/>
      <c r="H419" s="215"/>
      <c r="I419" s="215"/>
      <c r="J419" s="224"/>
      <c r="K419" s="224"/>
      <c r="L419" s="215"/>
    </row>
    <row r="420">
      <c r="B420" s="20"/>
      <c r="D420" s="20"/>
      <c r="E420" s="215"/>
      <c r="F420" s="215"/>
      <c r="G420" s="215"/>
      <c r="H420" s="215"/>
      <c r="I420" s="215"/>
      <c r="J420" s="224"/>
      <c r="K420" s="224"/>
      <c r="L420" s="215"/>
    </row>
    <row r="421">
      <c r="B421" s="20"/>
      <c r="D421" s="20"/>
      <c r="E421" s="215"/>
      <c r="F421" s="215"/>
      <c r="G421" s="215"/>
      <c r="H421" s="215"/>
      <c r="I421" s="215"/>
      <c r="J421" s="224"/>
      <c r="K421" s="224"/>
      <c r="L421" s="215"/>
    </row>
    <row r="422">
      <c r="B422" s="20"/>
      <c r="D422" s="20"/>
      <c r="E422" s="215"/>
      <c r="F422" s="215"/>
      <c r="G422" s="215"/>
      <c r="H422" s="215"/>
      <c r="I422" s="215"/>
      <c r="J422" s="224"/>
      <c r="K422" s="224"/>
      <c r="L422" s="215"/>
    </row>
    <row r="423">
      <c r="B423" s="20"/>
      <c r="D423" s="20"/>
      <c r="E423" s="215"/>
      <c r="F423" s="215"/>
      <c r="G423" s="215"/>
      <c r="H423" s="215"/>
      <c r="I423" s="215"/>
      <c r="J423" s="224"/>
      <c r="K423" s="224"/>
      <c r="L423" s="215"/>
    </row>
    <row r="424">
      <c r="B424" s="20"/>
      <c r="D424" s="20"/>
      <c r="E424" s="215"/>
      <c r="F424" s="215"/>
      <c r="G424" s="215"/>
      <c r="H424" s="215"/>
      <c r="I424" s="215"/>
      <c r="J424" s="224"/>
      <c r="K424" s="224"/>
      <c r="L424" s="215"/>
    </row>
    <row r="425">
      <c r="B425" s="20"/>
      <c r="D425" s="20"/>
      <c r="E425" s="215"/>
      <c r="F425" s="215"/>
      <c r="G425" s="215"/>
      <c r="H425" s="215"/>
      <c r="I425" s="215"/>
      <c r="J425" s="224"/>
      <c r="K425" s="224"/>
      <c r="L425" s="215"/>
    </row>
    <row r="426">
      <c r="B426" s="20"/>
      <c r="D426" s="20"/>
      <c r="E426" s="215"/>
      <c r="F426" s="215"/>
      <c r="G426" s="215"/>
      <c r="H426" s="215"/>
      <c r="I426" s="215"/>
      <c r="J426" s="224"/>
      <c r="K426" s="224"/>
      <c r="L426" s="215"/>
    </row>
    <row r="427">
      <c r="B427" s="20"/>
      <c r="D427" s="20"/>
      <c r="E427" s="215"/>
      <c r="F427" s="215"/>
      <c r="G427" s="215"/>
      <c r="H427" s="215"/>
      <c r="I427" s="215"/>
      <c r="J427" s="224"/>
      <c r="K427" s="224"/>
      <c r="L427" s="215"/>
    </row>
    <row r="428">
      <c r="B428" s="20"/>
      <c r="D428" s="20"/>
      <c r="E428" s="215"/>
      <c r="F428" s="215"/>
      <c r="G428" s="215"/>
      <c r="H428" s="215"/>
      <c r="I428" s="215"/>
      <c r="J428" s="224"/>
      <c r="K428" s="224"/>
      <c r="L428" s="215"/>
    </row>
    <row r="429">
      <c r="B429" s="20"/>
      <c r="D429" s="20"/>
      <c r="E429" s="215"/>
      <c r="F429" s="215"/>
      <c r="G429" s="215"/>
      <c r="H429" s="215"/>
      <c r="I429" s="215"/>
      <c r="J429" s="224"/>
      <c r="K429" s="224"/>
      <c r="L429" s="215"/>
    </row>
    <row r="430">
      <c r="B430" s="20"/>
      <c r="D430" s="20"/>
      <c r="E430" s="215"/>
      <c r="F430" s="215"/>
      <c r="G430" s="215"/>
      <c r="H430" s="215"/>
      <c r="I430" s="215"/>
      <c r="J430" s="224"/>
      <c r="K430" s="224"/>
      <c r="L430" s="215"/>
    </row>
    <row r="431">
      <c r="B431" s="20"/>
      <c r="D431" s="20"/>
      <c r="E431" s="215"/>
      <c r="F431" s="215"/>
      <c r="G431" s="215"/>
      <c r="H431" s="215"/>
      <c r="I431" s="215"/>
      <c r="J431" s="224"/>
      <c r="K431" s="224"/>
      <c r="L431" s="215"/>
    </row>
    <row r="432">
      <c r="B432" s="20"/>
      <c r="D432" s="20"/>
      <c r="E432" s="215"/>
      <c r="F432" s="215"/>
      <c r="G432" s="215"/>
      <c r="H432" s="215"/>
      <c r="I432" s="215"/>
      <c r="J432" s="224"/>
      <c r="K432" s="224"/>
      <c r="L432" s="215"/>
    </row>
    <row r="433">
      <c r="B433" s="20"/>
      <c r="D433" s="20"/>
      <c r="E433" s="215"/>
      <c r="F433" s="215"/>
      <c r="G433" s="215"/>
      <c r="H433" s="215"/>
      <c r="I433" s="215"/>
      <c r="J433" s="224"/>
      <c r="K433" s="224"/>
      <c r="L433" s="215"/>
    </row>
    <row r="434">
      <c r="B434" s="20"/>
      <c r="D434" s="20"/>
      <c r="E434" s="215"/>
      <c r="F434" s="215"/>
      <c r="G434" s="215"/>
      <c r="H434" s="215"/>
      <c r="I434" s="215"/>
      <c r="J434" s="224"/>
      <c r="K434" s="224"/>
      <c r="L434" s="215"/>
    </row>
    <row r="435">
      <c r="B435" s="20"/>
      <c r="D435" s="20"/>
      <c r="E435" s="215"/>
      <c r="F435" s="215"/>
      <c r="G435" s="215"/>
      <c r="H435" s="215"/>
      <c r="I435" s="215"/>
      <c r="J435" s="224"/>
      <c r="K435" s="224"/>
      <c r="L435" s="215"/>
    </row>
    <row r="436">
      <c r="B436" s="20"/>
      <c r="D436" s="20"/>
      <c r="E436" s="215"/>
      <c r="F436" s="215"/>
      <c r="G436" s="215"/>
      <c r="H436" s="215"/>
      <c r="I436" s="215"/>
      <c r="J436" s="224"/>
      <c r="K436" s="224"/>
      <c r="L436" s="215"/>
    </row>
    <row r="437">
      <c r="B437" s="20"/>
      <c r="D437" s="20"/>
      <c r="E437" s="215"/>
      <c r="F437" s="215"/>
      <c r="G437" s="215"/>
      <c r="H437" s="215"/>
      <c r="I437" s="215"/>
      <c r="J437" s="224"/>
      <c r="K437" s="224"/>
      <c r="L437" s="215"/>
    </row>
    <row r="438">
      <c r="B438" s="20"/>
      <c r="D438" s="20"/>
      <c r="E438" s="215"/>
      <c r="F438" s="215"/>
      <c r="G438" s="215"/>
      <c r="H438" s="215"/>
      <c r="I438" s="215"/>
      <c r="J438" s="224"/>
      <c r="K438" s="224"/>
      <c r="L438" s="215"/>
    </row>
    <row r="439">
      <c r="B439" s="20"/>
      <c r="D439" s="20"/>
      <c r="E439" s="215"/>
      <c r="F439" s="215"/>
      <c r="G439" s="215"/>
      <c r="H439" s="215"/>
      <c r="I439" s="215"/>
      <c r="J439" s="224"/>
      <c r="K439" s="224"/>
      <c r="L439" s="215"/>
    </row>
    <row r="440">
      <c r="B440" s="20"/>
      <c r="D440" s="20"/>
      <c r="E440" s="215"/>
      <c r="F440" s="215"/>
      <c r="G440" s="215"/>
      <c r="H440" s="215"/>
      <c r="I440" s="215"/>
      <c r="J440" s="224"/>
      <c r="K440" s="224"/>
      <c r="L440" s="215"/>
    </row>
    <row r="441">
      <c r="B441" s="20"/>
      <c r="D441" s="20"/>
      <c r="E441" s="215"/>
      <c r="F441" s="215"/>
      <c r="G441" s="215"/>
      <c r="H441" s="215"/>
      <c r="I441" s="215"/>
      <c r="J441" s="224"/>
      <c r="K441" s="224"/>
      <c r="L441" s="215"/>
    </row>
    <row r="442">
      <c r="B442" s="20"/>
      <c r="D442" s="20"/>
      <c r="E442" s="215"/>
      <c r="F442" s="215"/>
      <c r="G442" s="215"/>
      <c r="H442" s="215"/>
      <c r="I442" s="215"/>
      <c r="J442" s="224"/>
      <c r="K442" s="224"/>
      <c r="L442" s="215"/>
    </row>
    <row r="443">
      <c r="B443" s="20"/>
      <c r="D443" s="20"/>
      <c r="E443" s="215"/>
      <c r="F443" s="215"/>
      <c r="G443" s="215"/>
      <c r="H443" s="215"/>
      <c r="I443" s="215"/>
      <c r="J443" s="224"/>
      <c r="K443" s="224"/>
      <c r="L443" s="215"/>
    </row>
    <row r="444">
      <c r="B444" s="20"/>
      <c r="D444" s="20"/>
      <c r="E444" s="215"/>
      <c r="F444" s="215"/>
      <c r="G444" s="215"/>
      <c r="H444" s="215"/>
      <c r="I444" s="215"/>
      <c r="J444" s="224"/>
      <c r="K444" s="224"/>
      <c r="L444" s="215"/>
    </row>
    <row r="445">
      <c r="B445" s="20"/>
      <c r="D445" s="20"/>
      <c r="E445" s="215"/>
      <c r="F445" s="215"/>
      <c r="G445" s="215"/>
      <c r="H445" s="215"/>
      <c r="I445" s="215"/>
      <c r="J445" s="224"/>
      <c r="K445" s="224"/>
      <c r="L445" s="215"/>
    </row>
    <row r="446">
      <c r="B446" s="20"/>
      <c r="D446" s="20"/>
      <c r="E446" s="215"/>
      <c r="F446" s="215"/>
      <c r="G446" s="215"/>
      <c r="H446" s="215"/>
      <c r="I446" s="215"/>
      <c r="J446" s="224"/>
      <c r="K446" s="224"/>
      <c r="L446" s="215"/>
    </row>
    <row r="447">
      <c r="B447" s="20"/>
      <c r="D447" s="20"/>
      <c r="E447" s="215"/>
      <c r="F447" s="215"/>
      <c r="G447" s="215"/>
      <c r="H447" s="215"/>
      <c r="I447" s="215"/>
      <c r="J447" s="224"/>
      <c r="K447" s="224"/>
      <c r="L447" s="215"/>
    </row>
    <row r="448">
      <c r="B448" s="20"/>
      <c r="D448" s="20"/>
      <c r="E448" s="215"/>
      <c r="F448" s="215"/>
      <c r="G448" s="215"/>
      <c r="H448" s="215"/>
      <c r="I448" s="215"/>
      <c r="J448" s="224"/>
      <c r="K448" s="224"/>
      <c r="L448" s="215"/>
    </row>
    <row r="449">
      <c r="B449" s="20"/>
      <c r="D449" s="20"/>
      <c r="E449" s="215"/>
      <c r="F449" s="215"/>
      <c r="G449" s="215"/>
      <c r="H449" s="215"/>
      <c r="I449" s="215"/>
      <c r="J449" s="224"/>
      <c r="K449" s="224"/>
      <c r="L449" s="215"/>
    </row>
    <row r="450">
      <c r="B450" s="20"/>
      <c r="D450" s="20"/>
      <c r="E450" s="215"/>
      <c r="F450" s="215"/>
      <c r="G450" s="215"/>
      <c r="H450" s="215"/>
      <c r="I450" s="215"/>
      <c r="J450" s="224"/>
      <c r="K450" s="224"/>
      <c r="L450" s="215"/>
    </row>
    <row r="451">
      <c r="B451" s="20"/>
      <c r="D451" s="20"/>
      <c r="E451" s="215"/>
      <c r="F451" s="215"/>
      <c r="G451" s="215"/>
      <c r="H451" s="215"/>
      <c r="I451" s="215"/>
      <c r="J451" s="224"/>
      <c r="K451" s="224"/>
      <c r="L451" s="215"/>
    </row>
    <row r="452">
      <c r="B452" s="20"/>
      <c r="D452" s="20"/>
      <c r="E452" s="215"/>
      <c r="F452" s="215"/>
      <c r="G452" s="215"/>
      <c r="H452" s="215"/>
      <c r="I452" s="215"/>
      <c r="J452" s="224"/>
      <c r="K452" s="224"/>
      <c r="L452" s="215"/>
    </row>
    <row r="453">
      <c r="B453" s="20"/>
      <c r="D453" s="20"/>
      <c r="E453" s="215"/>
      <c r="F453" s="215"/>
      <c r="G453" s="215"/>
      <c r="H453" s="215"/>
      <c r="I453" s="215"/>
      <c r="J453" s="224"/>
      <c r="K453" s="224"/>
      <c r="L453" s="215"/>
    </row>
    <row r="454">
      <c r="B454" s="20"/>
      <c r="D454" s="20"/>
      <c r="E454" s="215"/>
      <c r="F454" s="215"/>
      <c r="G454" s="215"/>
      <c r="H454" s="215"/>
      <c r="I454" s="215"/>
      <c r="J454" s="224"/>
      <c r="K454" s="224"/>
      <c r="L454" s="215"/>
    </row>
    <row r="455">
      <c r="B455" s="20"/>
      <c r="D455" s="20"/>
      <c r="E455" s="215"/>
      <c r="F455" s="215"/>
      <c r="G455" s="215"/>
      <c r="H455" s="215"/>
      <c r="I455" s="215"/>
      <c r="J455" s="224"/>
      <c r="K455" s="224"/>
      <c r="L455" s="215"/>
    </row>
    <row r="456">
      <c r="B456" s="20"/>
      <c r="D456" s="20"/>
      <c r="E456" s="215"/>
      <c r="F456" s="215"/>
      <c r="G456" s="215"/>
      <c r="H456" s="215"/>
      <c r="I456" s="215"/>
      <c r="J456" s="224"/>
      <c r="K456" s="224"/>
      <c r="L456" s="215"/>
    </row>
    <row r="457">
      <c r="B457" s="20"/>
      <c r="D457" s="20"/>
      <c r="E457" s="215"/>
      <c r="F457" s="215"/>
      <c r="G457" s="215"/>
      <c r="H457" s="215"/>
      <c r="I457" s="215"/>
      <c r="J457" s="224"/>
      <c r="K457" s="224"/>
      <c r="L457" s="215"/>
    </row>
    <row r="458">
      <c r="B458" s="20"/>
      <c r="D458" s="20"/>
      <c r="E458" s="215"/>
      <c r="F458" s="215"/>
      <c r="G458" s="215"/>
      <c r="H458" s="215"/>
      <c r="I458" s="215"/>
      <c r="J458" s="224"/>
      <c r="K458" s="224"/>
      <c r="L458" s="215"/>
    </row>
    <row r="459">
      <c r="B459" s="20"/>
      <c r="D459" s="20"/>
      <c r="E459" s="215"/>
      <c r="F459" s="215"/>
      <c r="G459" s="215"/>
      <c r="H459" s="215"/>
      <c r="I459" s="215"/>
      <c r="J459" s="224"/>
      <c r="K459" s="224"/>
      <c r="L459" s="215"/>
    </row>
    <row r="460">
      <c r="B460" s="20"/>
      <c r="D460" s="20"/>
      <c r="E460" s="215"/>
      <c r="F460" s="215"/>
      <c r="G460" s="215"/>
      <c r="H460" s="215"/>
      <c r="I460" s="215"/>
      <c r="J460" s="224"/>
      <c r="K460" s="224"/>
      <c r="L460" s="215"/>
    </row>
    <row r="461">
      <c r="B461" s="20"/>
      <c r="D461" s="20"/>
      <c r="E461" s="215"/>
      <c r="F461" s="215"/>
      <c r="G461" s="215"/>
      <c r="H461" s="215"/>
      <c r="I461" s="215"/>
      <c r="J461" s="224"/>
      <c r="K461" s="224"/>
      <c r="L461" s="215"/>
    </row>
    <row r="462">
      <c r="B462" s="20"/>
      <c r="D462" s="20"/>
      <c r="E462" s="215"/>
      <c r="F462" s="215"/>
      <c r="G462" s="215"/>
      <c r="H462" s="215"/>
      <c r="I462" s="215"/>
      <c r="J462" s="224"/>
      <c r="K462" s="224"/>
      <c r="L462" s="215"/>
    </row>
    <row r="463">
      <c r="B463" s="20"/>
      <c r="D463" s="20"/>
      <c r="E463" s="215"/>
      <c r="F463" s="215"/>
      <c r="G463" s="215"/>
      <c r="H463" s="215"/>
      <c r="I463" s="215"/>
      <c r="J463" s="224"/>
      <c r="K463" s="224"/>
      <c r="L463" s="215"/>
    </row>
    <row r="464">
      <c r="B464" s="20"/>
      <c r="D464" s="20"/>
      <c r="E464" s="215"/>
      <c r="F464" s="215"/>
      <c r="G464" s="215"/>
      <c r="H464" s="215"/>
      <c r="I464" s="215"/>
      <c r="J464" s="224"/>
      <c r="K464" s="224"/>
      <c r="L464" s="215"/>
    </row>
    <row r="465">
      <c r="B465" s="20"/>
      <c r="D465" s="20"/>
      <c r="E465" s="215"/>
      <c r="F465" s="215"/>
      <c r="G465" s="215"/>
      <c r="H465" s="215"/>
      <c r="I465" s="215"/>
      <c r="J465" s="224"/>
      <c r="K465" s="224"/>
      <c r="L465" s="215"/>
    </row>
    <row r="466">
      <c r="B466" s="20"/>
      <c r="D466" s="20"/>
      <c r="E466" s="215"/>
      <c r="F466" s="215"/>
      <c r="G466" s="215"/>
      <c r="H466" s="215"/>
      <c r="I466" s="215"/>
      <c r="J466" s="224"/>
      <c r="K466" s="224"/>
      <c r="L466" s="215"/>
    </row>
    <row r="467">
      <c r="B467" s="20"/>
      <c r="D467" s="20"/>
      <c r="E467" s="215"/>
      <c r="F467" s="215"/>
      <c r="G467" s="215"/>
      <c r="H467" s="215"/>
      <c r="I467" s="215"/>
      <c r="J467" s="224"/>
      <c r="K467" s="224"/>
      <c r="L467" s="215"/>
    </row>
    <row r="468">
      <c r="B468" s="20"/>
      <c r="D468" s="20"/>
      <c r="E468" s="215"/>
      <c r="F468" s="215"/>
      <c r="G468" s="215"/>
      <c r="H468" s="215"/>
      <c r="I468" s="215"/>
      <c r="J468" s="224"/>
      <c r="K468" s="224"/>
      <c r="L468" s="215"/>
    </row>
    <row r="469">
      <c r="B469" s="20"/>
      <c r="D469" s="20"/>
      <c r="E469" s="215"/>
      <c r="F469" s="215"/>
      <c r="G469" s="215"/>
      <c r="H469" s="215"/>
      <c r="I469" s="215"/>
      <c r="J469" s="224"/>
      <c r="K469" s="224"/>
      <c r="L469" s="215"/>
    </row>
    <row r="470">
      <c r="B470" s="20"/>
      <c r="D470" s="20"/>
      <c r="E470" s="215"/>
      <c r="F470" s="215"/>
      <c r="G470" s="215"/>
      <c r="H470" s="215"/>
      <c r="I470" s="215"/>
      <c r="J470" s="224"/>
      <c r="K470" s="224"/>
      <c r="L470" s="215"/>
    </row>
    <row r="471">
      <c r="B471" s="20"/>
      <c r="D471" s="20"/>
      <c r="E471" s="215"/>
      <c r="F471" s="215"/>
      <c r="G471" s="215"/>
      <c r="H471" s="215"/>
      <c r="I471" s="215"/>
      <c r="J471" s="224"/>
      <c r="K471" s="224"/>
      <c r="L471" s="215"/>
    </row>
    <row r="472">
      <c r="B472" s="20"/>
      <c r="D472" s="20"/>
      <c r="E472" s="215"/>
      <c r="F472" s="215"/>
      <c r="G472" s="215"/>
      <c r="H472" s="215"/>
      <c r="I472" s="215"/>
      <c r="J472" s="224"/>
      <c r="K472" s="224"/>
      <c r="L472" s="215"/>
    </row>
    <row r="473">
      <c r="B473" s="20"/>
      <c r="D473" s="20"/>
      <c r="E473" s="215"/>
      <c r="F473" s="215"/>
      <c r="G473" s="215"/>
      <c r="H473" s="215"/>
      <c r="I473" s="215"/>
      <c r="J473" s="224"/>
      <c r="K473" s="224"/>
      <c r="L473" s="215"/>
    </row>
    <row r="474">
      <c r="B474" s="20"/>
      <c r="D474" s="20"/>
      <c r="E474" s="215"/>
      <c r="F474" s="215"/>
      <c r="G474" s="215"/>
      <c r="H474" s="215"/>
      <c r="I474" s="215"/>
      <c r="J474" s="224"/>
      <c r="K474" s="224"/>
      <c r="L474" s="215"/>
    </row>
    <row r="475">
      <c r="B475" s="20"/>
      <c r="D475" s="20"/>
      <c r="E475" s="215"/>
      <c r="F475" s="215"/>
      <c r="G475" s="215"/>
      <c r="H475" s="215"/>
      <c r="I475" s="215"/>
      <c r="J475" s="224"/>
      <c r="K475" s="224"/>
      <c r="L475" s="215"/>
    </row>
    <row r="476">
      <c r="B476" s="20"/>
      <c r="D476" s="20"/>
      <c r="E476" s="215"/>
      <c r="F476" s="215"/>
      <c r="G476" s="215"/>
      <c r="H476" s="215"/>
      <c r="I476" s="215"/>
      <c r="J476" s="224"/>
      <c r="K476" s="224"/>
      <c r="L476" s="215"/>
    </row>
    <row r="477">
      <c r="B477" s="20"/>
      <c r="D477" s="20"/>
      <c r="E477" s="215"/>
      <c r="F477" s="215"/>
      <c r="G477" s="215"/>
      <c r="H477" s="215"/>
      <c r="I477" s="215"/>
      <c r="J477" s="224"/>
      <c r="K477" s="224"/>
      <c r="L477" s="215"/>
    </row>
    <row r="478">
      <c r="B478" s="20"/>
      <c r="D478" s="20"/>
      <c r="E478" s="215"/>
      <c r="F478" s="215"/>
      <c r="G478" s="215"/>
      <c r="H478" s="215"/>
      <c r="I478" s="215"/>
      <c r="J478" s="224"/>
      <c r="K478" s="224"/>
      <c r="L478" s="215"/>
    </row>
    <row r="479">
      <c r="B479" s="20"/>
      <c r="D479" s="20"/>
      <c r="E479" s="215"/>
      <c r="F479" s="215"/>
      <c r="G479" s="215"/>
      <c r="H479" s="215"/>
      <c r="I479" s="215"/>
      <c r="J479" s="224"/>
      <c r="K479" s="224"/>
      <c r="L479" s="215"/>
    </row>
    <row r="480">
      <c r="B480" s="20"/>
      <c r="D480" s="20"/>
      <c r="E480" s="215"/>
      <c r="F480" s="215"/>
      <c r="G480" s="215"/>
      <c r="H480" s="215"/>
      <c r="I480" s="215"/>
      <c r="J480" s="224"/>
      <c r="K480" s="224"/>
      <c r="L480" s="215"/>
    </row>
    <row r="481">
      <c r="B481" s="20"/>
      <c r="D481" s="20"/>
      <c r="E481" s="215"/>
      <c r="F481" s="215"/>
      <c r="G481" s="215"/>
      <c r="H481" s="215"/>
      <c r="I481" s="215"/>
      <c r="J481" s="224"/>
      <c r="K481" s="224"/>
      <c r="L481" s="215"/>
    </row>
    <row r="482">
      <c r="B482" s="20"/>
      <c r="D482" s="20"/>
      <c r="E482" s="215"/>
      <c r="F482" s="215"/>
      <c r="G482" s="215"/>
      <c r="H482" s="215"/>
      <c r="I482" s="215"/>
      <c r="J482" s="224"/>
      <c r="K482" s="224"/>
      <c r="L482" s="215"/>
    </row>
    <row r="483">
      <c r="B483" s="20"/>
      <c r="D483" s="20"/>
      <c r="E483" s="215"/>
      <c r="F483" s="215"/>
      <c r="G483" s="215"/>
      <c r="H483" s="215"/>
      <c r="I483" s="215"/>
      <c r="J483" s="224"/>
      <c r="K483" s="224"/>
      <c r="L483" s="215"/>
    </row>
    <row r="484">
      <c r="B484" s="20"/>
      <c r="D484" s="20"/>
      <c r="E484" s="215"/>
      <c r="F484" s="215"/>
      <c r="G484" s="215"/>
      <c r="H484" s="215"/>
      <c r="I484" s="215"/>
      <c r="J484" s="224"/>
      <c r="K484" s="224"/>
      <c r="L484" s="215"/>
    </row>
    <row r="485">
      <c r="B485" s="20"/>
      <c r="D485" s="20"/>
      <c r="E485" s="215"/>
      <c r="F485" s="215"/>
      <c r="G485" s="215"/>
      <c r="H485" s="215"/>
      <c r="I485" s="215"/>
      <c r="J485" s="224"/>
      <c r="K485" s="224"/>
      <c r="L485" s="215"/>
    </row>
    <row r="486">
      <c r="B486" s="20"/>
      <c r="D486" s="20"/>
      <c r="E486" s="215"/>
      <c r="F486" s="215"/>
      <c r="G486" s="215"/>
      <c r="H486" s="215"/>
      <c r="I486" s="215"/>
      <c r="J486" s="224"/>
      <c r="K486" s="224"/>
      <c r="L486" s="215"/>
    </row>
    <row r="487">
      <c r="B487" s="20"/>
      <c r="D487" s="20"/>
      <c r="E487" s="215"/>
      <c r="F487" s="215"/>
      <c r="G487" s="215"/>
      <c r="H487" s="215"/>
      <c r="I487" s="215"/>
      <c r="J487" s="224"/>
      <c r="K487" s="224"/>
      <c r="L487" s="215"/>
    </row>
    <row r="488">
      <c r="B488" s="20"/>
      <c r="D488" s="20"/>
      <c r="E488" s="215"/>
      <c r="F488" s="215"/>
      <c r="G488" s="215"/>
      <c r="H488" s="215"/>
      <c r="I488" s="215"/>
      <c r="J488" s="224"/>
      <c r="K488" s="224"/>
      <c r="L488" s="215"/>
    </row>
    <row r="489">
      <c r="B489" s="20"/>
      <c r="D489" s="20"/>
      <c r="E489" s="215"/>
      <c r="F489" s="215"/>
      <c r="G489" s="215"/>
      <c r="H489" s="215"/>
      <c r="I489" s="215"/>
      <c r="J489" s="224"/>
      <c r="K489" s="224"/>
      <c r="L489" s="215"/>
    </row>
    <row r="490">
      <c r="B490" s="20"/>
      <c r="D490" s="20"/>
      <c r="E490" s="215"/>
      <c r="F490" s="215"/>
      <c r="G490" s="215"/>
      <c r="H490" s="215"/>
      <c r="I490" s="215"/>
      <c r="J490" s="224"/>
      <c r="K490" s="224"/>
      <c r="L490" s="215"/>
    </row>
    <row r="491">
      <c r="B491" s="20"/>
      <c r="D491" s="20"/>
      <c r="E491" s="215"/>
      <c r="F491" s="215"/>
      <c r="G491" s="215"/>
      <c r="H491" s="215"/>
      <c r="I491" s="215"/>
      <c r="J491" s="224"/>
      <c r="K491" s="224"/>
      <c r="L491" s="215"/>
    </row>
    <row r="492">
      <c r="B492" s="20"/>
      <c r="D492" s="20"/>
      <c r="E492" s="215"/>
      <c r="F492" s="215"/>
      <c r="G492" s="215"/>
      <c r="H492" s="215"/>
      <c r="I492" s="215"/>
      <c r="J492" s="224"/>
      <c r="K492" s="224"/>
      <c r="L492" s="215"/>
    </row>
    <row r="493">
      <c r="B493" s="20"/>
      <c r="D493" s="20"/>
      <c r="E493" s="215"/>
      <c r="F493" s="215"/>
      <c r="G493" s="215"/>
      <c r="H493" s="215"/>
      <c r="I493" s="215"/>
      <c r="J493" s="224"/>
      <c r="K493" s="224"/>
      <c r="L493" s="215"/>
    </row>
    <row r="494">
      <c r="B494" s="20"/>
      <c r="D494" s="20"/>
      <c r="E494" s="215"/>
      <c r="F494" s="215"/>
      <c r="G494" s="215"/>
      <c r="H494" s="215"/>
      <c r="I494" s="215"/>
      <c r="J494" s="224"/>
      <c r="K494" s="224"/>
      <c r="L494" s="215"/>
    </row>
    <row r="495">
      <c r="B495" s="20"/>
      <c r="D495" s="20"/>
      <c r="E495" s="215"/>
      <c r="F495" s="215"/>
      <c r="G495" s="215"/>
      <c r="H495" s="215"/>
      <c r="I495" s="215"/>
      <c r="J495" s="224"/>
      <c r="K495" s="224"/>
      <c r="L495" s="215"/>
    </row>
    <row r="496">
      <c r="B496" s="20"/>
      <c r="D496" s="20"/>
      <c r="E496" s="215"/>
      <c r="F496" s="215"/>
      <c r="G496" s="215"/>
      <c r="H496" s="215"/>
      <c r="I496" s="215"/>
      <c r="J496" s="224"/>
      <c r="K496" s="224"/>
      <c r="L496" s="215"/>
    </row>
    <row r="497">
      <c r="B497" s="20"/>
      <c r="D497" s="20"/>
      <c r="E497" s="215"/>
      <c r="F497" s="215"/>
      <c r="G497" s="215"/>
      <c r="H497" s="215"/>
      <c r="I497" s="215"/>
      <c r="J497" s="224"/>
      <c r="K497" s="224"/>
      <c r="L497" s="215"/>
    </row>
    <row r="498">
      <c r="B498" s="20"/>
      <c r="D498" s="20"/>
      <c r="E498" s="215"/>
      <c r="F498" s="215"/>
      <c r="G498" s="215"/>
      <c r="H498" s="215"/>
      <c r="I498" s="215"/>
      <c r="J498" s="224"/>
      <c r="K498" s="224"/>
      <c r="L498" s="215"/>
    </row>
    <row r="499">
      <c r="B499" s="20"/>
      <c r="D499" s="20"/>
      <c r="E499" s="215"/>
      <c r="F499" s="215"/>
      <c r="G499" s="215"/>
      <c r="H499" s="215"/>
      <c r="I499" s="215"/>
      <c r="J499" s="224"/>
      <c r="K499" s="224"/>
      <c r="L499" s="215"/>
    </row>
    <row r="500">
      <c r="B500" s="20"/>
      <c r="D500" s="20"/>
      <c r="E500" s="215"/>
      <c r="F500" s="215"/>
      <c r="G500" s="215"/>
      <c r="H500" s="215"/>
      <c r="I500" s="215"/>
      <c r="J500" s="224"/>
      <c r="K500" s="224"/>
      <c r="L500" s="215"/>
    </row>
    <row r="501">
      <c r="B501" s="20"/>
      <c r="D501" s="20"/>
      <c r="E501" s="215"/>
      <c r="F501" s="215"/>
      <c r="G501" s="215"/>
      <c r="H501" s="215"/>
      <c r="I501" s="215"/>
      <c r="J501" s="224"/>
      <c r="K501" s="224"/>
      <c r="L501" s="215"/>
    </row>
    <row r="502">
      <c r="B502" s="20"/>
      <c r="D502" s="20"/>
      <c r="E502" s="215"/>
      <c r="F502" s="215"/>
      <c r="G502" s="215"/>
      <c r="H502" s="215"/>
      <c r="I502" s="215"/>
      <c r="J502" s="224"/>
      <c r="K502" s="224"/>
      <c r="L502" s="215"/>
    </row>
    <row r="503">
      <c r="B503" s="20"/>
      <c r="D503" s="20"/>
      <c r="E503" s="215"/>
      <c r="F503" s="215"/>
      <c r="G503" s="215"/>
      <c r="H503" s="215"/>
      <c r="I503" s="215"/>
      <c r="J503" s="224"/>
      <c r="K503" s="224"/>
      <c r="L503" s="215"/>
    </row>
    <row r="504">
      <c r="B504" s="20"/>
      <c r="D504" s="20"/>
      <c r="E504" s="215"/>
      <c r="F504" s="215"/>
      <c r="G504" s="215"/>
      <c r="H504" s="215"/>
      <c r="I504" s="215"/>
      <c r="J504" s="224"/>
      <c r="K504" s="224"/>
      <c r="L504" s="215"/>
    </row>
    <row r="505">
      <c r="B505" s="20"/>
      <c r="D505" s="20"/>
      <c r="E505" s="215"/>
      <c r="F505" s="215"/>
      <c r="G505" s="215"/>
      <c r="H505" s="215"/>
      <c r="I505" s="215"/>
      <c r="J505" s="224"/>
      <c r="K505" s="224"/>
      <c r="L505" s="215"/>
    </row>
    <row r="506">
      <c r="B506" s="20"/>
      <c r="D506" s="20"/>
      <c r="E506" s="215"/>
      <c r="F506" s="215"/>
      <c r="G506" s="215"/>
      <c r="H506" s="215"/>
      <c r="I506" s="215"/>
      <c r="J506" s="224"/>
      <c r="K506" s="224"/>
      <c r="L506" s="215"/>
    </row>
    <row r="507">
      <c r="B507" s="20"/>
      <c r="D507" s="20"/>
      <c r="E507" s="215"/>
      <c r="F507" s="215"/>
      <c r="G507" s="215"/>
      <c r="H507" s="215"/>
      <c r="I507" s="215"/>
      <c r="J507" s="224"/>
      <c r="K507" s="224"/>
      <c r="L507" s="215"/>
    </row>
    <row r="508">
      <c r="B508" s="20"/>
      <c r="D508" s="20"/>
      <c r="E508" s="215"/>
      <c r="F508" s="215"/>
      <c r="G508" s="215"/>
      <c r="H508" s="215"/>
      <c r="I508" s="215"/>
      <c r="J508" s="224"/>
      <c r="K508" s="224"/>
      <c r="L508" s="215"/>
    </row>
    <row r="509">
      <c r="B509" s="20"/>
      <c r="D509" s="20"/>
      <c r="E509" s="215"/>
      <c r="F509" s="215"/>
      <c r="G509" s="215"/>
      <c r="H509" s="215"/>
      <c r="I509" s="215"/>
      <c r="J509" s="224"/>
      <c r="K509" s="224"/>
      <c r="L509" s="215"/>
    </row>
    <row r="510">
      <c r="B510" s="20"/>
      <c r="D510" s="20"/>
      <c r="E510" s="215"/>
      <c r="F510" s="215"/>
      <c r="G510" s="215"/>
      <c r="H510" s="215"/>
      <c r="I510" s="215"/>
      <c r="J510" s="224"/>
      <c r="K510" s="224"/>
      <c r="L510" s="215"/>
    </row>
    <row r="511">
      <c r="B511" s="20"/>
      <c r="D511" s="20"/>
      <c r="E511" s="215"/>
      <c r="F511" s="215"/>
      <c r="G511" s="215"/>
      <c r="H511" s="215"/>
      <c r="I511" s="215"/>
      <c r="J511" s="224"/>
      <c r="K511" s="224"/>
      <c r="L511" s="215"/>
    </row>
    <row r="512">
      <c r="B512" s="20"/>
      <c r="D512" s="20"/>
      <c r="E512" s="215"/>
      <c r="F512" s="215"/>
      <c r="G512" s="215"/>
      <c r="H512" s="215"/>
      <c r="I512" s="215"/>
      <c r="J512" s="224"/>
      <c r="K512" s="224"/>
      <c r="L512" s="215"/>
    </row>
    <row r="513">
      <c r="B513" s="20"/>
      <c r="D513" s="20"/>
      <c r="E513" s="215"/>
      <c r="F513" s="215"/>
      <c r="G513" s="215"/>
      <c r="H513" s="215"/>
      <c r="I513" s="215"/>
      <c r="J513" s="224"/>
      <c r="K513" s="224"/>
      <c r="L513" s="215"/>
    </row>
    <row r="514">
      <c r="B514" s="20"/>
      <c r="D514" s="20"/>
      <c r="E514" s="215"/>
      <c r="F514" s="215"/>
      <c r="G514" s="215"/>
      <c r="H514" s="215"/>
      <c r="I514" s="215"/>
      <c r="J514" s="224"/>
      <c r="K514" s="224"/>
      <c r="L514" s="215"/>
    </row>
    <row r="515">
      <c r="B515" s="20"/>
      <c r="D515" s="20"/>
      <c r="E515" s="215"/>
      <c r="F515" s="215"/>
      <c r="G515" s="215"/>
      <c r="H515" s="215"/>
      <c r="I515" s="215"/>
      <c r="J515" s="224"/>
      <c r="K515" s="224"/>
      <c r="L515" s="215"/>
    </row>
    <row r="516">
      <c r="B516" s="20"/>
      <c r="D516" s="20"/>
      <c r="E516" s="215"/>
      <c r="F516" s="215"/>
      <c r="G516" s="215"/>
      <c r="H516" s="215"/>
      <c r="I516" s="215"/>
      <c r="J516" s="224"/>
      <c r="K516" s="224"/>
      <c r="L516" s="215"/>
    </row>
    <row r="517">
      <c r="B517" s="20"/>
      <c r="D517" s="20"/>
      <c r="E517" s="215"/>
      <c r="F517" s="215"/>
      <c r="G517" s="215"/>
      <c r="H517" s="215"/>
      <c r="I517" s="215"/>
      <c r="J517" s="224"/>
      <c r="K517" s="224"/>
      <c r="L517" s="215"/>
    </row>
    <row r="518">
      <c r="B518" s="20"/>
      <c r="D518" s="20"/>
      <c r="E518" s="215"/>
      <c r="F518" s="215"/>
      <c r="G518" s="215"/>
      <c r="H518" s="215"/>
      <c r="I518" s="215"/>
      <c r="J518" s="224"/>
      <c r="K518" s="224"/>
      <c r="L518" s="215"/>
    </row>
    <row r="519">
      <c r="B519" s="20"/>
      <c r="D519" s="20"/>
      <c r="E519" s="215"/>
      <c r="F519" s="215"/>
      <c r="G519" s="215"/>
      <c r="H519" s="215"/>
      <c r="I519" s="215"/>
      <c r="J519" s="224"/>
      <c r="K519" s="224"/>
      <c r="L519" s="215"/>
    </row>
    <row r="520">
      <c r="B520" s="20"/>
      <c r="D520" s="20"/>
      <c r="E520" s="215"/>
      <c r="F520" s="215"/>
      <c r="G520" s="215"/>
      <c r="H520" s="215"/>
      <c r="I520" s="215"/>
      <c r="J520" s="224"/>
      <c r="K520" s="224"/>
      <c r="L520" s="215"/>
    </row>
    <row r="521">
      <c r="B521" s="20"/>
      <c r="D521" s="20"/>
      <c r="E521" s="215"/>
      <c r="F521" s="215"/>
      <c r="G521" s="215"/>
      <c r="H521" s="215"/>
      <c r="I521" s="215"/>
      <c r="J521" s="224"/>
      <c r="K521" s="224"/>
      <c r="L521" s="215"/>
    </row>
    <row r="522">
      <c r="B522" s="20"/>
      <c r="D522" s="20"/>
      <c r="E522" s="215"/>
      <c r="F522" s="215"/>
      <c r="G522" s="215"/>
      <c r="H522" s="215"/>
      <c r="I522" s="215"/>
      <c r="J522" s="224"/>
      <c r="K522" s="224"/>
      <c r="L522" s="215"/>
    </row>
    <row r="523">
      <c r="B523" s="20"/>
      <c r="D523" s="20"/>
      <c r="E523" s="215"/>
      <c r="F523" s="215"/>
      <c r="G523" s="215"/>
      <c r="H523" s="215"/>
      <c r="I523" s="215"/>
      <c r="J523" s="224"/>
      <c r="K523" s="224"/>
      <c r="L523" s="215"/>
    </row>
    <row r="524">
      <c r="B524" s="20"/>
      <c r="D524" s="20"/>
      <c r="E524" s="215"/>
      <c r="F524" s="215"/>
      <c r="G524" s="215"/>
      <c r="H524" s="215"/>
      <c r="I524" s="215"/>
      <c r="J524" s="224"/>
      <c r="K524" s="224"/>
      <c r="L524" s="215"/>
    </row>
    <row r="525">
      <c r="B525" s="20"/>
      <c r="D525" s="20"/>
      <c r="E525" s="215"/>
      <c r="F525" s="215"/>
      <c r="G525" s="215"/>
      <c r="H525" s="215"/>
      <c r="I525" s="215"/>
      <c r="J525" s="224"/>
      <c r="K525" s="224"/>
      <c r="L525" s="215"/>
    </row>
    <row r="526">
      <c r="B526" s="20"/>
      <c r="D526" s="20"/>
      <c r="E526" s="215"/>
      <c r="F526" s="215"/>
      <c r="G526" s="215"/>
      <c r="H526" s="215"/>
      <c r="I526" s="215"/>
      <c r="J526" s="224"/>
      <c r="K526" s="224"/>
      <c r="L526" s="215"/>
    </row>
    <row r="527">
      <c r="B527" s="20"/>
      <c r="D527" s="20"/>
      <c r="E527" s="215"/>
      <c r="F527" s="215"/>
      <c r="G527" s="215"/>
      <c r="H527" s="215"/>
      <c r="I527" s="215"/>
      <c r="J527" s="224"/>
      <c r="K527" s="224"/>
      <c r="L527" s="215"/>
    </row>
    <row r="528">
      <c r="B528" s="20"/>
      <c r="D528" s="20"/>
      <c r="E528" s="215"/>
      <c r="F528" s="215"/>
      <c r="G528" s="215"/>
      <c r="H528" s="215"/>
      <c r="I528" s="215"/>
      <c r="J528" s="224"/>
      <c r="K528" s="224"/>
      <c r="L528" s="215"/>
    </row>
    <row r="529">
      <c r="B529" s="20"/>
      <c r="D529" s="20"/>
      <c r="E529" s="215"/>
      <c r="F529" s="215"/>
      <c r="G529" s="215"/>
      <c r="H529" s="215"/>
      <c r="I529" s="215"/>
      <c r="J529" s="224"/>
      <c r="K529" s="224"/>
      <c r="L529" s="215"/>
    </row>
    <row r="530">
      <c r="B530" s="20"/>
      <c r="D530" s="20"/>
      <c r="E530" s="215"/>
      <c r="F530" s="215"/>
      <c r="G530" s="215"/>
      <c r="H530" s="215"/>
      <c r="I530" s="215"/>
      <c r="J530" s="224"/>
      <c r="K530" s="224"/>
      <c r="L530" s="215"/>
    </row>
    <row r="531">
      <c r="B531" s="20"/>
      <c r="D531" s="20"/>
      <c r="E531" s="215"/>
      <c r="F531" s="215"/>
      <c r="G531" s="215"/>
      <c r="H531" s="215"/>
      <c r="I531" s="215"/>
      <c r="J531" s="224"/>
      <c r="K531" s="224"/>
      <c r="L531" s="215"/>
    </row>
    <row r="532">
      <c r="B532" s="20"/>
      <c r="D532" s="20"/>
      <c r="E532" s="215"/>
      <c r="F532" s="215"/>
      <c r="G532" s="215"/>
      <c r="H532" s="215"/>
      <c r="I532" s="215"/>
      <c r="J532" s="224"/>
      <c r="K532" s="224"/>
      <c r="L532" s="215"/>
    </row>
    <row r="533">
      <c r="B533" s="20"/>
      <c r="D533" s="20"/>
      <c r="E533" s="215"/>
      <c r="F533" s="215"/>
      <c r="G533" s="215"/>
      <c r="H533" s="215"/>
      <c r="I533" s="215"/>
      <c r="J533" s="224"/>
      <c r="K533" s="224"/>
      <c r="L533" s="215"/>
    </row>
    <row r="534">
      <c r="B534" s="20"/>
      <c r="D534" s="20"/>
      <c r="E534" s="215"/>
      <c r="F534" s="215"/>
      <c r="G534" s="215"/>
      <c r="H534" s="215"/>
      <c r="I534" s="215"/>
      <c r="J534" s="224"/>
      <c r="K534" s="224"/>
      <c r="L534" s="215"/>
    </row>
    <row r="535">
      <c r="B535" s="20"/>
      <c r="D535" s="20"/>
      <c r="E535" s="215"/>
      <c r="F535" s="215"/>
      <c r="G535" s="215"/>
      <c r="H535" s="215"/>
      <c r="I535" s="215"/>
      <c r="J535" s="224"/>
      <c r="K535" s="224"/>
      <c r="L535" s="215"/>
    </row>
    <row r="536">
      <c r="B536" s="20"/>
      <c r="D536" s="20"/>
      <c r="E536" s="215"/>
      <c r="F536" s="215"/>
      <c r="G536" s="215"/>
      <c r="H536" s="215"/>
      <c r="I536" s="215"/>
      <c r="J536" s="224"/>
      <c r="K536" s="224"/>
      <c r="L536" s="215"/>
    </row>
    <row r="537">
      <c r="B537" s="20"/>
      <c r="D537" s="20"/>
      <c r="E537" s="215"/>
      <c r="F537" s="215"/>
      <c r="G537" s="215"/>
      <c r="H537" s="215"/>
      <c r="I537" s="215"/>
      <c r="J537" s="224"/>
      <c r="K537" s="224"/>
      <c r="L537" s="215"/>
    </row>
    <row r="538">
      <c r="B538" s="20"/>
      <c r="D538" s="20"/>
      <c r="E538" s="215"/>
      <c r="F538" s="215"/>
      <c r="G538" s="215"/>
      <c r="H538" s="215"/>
      <c r="I538" s="215"/>
      <c r="J538" s="224"/>
      <c r="K538" s="224"/>
      <c r="L538" s="215"/>
    </row>
    <row r="539">
      <c r="B539" s="20"/>
      <c r="D539" s="20"/>
      <c r="E539" s="215"/>
      <c r="F539" s="215"/>
      <c r="G539" s="215"/>
      <c r="H539" s="215"/>
      <c r="I539" s="215"/>
      <c r="J539" s="224"/>
      <c r="K539" s="224"/>
      <c r="L539" s="215"/>
    </row>
    <row r="540">
      <c r="B540" s="20"/>
      <c r="D540" s="20"/>
      <c r="E540" s="215"/>
      <c r="F540" s="215"/>
      <c r="G540" s="215"/>
      <c r="H540" s="215"/>
      <c r="I540" s="215"/>
      <c r="J540" s="224"/>
      <c r="K540" s="224"/>
      <c r="L540" s="215"/>
    </row>
    <row r="541">
      <c r="B541" s="20"/>
      <c r="D541" s="20"/>
      <c r="E541" s="215"/>
      <c r="F541" s="215"/>
      <c r="G541" s="215"/>
      <c r="H541" s="215"/>
      <c r="I541" s="215"/>
      <c r="J541" s="224"/>
      <c r="K541" s="224"/>
      <c r="L541" s="215"/>
    </row>
    <row r="542">
      <c r="B542" s="20"/>
      <c r="D542" s="20"/>
      <c r="E542" s="215"/>
      <c r="F542" s="215"/>
      <c r="G542" s="215"/>
      <c r="H542" s="215"/>
      <c r="I542" s="215"/>
      <c r="J542" s="224"/>
      <c r="K542" s="224"/>
      <c r="L542" s="215"/>
    </row>
    <row r="543">
      <c r="B543" s="20"/>
      <c r="D543" s="20"/>
      <c r="E543" s="215"/>
      <c r="F543" s="215"/>
      <c r="G543" s="215"/>
      <c r="H543" s="215"/>
      <c r="I543" s="215"/>
      <c r="J543" s="224"/>
      <c r="K543" s="224"/>
      <c r="L543" s="215"/>
    </row>
    <row r="544">
      <c r="B544" s="20"/>
      <c r="D544" s="20"/>
      <c r="E544" s="215"/>
      <c r="F544" s="215"/>
      <c r="G544" s="215"/>
      <c r="H544" s="215"/>
      <c r="I544" s="215"/>
      <c r="J544" s="224"/>
      <c r="K544" s="224"/>
      <c r="L544" s="215"/>
    </row>
    <row r="545">
      <c r="B545" s="20"/>
      <c r="D545" s="20"/>
      <c r="E545" s="215"/>
      <c r="F545" s="215"/>
      <c r="G545" s="215"/>
      <c r="H545" s="215"/>
      <c r="I545" s="215"/>
      <c r="J545" s="224"/>
      <c r="K545" s="224"/>
      <c r="L545" s="215"/>
    </row>
    <row r="546">
      <c r="B546" s="20"/>
      <c r="D546" s="20"/>
      <c r="E546" s="215"/>
      <c r="F546" s="215"/>
      <c r="G546" s="215"/>
      <c r="H546" s="215"/>
      <c r="I546" s="215"/>
      <c r="J546" s="224"/>
      <c r="K546" s="224"/>
      <c r="L546" s="215"/>
    </row>
    <row r="547">
      <c r="B547" s="20"/>
      <c r="D547" s="20"/>
      <c r="E547" s="215"/>
      <c r="F547" s="215"/>
      <c r="G547" s="215"/>
      <c r="H547" s="215"/>
      <c r="I547" s="215"/>
      <c r="J547" s="224"/>
      <c r="K547" s="224"/>
      <c r="L547" s="215"/>
    </row>
    <row r="548">
      <c r="B548" s="20"/>
      <c r="D548" s="20"/>
      <c r="E548" s="215"/>
      <c r="F548" s="215"/>
      <c r="G548" s="215"/>
      <c r="H548" s="215"/>
      <c r="I548" s="215"/>
      <c r="J548" s="224"/>
      <c r="K548" s="224"/>
      <c r="L548" s="215"/>
    </row>
    <row r="549">
      <c r="B549" s="20"/>
      <c r="D549" s="20"/>
      <c r="E549" s="215"/>
      <c r="F549" s="215"/>
      <c r="G549" s="215"/>
      <c r="H549" s="215"/>
      <c r="I549" s="215"/>
      <c r="J549" s="224"/>
      <c r="K549" s="224"/>
      <c r="L549" s="215"/>
    </row>
    <row r="550">
      <c r="B550" s="20"/>
      <c r="D550" s="20"/>
      <c r="E550" s="215"/>
      <c r="F550" s="215"/>
      <c r="G550" s="215"/>
      <c r="H550" s="215"/>
      <c r="I550" s="215"/>
      <c r="J550" s="224"/>
      <c r="K550" s="224"/>
      <c r="L550" s="215"/>
    </row>
    <row r="551">
      <c r="B551" s="20"/>
      <c r="D551" s="20"/>
      <c r="E551" s="215"/>
      <c r="F551" s="215"/>
      <c r="G551" s="215"/>
      <c r="H551" s="215"/>
      <c r="I551" s="215"/>
      <c r="J551" s="224"/>
      <c r="K551" s="224"/>
      <c r="L551" s="215"/>
    </row>
    <row r="552">
      <c r="B552" s="20"/>
      <c r="D552" s="20"/>
      <c r="E552" s="215"/>
      <c r="F552" s="215"/>
      <c r="G552" s="215"/>
      <c r="H552" s="215"/>
      <c r="I552" s="215"/>
      <c r="J552" s="224"/>
      <c r="K552" s="224"/>
      <c r="L552" s="215"/>
    </row>
    <row r="553">
      <c r="B553" s="20"/>
      <c r="D553" s="20"/>
      <c r="E553" s="215"/>
      <c r="F553" s="215"/>
      <c r="G553" s="215"/>
      <c r="H553" s="215"/>
      <c r="I553" s="215"/>
      <c r="J553" s="224"/>
      <c r="K553" s="224"/>
      <c r="L553" s="215"/>
    </row>
    <row r="554">
      <c r="B554" s="20"/>
      <c r="D554" s="20"/>
      <c r="E554" s="215"/>
      <c r="F554" s="215"/>
      <c r="G554" s="215"/>
      <c r="H554" s="215"/>
      <c r="I554" s="215"/>
      <c r="J554" s="224"/>
      <c r="K554" s="224"/>
      <c r="L554" s="215"/>
    </row>
    <row r="555">
      <c r="B555" s="20"/>
      <c r="D555" s="20"/>
      <c r="E555" s="215"/>
      <c r="F555" s="215"/>
      <c r="G555" s="215"/>
      <c r="H555" s="215"/>
      <c r="I555" s="215"/>
      <c r="J555" s="224"/>
      <c r="K555" s="224"/>
      <c r="L555" s="215"/>
    </row>
    <row r="556">
      <c r="B556" s="20"/>
      <c r="D556" s="20"/>
      <c r="E556" s="215"/>
      <c r="F556" s="215"/>
      <c r="G556" s="215"/>
      <c r="H556" s="215"/>
      <c r="I556" s="215"/>
      <c r="J556" s="224"/>
      <c r="K556" s="224"/>
      <c r="L556" s="215"/>
    </row>
    <row r="557">
      <c r="B557" s="20"/>
      <c r="D557" s="20"/>
      <c r="E557" s="215"/>
      <c r="F557" s="215"/>
      <c r="G557" s="215"/>
      <c r="H557" s="215"/>
      <c r="I557" s="215"/>
      <c r="J557" s="224"/>
      <c r="K557" s="224"/>
      <c r="L557" s="215"/>
    </row>
    <row r="558">
      <c r="B558" s="20"/>
      <c r="D558" s="20"/>
      <c r="E558" s="215"/>
      <c r="F558" s="215"/>
      <c r="G558" s="215"/>
      <c r="H558" s="215"/>
      <c r="I558" s="215"/>
      <c r="J558" s="224"/>
      <c r="K558" s="224"/>
      <c r="L558" s="215"/>
    </row>
    <row r="559">
      <c r="B559" s="20"/>
      <c r="D559" s="20"/>
      <c r="E559" s="215"/>
      <c r="F559" s="215"/>
      <c r="G559" s="215"/>
      <c r="H559" s="215"/>
      <c r="I559" s="215"/>
      <c r="J559" s="224"/>
      <c r="K559" s="224"/>
      <c r="L559" s="215"/>
    </row>
    <row r="560">
      <c r="B560" s="20"/>
      <c r="D560" s="20"/>
      <c r="E560" s="215"/>
      <c r="F560" s="215"/>
      <c r="G560" s="215"/>
      <c r="H560" s="215"/>
      <c r="I560" s="215"/>
      <c r="J560" s="224"/>
      <c r="K560" s="224"/>
      <c r="L560" s="215"/>
    </row>
    <row r="561">
      <c r="B561" s="20"/>
      <c r="D561" s="20"/>
      <c r="E561" s="215"/>
      <c r="F561" s="215"/>
      <c r="G561" s="215"/>
      <c r="H561" s="215"/>
      <c r="I561" s="215"/>
      <c r="J561" s="224"/>
      <c r="K561" s="224"/>
      <c r="L561" s="215"/>
    </row>
    <row r="562">
      <c r="B562" s="20"/>
      <c r="D562" s="20"/>
      <c r="E562" s="215"/>
      <c r="F562" s="215"/>
      <c r="G562" s="215"/>
      <c r="H562" s="215"/>
      <c r="I562" s="215"/>
      <c r="J562" s="224"/>
      <c r="K562" s="224"/>
      <c r="L562" s="215"/>
    </row>
    <row r="563">
      <c r="B563" s="20"/>
      <c r="D563" s="20"/>
      <c r="E563" s="215"/>
      <c r="F563" s="215"/>
      <c r="G563" s="215"/>
      <c r="H563" s="215"/>
      <c r="I563" s="215"/>
      <c r="J563" s="224"/>
      <c r="K563" s="224"/>
      <c r="L563" s="215"/>
    </row>
    <row r="564">
      <c r="B564" s="20"/>
      <c r="D564" s="20"/>
      <c r="E564" s="215"/>
      <c r="F564" s="215"/>
      <c r="G564" s="215"/>
      <c r="H564" s="215"/>
      <c r="I564" s="215"/>
      <c r="J564" s="224"/>
      <c r="K564" s="224"/>
      <c r="L564" s="215"/>
    </row>
    <row r="565">
      <c r="B565" s="20"/>
      <c r="D565" s="20"/>
      <c r="E565" s="215"/>
      <c r="F565" s="215"/>
      <c r="G565" s="215"/>
      <c r="H565" s="215"/>
      <c r="I565" s="215"/>
      <c r="J565" s="224"/>
      <c r="K565" s="224"/>
      <c r="L565" s="215"/>
    </row>
    <row r="566">
      <c r="B566" s="20"/>
      <c r="D566" s="20"/>
      <c r="E566" s="215"/>
      <c r="F566" s="215"/>
      <c r="G566" s="215"/>
      <c r="H566" s="215"/>
      <c r="I566" s="215"/>
      <c r="J566" s="224"/>
      <c r="K566" s="224"/>
      <c r="L566" s="215"/>
    </row>
    <row r="567">
      <c r="B567" s="20"/>
      <c r="D567" s="20"/>
      <c r="E567" s="215"/>
      <c r="F567" s="215"/>
      <c r="G567" s="215"/>
      <c r="H567" s="215"/>
      <c r="I567" s="215"/>
      <c r="J567" s="224"/>
      <c r="K567" s="224"/>
      <c r="L567" s="215"/>
    </row>
    <row r="568">
      <c r="B568" s="20"/>
      <c r="D568" s="20"/>
      <c r="E568" s="215"/>
      <c r="F568" s="215"/>
      <c r="G568" s="215"/>
      <c r="H568" s="215"/>
      <c r="I568" s="215"/>
      <c r="J568" s="224"/>
      <c r="K568" s="224"/>
      <c r="L568" s="215"/>
    </row>
    <row r="569">
      <c r="B569" s="20"/>
      <c r="D569" s="20"/>
      <c r="E569" s="215"/>
      <c r="F569" s="215"/>
      <c r="G569" s="215"/>
      <c r="H569" s="215"/>
      <c r="I569" s="215"/>
      <c r="J569" s="224"/>
      <c r="K569" s="224"/>
      <c r="L569" s="215"/>
    </row>
    <row r="570">
      <c r="B570" s="20"/>
      <c r="D570" s="20"/>
      <c r="E570" s="215"/>
      <c r="F570" s="215"/>
      <c r="G570" s="215"/>
      <c r="H570" s="215"/>
      <c r="I570" s="215"/>
      <c r="J570" s="224"/>
      <c r="K570" s="224"/>
      <c r="L570" s="215"/>
    </row>
    <row r="571">
      <c r="B571" s="20"/>
      <c r="D571" s="20"/>
      <c r="E571" s="215"/>
      <c r="F571" s="215"/>
      <c r="G571" s="215"/>
      <c r="H571" s="215"/>
      <c r="I571" s="215"/>
      <c r="J571" s="224"/>
      <c r="K571" s="224"/>
      <c r="L571" s="215"/>
    </row>
    <row r="572">
      <c r="B572" s="20"/>
      <c r="D572" s="20"/>
      <c r="E572" s="215"/>
      <c r="F572" s="215"/>
      <c r="G572" s="215"/>
      <c r="H572" s="215"/>
      <c r="I572" s="215"/>
      <c r="J572" s="224"/>
      <c r="K572" s="224"/>
      <c r="L572" s="215"/>
    </row>
    <row r="573">
      <c r="B573" s="20"/>
      <c r="D573" s="20"/>
      <c r="E573" s="215"/>
      <c r="F573" s="215"/>
      <c r="G573" s="215"/>
      <c r="H573" s="215"/>
      <c r="I573" s="215"/>
      <c r="J573" s="224"/>
      <c r="K573" s="224"/>
      <c r="L573" s="215"/>
    </row>
    <row r="574">
      <c r="B574" s="20"/>
      <c r="D574" s="20"/>
      <c r="E574" s="215"/>
      <c r="F574" s="215"/>
      <c r="G574" s="215"/>
      <c r="H574" s="215"/>
      <c r="I574" s="215"/>
      <c r="J574" s="224"/>
      <c r="K574" s="224"/>
      <c r="L574" s="215"/>
    </row>
    <row r="575">
      <c r="B575" s="20"/>
      <c r="D575" s="20"/>
      <c r="E575" s="215"/>
      <c r="F575" s="215"/>
      <c r="G575" s="215"/>
      <c r="H575" s="215"/>
      <c r="I575" s="215"/>
      <c r="J575" s="224"/>
      <c r="K575" s="224"/>
      <c r="L575" s="215"/>
    </row>
    <row r="576">
      <c r="B576" s="20"/>
      <c r="D576" s="20"/>
      <c r="E576" s="215"/>
      <c r="F576" s="215"/>
      <c r="G576" s="215"/>
      <c r="H576" s="215"/>
      <c r="I576" s="215"/>
      <c r="J576" s="224"/>
      <c r="K576" s="224"/>
      <c r="L576" s="215"/>
    </row>
    <row r="577">
      <c r="B577" s="20"/>
      <c r="D577" s="20"/>
      <c r="E577" s="215"/>
      <c r="F577" s="215"/>
      <c r="G577" s="215"/>
      <c r="H577" s="215"/>
      <c r="I577" s="215"/>
      <c r="J577" s="224"/>
      <c r="K577" s="224"/>
      <c r="L577" s="215"/>
    </row>
    <row r="578">
      <c r="B578" s="20"/>
      <c r="D578" s="20"/>
      <c r="E578" s="215"/>
      <c r="F578" s="215"/>
      <c r="G578" s="215"/>
      <c r="H578" s="215"/>
      <c r="I578" s="215"/>
      <c r="J578" s="224"/>
      <c r="K578" s="224"/>
      <c r="L578" s="215"/>
    </row>
    <row r="579">
      <c r="B579" s="20"/>
      <c r="D579" s="20"/>
      <c r="E579" s="215"/>
      <c r="F579" s="215"/>
      <c r="G579" s="215"/>
      <c r="H579" s="215"/>
      <c r="I579" s="215"/>
      <c r="J579" s="224"/>
      <c r="K579" s="224"/>
      <c r="L579" s="215"/>
    </row>
    <row r="580">
      <c r="B580" s="20"/>
      <c r="D580" s="20"/>
      <c r="E580" s="215"/>
      <c r="F580" s="215"/>
      <c r="G580" s="215"/>
      <c r="H580" s="215"/>
      <c r="I580" s="215"/>
      <c r="J580" s="224"/>
      <c r="K580" s="224"/>
      <c r="L580" s="215"/>
    </row>
    <row r="581">
      <c r="B581" s="20"/>
      <c r="D581" s="20"/>
      <c r="E581" s="215"/>
      <c r="F581" s="215"/>
      <c r="G581" s="215"/>
      <c r="H581" s="215"/>
      <c r="I581" s="215"/>
      <c r="J581" s="224"/>
      <c r="K581" s="224"/>
      <c r="L581" s="215"/>
    </row>
    <row r="582">
      <c r="B582" s="20"/>
      <c r="D582" s="20"/>
      <c r="E582" s="215"/>
      <c r="F582" s="215"/>
      <c r="G582" s="215"/>
      <c r="H582" s="215"/>
      <c r="I582" s="215"/>
      <c r="J582" s="224"/>
      <c r="K582" s="224"/>
      <c r="L582" s="215"/>
    </row>
    <row r="583">
      <c r="B583" s="20"/>
      <c r="D583" s="20"/>
      <c r="E583" s="215"/>
      <c r="F583" s="215"/>
      <c r="G583" s="215"/>
      <c r="H583" s="215"/>
      <c r="I583" s="215"/>
      <c r="J583" s="224"/>
      <c r="K583" s="224"/>
      <c r="L583" s="215"/>
    </row>
    <row r="584">
      <c r="B584" s="20"/>
      <c r="D584" s="20"/>
      <c r="E584" s="215"/>
      <c r="F584" s="215"/>
      <c r="G584" s="215"/>
      <c r="H584" s="215"/>
      <c r="I584" s="215"/>
      <c r="J584" s="224"/>
      <c r="K584" s="224"/>
      <c r="L584" s="215"/>
    </row>
    <row r="585">
      <c r="B585" s="20"/>
      <c r="D585" s="20"/>
      <c r="E585" s="215"/>
      <c r="F585" s="215"/>
      <c r="G585" s="215"/>
      <c r="H585" s="215"/>
      <c r="I585" s="215"/>
      <c r="J585" s="224"/>
      <c r="K585" s="224"/>
      <c r="L585" s="215"/>
    </row>
    <row r="586">
      <c r="B586" s="20"/>
      <c r="D586" s="20"/>
      <c r="E586" s="215"/>
      <c r="F586" s="215"/>
      <c r="G586" s="215"/>
      <c r="H586" s="215"/>
      <c r="I586" s="215"/>
      <c r="J586" s="224"/>
      <c r="K586" s="224"/>
      <c r="L586" s="215"/>
    </row>
    <row r="587">
      <c r="B587" s="20"/>
      <c r="D587" s="20"/>
      <c r="E587" s="215"/>
      <c r="F587" s="215"/>
      <c r="G587" s="215"/>
      <c r="H587" s="215"/>
      <c r="I587" s="215"/>
      <c r="J587" s="224"/>
      <c r="K587" s="224"/>
      <c r="L587" s="215"/>
    </row>
    <row r="588">
      <c r="B588" s="20"/>
      <c r="D588" s="20"/>
      <c r="E588" s="215"/>
      <c r="F588" s="215"/>
      <c r="G588" s="215"/>
      <c r="H588" s="215"/>
      <c r="I588" s="215"/>
      <c r="J588" s="224"/>
      <c r="K588" s="224"/>
      <c r="L588" s="215"/>
    </row>
    <row r="589">
      <c r="B589" s="20"/>
      <c r="D589" s="20"/>
      <c r="E589" s="215"/>
      <c r="F589" s="215"/>
      <c r="G589" s="215"/>
      <c r="H589" s="215"/>
      <c r="I589" s="215"/>
      <c r="J589" s="224"/>
      <c r="K589" s="224"/>
      <c r="L589" s="215"/>
    </row>
    <row r="590">
      <c r="B590" s="20"/>
      <c r="D590" s="20"/>
      <c r="E590" s="215"/>
      <c r="F590" s="215"/>
      <c r="G590" s="215"/>
      <c r="H590" s="215"/>
      <c r="I590" s="215"/>
      <c r="J590" s="224"/>
      <c r="K590" s="224"/>
      <c r="L590" s="215"/>
    </row>
    <row r="591">
      <c r="B591" s="20"/>
      <c r="D591" s="20"/>
      <c r="E591" s="215"/>
      <c r="F591" s="215"/>
      <c r="G591" s="215"/>
      <c r="H591" s="215"/>
      <c r="I591" s="215"/>
      <c r="J591" s="224"/>
      <c r="K591" s="224"/>
      <c r="L591" s="215"/>
    </row>
    <row r="592">
      <c r="B592" s="20"/>
      <c r="D592" s="20"/>
      <c r="E592" s="215"/>
      <c r="F592" s="215"/>
      <c r="G592" s="215"/>
      <c r="H592" s="215"/>
      <c r="I592" s="215"/>
      <c r="J592" s="224"/>
      <c r="K592" s="224"/>
      <c r="L592" s="215"/>
    </row>
    <row r="593">
      <c r="B593" s="20"/>
      <c r="D593" s="20"/>
      <c r="E593" s="215"/>
      <c r="F593" s="215"/>
      <c r="G593" s="215"/>
      <c r="H593" s="215"/>
      <c r="I593" s="215"/>
      <c r="J593" s="224"/>
      <c r="K593" s="224"/>
      <c r="L593" s="215"/>
    </row>
    <row r="594">
      <c r="B594" s="20"/>
      <c r="D594" s="20"/>
      <c r="E594" s="215"/>
      <c r="F594" s="215"/>
      <c r="G594" s="215"/>
      <c r="H594" s="215"/>
      <c r="I594" s="215"/>
      <c r="J594" s="224"/>
      <c r="K594" s="224"/>
      <c r="L594" s="215"/>
    </row>
    <row r="595">
      <c r="B595" s="20"/>
      <c r="D595" s="20"/>
      <c r="E595" s="215"/>
      <c r="F595" s="215"/>
      <c r="G595" s="215"/>
      <c r="H595" s="215"/>
      <c r="I595" s="215"/>
      <c r="J595" s="224"/>
      <c r="K595" s="224"/>
      <c r="L595" s="215"/>
    </row>
    <row r="596">
      <c r="B596" s="20"/>
      <c r="D596" s="20"/>
      <c r="E596" s="215"/>
      <c r="F596" s="215"/>
      <c r="G596" s="215"/>
      <c r="H596" s="215"/>
      <c r="I596" s="215"/>
      <c r="J596" s="224"/>
      <c r="K596" s="224"/>
      <c r="L596" s="215"/>
    </row>
    <row r="597">
      <c r="B597" s="20"/>
      <c r="D597" s="20"/>
      <c r="E597" s="215"/>
      <c r="F597" s="215"/>
      <c r="G597" s="215"/>
      <c r="H597" s="215"/>
      <c r="I597" s="215"/>
      <c r="J597" s="224"/>
      <c r="K597" s="224"/>
      <c r="L597" s="215"/>
    </row>
    <row r="598">
      <c r="B598" s="20"/>
      <c r="D598" s="20"/>
      <c r="E598" s="215"/>
      <c r="F598" s="215"/>
      <c r="G598" s="215"/>
      <c r="H598" s="215"/>
      <c r="I598" s="215"/>
      <c r="J598" s="224"/>
      <c r="K598" s="224"/>
      <c r="L598" s="215"/>
    </row>
    <row r="599">
      <c r="B599" s="20"/>
      <c r="D599" s="20"/>
      <c r="E599" s="215"/>
      <c r="F599" s="215"/>
      <c r="G599" s="215"/>
      <c r="H599" s="215"/>
      <c r="I599" s="215"/>
      <c r="J599" s="224"/>
      <c r="K599" s="224"/>
      <c r="L599" s="215"/>
    </row>
    <row r="600">
      <c r="B600" s="20"/>
      <c r="D600" s="20"/>
      <c r="E600" s="215"/>
      <c r="F600" s="215"/>
      <c r="G600" s="215"/>
      <c r="H600" s="215"/>
      <c r="I600" s="215"/>
      <c r="J600" s="224"/>
      <c r="K600" s="224"/>
      <c r="L600" s="215"/>
    </row>
    <row r="601">
      <c r="B601" s="20"/>
      <c r="D601" s="20"/>
      <c r="E601" s="215"/>
      <c r="F601" s="215"/>
      <c r="G601" s="215"/>
      <c r="H601" s="215"/>
      <c r="I601" s="215"/>
      <c r="J601" s="224"/>
      <c r="K601" s="224"/>
      <c r="L601" s="215"/>
    </row>
    <row r="602">
      <c r="B602" s="20"/>
      <c r="D602" s="20"/>
      <c r="E602" s="215"/>
      <c r="F602" s="215"/>
      <c r="G602" s="215"/>
      <c r="H602" s="215"/>
      <c r="I602" s="215"/>
      <c r="J602" s="224"/>
      <c r="K602" s="224"/>
      <c r="L602" s="215"/>
    </row>
    <row r="603">
      <c r="B603" s="20"/>
      <c r="D603" s="20"/>
      <c r="E603" s="215"/>
      <c r="F603" s="215"/>
      <c r="G603" s="215"/>
      <c r="H603" s="215"/>
      <c r="I603" s="215"/>
      <c r="J603" s="224"/>
      <c r="K603" s="224"/>
      <c r="L603" s="215"/>
    </row>
    <row r="604">
      <c r="B604" s="20"/>
      <c r="D604" s="20"/>
      <c r="E604" s="215"/>
      <c r="F604" s="215"/>
      <c r="G604" s="215"/>
      <c r="H604" s="215"/>
      <c r="I604" s="215"/>
      <c r="J604" s="224"/>
      <c r="K604" s="224"/>
      <c r="L604" s="215"/>
    </row>
    <row r="605">
      <c r="B605" s="20"/>
      <c r="D605" s="20"/>
      <c r="E605" s="215"/>
      <c r="F605" s="215"/>
      <c r="G605" s="215"/>
      <c r="H605" s="215"/>
      <c r="I605" s="215"/>
      <c r="J605" s="224"/>
      <c r="K605" s="224"/>
      <c r="L605" s="215"/>
    </row>
    <row r="606">
      <c r="B606" s="20"/>
      <c r="D606" s="20"/>
      <c r="E606" s="215"/>
      <c r="F606" s="215"/>
      <c r="G606" s="215"/>
      <c r="H606" s="215"/>
      <c r="I606" s="215"/>
      <c r="J606" s="224"/>
      <c r="K606" s="224"/>
      <c r="L606" s="215"/>
    </row>
    <row r="607">
      <c r="B607" s="20"/>
      <c r="D607" s="20"/>
      <c r="E607" s="215"/>
      <c r="F607" s="215"/>
      <c r="G607" s="215"/>
      <c r="H607" s="215"/>
      <c r="I607" s="215"/>
      <c r="J607" s="224"/>
      <c r="K607" s="224"/>
      <c r="L607" s="215"/>
    </row>
    <row r="608">
      <c r="B608" s="20"/>
      <c r="D608" s="20"/>
      <c r="E608" s="215"/>
      <c r="F608" s="215"/>
      <c r="G608" s="215"/>
      <c r="H608" s="215"/>
      <c r="I608" s="215"/>
      <c r="J608" s="224"/>
      <c r="K608" s="224"/>
      <c r="L608" s="215"/>
    </row>
    <row r="609">
      <c r="B609" s="20"/>
      <c r="D609" s="20"/>
      <c r="E609" s="215"/>
      <c r="F609" s="215"/>
      <c r="G609" s="215"/>
      <c r="H609" s="215"/>
      <c r="I609" s="215"/>
      <c r="J609" s="224"/>
      <c r="K609" s="224"/>
      <c r="L609" s="215"/>
    </row>
    <row r="610">
      <c r="B610" s="20"/>
      <c r="D610" s="20"/>
      <c r="E610" s="215"/>
      <c r="F610" s="215"/>
      <c r="G610" s="215"/>
      <c r="H610" s="215"/>
      <c r="I610" s="215"/>
      <c r="J610" s="224"/>
      <c r="K610" s="224"/>
      <c r="L610" s="215"/>
    </row>
    <row r="611">
      <c r="B611" s="20"/>
      <c r="D611" s="20"/>
      <c r="E611" s="215"/>
      <c r="F611" s="215"/>
      <c r="G611" s="215"/>
      <c r="H611" s="215"/>
      <c r="I611" s="215"/>
      <c r="J611" s="224"/>
      <c r="K611" s="224"/>
      <c r="L611" s="215"/>
    </row>
    <row r="612">
      <c r="B612" s="20"/>
      <c r="D612" s="20"/>
      <c r="E612" s="215"/>
      <c r="F612" s="215"/>
      <c r="G612" s="215"/>
      <c r="H612" s="215"/>
      <c r="I612" s="215"/>
      <c r="J612" s="224"/>
      <c r="K612" s="224"/>
      <c r="L612" s="215"/>
    </row>
    <row r="613">
      <c r="B613" s="20"/>
      <c r="D613" s="20"/>
      <c r="E613" s="215"/>
      <c r="F613" s="215"/>
      <c r="G613" s="215"/>
      <c r="H613" s="215"/>
      <c r="I613" s="215"/>
      <c r="J613" s="224"/>
      <c r="K613" s="224"/>
      <c r="L613" s="215"/>
    </row>
    <row r="614">
      <c r="B614" s="20"/>
      <c r="D614" s="20"/>
      <c r="E614" s="215"/>
      <c r="F614" s="215"/>
      <c r="G614" s="215"/>
      <c r="H614" s="215"/>
      <c r="I614" s="215"/>
      <c r="J614" s="224"/>
      <c r="K614" s="224"/>
      <c r="L614" s="215"/>
    </row>
    <row r="615">
      <c r="B615" s="20"/>
      <c r="D615" s="20"/>
      <c r="E615" s="215"/>
      <c r="F615" s="215"/>
      <c r="G615" s="215"/>
      <c r="H615" s="215"/>
      <c r="I615" s="215"/>
      <c r="J615" s="224"/>
      <c r="K615" s="224"/>
      <c r="L615" s="215"/>
    </row>
    <row r="616">
      <c r="B616" s="20"/>
      <c r="D616" s="20"/>
      <c r="E616" s="215"/>
      <c r="F616" s="215"/>
      <c r="G616" s="215"/>
      <c r="H616" s="215"/>
      <c r="I616" s="215"/>
      <c r="J616" s="224"/>
      <c r="K616" s="224"/>
      <c r="L616" s="215"/>
    </row>
    <row r="617">
      <c r="B617" s="20"/>
      <c r="D617" s="20"/>
      <c r="E617" s="215"/>
      <c r="F617" s="215"/>
      <c r="G617" s="215"/>
      <c r="H617" s="215"/>
      <c r="I617" s="215"/>
      <c r="J617" s="224"/>
      <c r="K617" s="224"/>
      <c r="L617" s="215"/>
    </row>
    <row r="618">
      <c r="B618" s="20"/>
      <c r="D618" s="20"/>
      <c r="E618" s="215"/>
      <c r="F618" s="215"/>
      <c r="G618" s="215"/>
      <c r="H618" s="215"/>
      <c r="I618" s="215"/>
      <c r="J618" s="224"/>
      <c r="K618" s="224"/>
      <c r="L618" s="215"/>
    </row>
    <row r="619">
      <c r="B619" s="20"/>
      <c r="D619" s="20"/>
      <c r="E619" s="215"/>
      <c r="F619" s="215"/>
      <c r="G619" s="215"/>
      <c r="H619" s="215"/>
      <c r="I619" s="215"/>
      <c r="J619" s="224"/>
      <c r="K619" s="224"/>
      <c r="L619" s="215"/>
    </row>
    <row r="620">
      <c r="B620" s="20"/>
      <c r="D620" s="20"/>
      <c r="E620" s="215"/>
      <c r="F620" s="215"/>
      <c r="G620" s="215"/>
      <c r="H620" s="215"/>
      <c r="I620" s="215"/>
      <c r="J620" s="224"/>
      <c r="K620" s="224"/>
      <c r="L620" s="215"/>
    </row>
    <row r="621">
      <c r="B621" s="20"/>
      <c r="D621" s="20"/>
      <c r="E621" s="215"/>
      <c r="F621" s="215"/>
      <c r="G621" s="215"/>
      <c r="H621" s="215"/>
      <c r="I621" s="215"/>
      <c r="J621" s="224"/>
      <c r="K621" s="224"/>
      <c r="L621" s="215"/>
    </row>
    <row r="622">
      <c r="B622" s="20"/>
      <c r="D622" s="20"/>
      <c r="E622" s="215"/>
      <c r="F622" s="215"/>
      <c r="G622" s="215"/>
      <c r="H622" s="215"/>
      <c r="I622" s="215"/>
      <c r="J622" s="224"/>
      <c r="K622" s="224"/>
      <c r="L622" s="215"/>
    </row>
    <row r="623">
      <c r="B623" s="20"/>
      <c r="D623" s="20"/>
      <c r="E623" s="215"/>
      <c r="F623" s="215"/>
      <c r="G623" s="215"/>
      <c r="H623" s="215"/>
      <c r="I623" s="215"/>
      <c r="J623" s="224"/>
      <c r="K623" s="224"/>
      <c r="L623" s="215"/>
    </row>
    <row r="624">
      <c r="B624" s="20"/>
      <c r="D624" s="20"/>
      <c r="E624" s="215"/>
      <c r="F624" s="215"/>
      <c r="G624" s="215"/>
      <c r="H624" s="215"/>
      <c r="I624" s="215"/>
      <c r="J624" s="224"/>
      <c r="K624" s="224"/>
      <c r="L624" s="215"/>
    </row>
    <row r="625">
      <c r="B625" s="20"/>
      <c r="D625" s="20"/>
      <c r="E625" s="215"/>
      <c r="F625" s="215"/>
      <c r="G625" s="215"/>
      <c r="H625" s="215"/>
      <c r="I625" s="215"/>
      <c r="J625" s="224"/>
      <c r="K625" s="224"/>
      <c r="L625" s="215"/>
    </row>
    <row r="626">
      <c r="B626" s="20"/>
      <c r="D626" s="20"/>
      <c r="E626" s="215"/>
      <c r="F626" s="215"/>
      <c r="G626" s="215"/>
      <c r="H626" s="215"/>
      <c r="I626" s="215"/>
      <c r="J626" s="224"/>
      <c r="K626" s="224"/>
      <c r="L626" s="215"/>
    </row>
    <row r="627">
      <c r="B627" s="20"/>
      <c r="D627" s="20"/>
      <c r="E627" s="215"/>
      <c r="F627" s="215"/>
      <c r="G627" s="215"/>
      <c r="H627" s="215"/>
      <c r="I627" s="215"/>
      <c r="J627" s="224"/>
      <c r="K627" s="224"/>
      <c r="L627" s="215"/>
    </row>
    <row r="628">
      <c r="B628" s="20"/>
      <c r="D628" s="20"/>
      <c r="E628" s="215"/>
      <c r="F628" s="215"/>
      <c r="G628" s="215"/>
      <c r="H628" s="215"/>
      <c r="I628" s="215"/>
      <c r="J628" s="224"/>
      <c r="K628" s="224"/>
      <c r="L628" s="215"/>
    </row>
    <row r="629">
      <c r="B629" s="20"/>
      <c r="D629" s="20"/>
      <c r="E629" s="215"/>
      <c r="F629" s="215"/>
      <c r="G629" s="215"/>
      <c r="H629" s="215"/>
      <c r="I629" s="215"/>
      <c r="J629" s="224"/>
      <c r="K629" s="224"/>
      <c r="L629" s="215"/>
    </row>
    <row r="630">
      <c r="B630" s="20"/>
      <c r="D630" s="20"/>
      <c r="E630" s="215"/>
      <c r="F630" s="215"/>
      <c r="G630" s="215"/>
      <c r="H630" s="215"/>
      <c r="I630" s="215"/>
      <c r="J630" s="224"/>
      <c r="K630" s="224"/>
      <c r="L630" s="215"/>
    </row>
    <row r="631">
      <c r="B631" s="20"/>
      <c r="D631" s="20"/>
      <c r="E631" s="215"/>
      <c r="F631" s="215"/>
      <c r="G631" s="215"/>
      <c r="H631" s="215"/>
      <c r="I631" s="215"/>
      <c r="J631" s="224"/>
      <c r="K631" s="224"/>
      <c r="L631" s="215"/>
    </row>
    <row r="632">
      <c r="B632" s="20"/>
      <c r="D632" s="20"/>
      <c r="E632" s="215"/>
      <c r="F632" s="215"/>
      <c r="G632" s="215"/>
      <c r="H632" s="215"/>
      <c r="I632" s="215"/>
      <c r="J632" s="224"/>
      <c r="K632" s="224"/>
      <c r="L632" s="215"/>
    </row>
    <row r="633">
      <c r="B633" s="20"/>
      <c r="D633" s="20"/>
      <c r="E633" s="215"/>
      <c r="F633" s="215"/>
      <c r="G633" s="215"/>
      <c r="H633" s="215"/>
      <c r="I633" s="215"/>
      <c r="J633" s="224"/>
      <c r="K633" s="224"/>
      <c r="L633" s="215"/>
    </row>
    <row r="634">
      <c r="B634" s="20"/>
      <c r="D634" s="20"/>
      <c r="E634" s="215"/>
      <c r="F634" s="215"/>
      <c r="G634" s="215"/>
      <c r="H634" s="215"/>
      <c r="I634" s="215"/>
      <c r="J634" s="224"/>
      <c r="K634" s="224"/>
      <c r="L634" s="215"/>
    </row>
    <row r="635">
      <c r="B635" s="20"/>
      <c r="D635" s="20"/>
      <c r="E635" s="215"/>
      <c r="F635" s="215"/>
      <c r="G635" s="215"/>
      <c r="H635" s="215"/>
      <c r="I635" s="215"/>
      <c r="J635" s="224"/>
      <c r="K635" s="224"/>
      <c r="L635" s="215"/>
    </row>
    <row r="636">
      <c r="B636" s="20"/>
      <c r="D636" s="20"/>
      <c r="E636" s="215"/>
      <c r="F636" s="215"/>
      <c r="G636" s="215"/>
      <c r="H636" s="215"/>
      <c r="I636" s="215"/>
      <c r="J636" s="224"/>
      <c r="K636" s="224"/>
      <c r="L636" s="215"/>
    </row>
    <row r="637">
      <c r="B637" s="20"/>
      <c r="D637" s="20"/>
      <c r="E637" s="215"/>
      <c r="F637" s="215"/>
      <c r="G637" s="215"/>
      <c r="H637" s="215"/>
      <c r="I637" s="215"/>
      <c r="J637" s="224"/>
      <c r="K637" s="224"/>
      <c r="L637" s="215"/>
    </row>
    <row r="638">
      <c r="B638" s="20"/>
      <c r="D638" s="20"/>
      <c r="E638" s="215"/>
      <c r="F638" s="215"/>
      <c r="G638" s="215"/>
      <c r="H638" s="215"/>
      <c r="I638" s="215"/>
      <c r="J638" s="224"/>
      <c r="K638" s="224"/>
      <c r="L638" s="215"/>
    </row>
    <row r="639">
      <c r="B639" s="20"/>
      <c r="D639" s="20"/>
      <c r="E639" s="215"/>
      <c r="F639" s="215"/>
      <c r="G639" s="215"/>
      <c r="H639" s="215"/>
      <c r="I639" s="215"/>
      <c r="J639" s="224"/>
      <c r="K639" s="224"/>
      <c r="L639" s="215"/>
    </row>
    <row r="640">
      <c r="B640" s="20"/>
      <c r="D640" s="20"/>
      <c r="E640" s="215"/>
      <c r="F640" s="215"/>
      <c r="G640" s="215"/>
      <c r="H640" s="215"/>
      <c r="I640" s="215"/>
      <c r="J640" s="224"/>
      <c r="K640" s="224"/>
      <c r="L640" s="215"/>
    </row>
    <row r="641">
      <c r="B641" s="20"/>
      <c r="D641" s="20"/>
      <c r="E641" s="215"/>
      <c r="F641" s="215"/>
      <c r="G641" s="215"/>
      <c r="H641" s="215"/>
      <c r="I641" s="215"/>
      <c r="J641" s="224"/>
      <c r="K641" s="224"/>
      <c r="L641" s="215"/>
    </row>
    <row r="642">
      <c r="B642" s="20"/>
      <c r="D642" s="20"/>
      <c r="E642" s="215"/>
      <c r="F642" s="215"/>
      <c r="G642" s="215"/>
      <c r="H642" s="215"/>
      <c r="I642" s="215"/>
      <c r="J642" s="224"/>
      <c r="K642" s="224"/>
      <c r="L642" s="215"/>
    </row>
    <row r="643">
      <c r="B643" s="20"/>
      <c r="D643" s="20"/>
      <c r="E643" s="215"/>
      <c r="F643" s="215"/>
      <c r="G643" s="215"/>
      <c r="H643" s="215"/>
      <c r="I643" s="215"/>
      <c r="J643" s="224"/>
      <c r="K643" s="224"/>
      <c r="L643" s="215"/>
    </row>
    <row r="644">
      <c r="B644" s="20"/>
      <c r="D644" s="20"/>
      <c r="E644" s="215"/>
      <c r="F644" s="215"/>
      <c r="G644" s="215"/>
      <c r="H644" s="215"/>
      <c r="I644" s="215"/>
      <c r="J644" s="224"/>
      <c r="K644" s="224"/>
      <c r="L644" s="215"/>
    </row>
    <row r="645">
      <c r="B645" s="20"/>
      <c r="D645" s="20"/>
      <c r="E645" s="215"/>
      <c r="F645" s="215"/>
      <c r="G645" s="215"/>
      <c r="H645" s="215"/>
      <c r="I645" s="215"/>
      <c r="J645" s="224"/>
      <c r="K645" s="224"/>
      <c r="L645" s="215"/>
    </row>
    <row r="646">
      <c r="B646" s="20"/>
      <c r="D646" s="20"/>
      <c r="E646" s="215"/>
      <c r="F646" s="215"/>
      <c r="G646" s="215"/>
      <c r="H646" s="215"/>
      <c r="I646" s="215"/>
      <c r="J646" s="224"/>
      <c r="K646" s="224"/>
      <c r="L646" s="215"/>
    </row>
    <row r="647">
      <c r="B647" s="20"/>
      <c r="D647" s="20"/>
      <c r="E647" s="215"/>
      <c r="F647" s="215"/>
      <c r="G647" s="215"/>
      <c r="H647" s="215"/>
      <c r="I647" s="215"/>
      <c r="J647" s="224"/>
      <c r="K647" s="224"/>
      <c r="L647" s="215"/>
    </row>
    <row r="648">
      <c r="B648" s="20"/>
      <c r="D648" s="20"/>
      <c r="E648" s="215"/>
      <c r="F648" s="215"/>
      <c r="G648" s="215"/>
      <c r="H648" s="215"/>
      <c r="I648" s="215"/>
      <c r="J648" s="224"/>
      <c r="K648" s="224"/>
      <c r="L648" s="215"/>
    </row>
    <row r="649">
      <c r="B649" s="20"/>
      <c r="D649" s="20"/>
      <c r="E649" s="215"/>
      <c r="F649" s="215"/>
      <c r="G649" s="215"/>
      <c r="H649" s="215"/>
      <c r="I649" s="215"/>
      <c r="J649" s="224"/>
      <c r="K649" s="224"/>
      <c r="L649" s="215"/>
    </row>
    <row r="650">
      <c r="B650" s="20"/>
      <c r="D650" s="20"/>
      <c r="E650" s="215"/>
      <c r="F650" s="215"/>
      <c r="G650" s="215"/>
      <c r="H650" s="215"/>
      <c r="I650" s="215"/>
      <c r="J650" s="224"/>
      <c r="K650" s="224"/>
      <c r="L650" s="215"/>
    </row>
    <row r="651">
      <c r="B651" s="20"/>
      <c r="D651" s="20"/>
      <c r="E651" s="215"/>
      <c r="F651" s="215"/>
      <c r="G651" s="215"/>
      <c r="H651" s="215"/>
      <c r="I651" s="215"/>
      <c r="J651" s="224"/>
      <c r="K651" s="224"/>
      <c r="L651" s="215"/>
    </row>
    <row r="652">
      <c r="B652" s="20"/>
      <c r="D652" s="20"/>
      <c r="E652" s="215"/>
      <c r="F652" s="215"/>
      <c r="G652" s="215"/>
      <c r="H652" s="215"/>
      <c r="I652" s="215"/>
      <c r="J652" s="224"/>
      <c r="K652" s="224"/>
      <c r="L652" s="215"/>
    </row>
    <row r="653">
      <c r="B653" s="20"/>
      <c r="D653" s="20"/>
      <c r="E653" s="215"/>
      <c r="F653" s="215"/>
      <c r="G653" s="215"/>
      <c r="H653" s="215"/>
      <c r="I653" s="215"/>
      <c r="J653" s="224"/>
      <c r="K653" s="224"/>
      <c r="L653" s="215"/>
    </row>
    <row r="654">
      <c r="B654" s="20"/>
      <c r="D654" s="20"/>
      <c r="E654" s="215"/>
      <c r="F654" s="215"/>
      <c r="G654" s="215"/>
      <c r="H654" s="215"/>
      <c r="I654" s="215"/>
      <c r="J654" s="224"/>
      <c r="K654" s="224"/>
      <c r="L654" s="215"/>
    </row>
    <row r="655">
      <c r="B655" s="20"/>
      <c r="D655" s="20"/>
      <c r="E655" s="215"/>
      <c r="F655" s="215"/>
      <c r="G655" s="215"/>
      <c r="H655" s="215"/>
      <c r="I655" s="215"/>
      <c r="J655" s="224"/>
      <c r="K655" s="224"/>
      <c r="L655" s="215"/>
    </row>
    <row r="656">
      <c r="B656" s="20"/>
      <c r="D656" s="20"/>
      <c r="E656" s="215"/>
      <c r="F656" s="215"/>
      <c r="G656" s="215"/>
      <c r="H656" s="215"/>
      <c r="I656" s="215"/>
      <c r="J656" s="224"/>
      <c r="K656" s="224"/>
      <c r="L656" s="215"/>
    </row>
    <row r="657">
      <c r="B657" s="20"/>
      <c r="D657" s="20"/>
      <c r="E657" s="215"/>
      <c r="F657" s="215"/>
      <c r="G657" s="215"/>
      <c r="H657" s="215"/>
      <c r="I657" s="215"/>
      <c r="J657" s="224"/>
      <c r="K657" s="224"/>
      <c r="L657" s="215"/>
    </row>
    <row r="658">
      <c r="B658" s="20"/>
      <c r="D658" s="20"/>
      <c r="E658" s="215"/>
      <c r="F658" s="215"/>
      <c r="G658" s="215"/>
      <c r="H658" s="215"/>
      <c r="I658" s="215"/>
      <c r="J658" s="224"/>
      <c r="K658" s="224"/>
      <c r="L658" s="215"/>
    </row>
    <row r="659">
      <c r="B659" s="20"/>
      <c r="D659" s="20"/>
      <c r="E659" s="215"/>
      <c r="F659" s="215"/>
      <c r="G659" s="215"/>
      <c r="H659" s="215"/>
      <c r="I659" s="215"/>
      <c r="J659" s="224"/>
      <c r="K659" s="224"/>
      <c r="L659" s="215"/>
    </row>
    <row r="660">
      <c r="B660" s="20"/>
      <c r="D660" s="20"/>
      <c r="E660" s="215"/>
      <c r="F660" s="215"/>
      <c r="G660" s="215"/>
      <c r="H660" s="215"/>
      <c r="I660" s="215"/>
      <c r="J660" s="224"/>
      <c r="K660" s="224"/>
      <c r="L660" s="215"/>
    </row>
    <row r="661">
      <c r="B661" s="20"/>
      <c r="D661" s="20"/>
      <c r="E661" s="215"/>
      <c r="F661" s="215"/>
      <c r="G661" s="215"/>
      <c r="H661" s="215"/>
      <c r="I661" s="215"/>
      <c r="J661" s="224"/>
      <c r="K661" s="224"/>
      <c r="L661" s="215"/>
    </row>
    <row r="662">
      <c r="B662" s="20"/>
      <c r="D662" s="20"/>
      <c r="E662" s="215"/>
      <c r="F662" s="215"/>
      <c r="G662" s="215"/>
      <c r="H662" s="215"/>
      <c r="I662" s="215"/>
      <c r="J662" s="224"/>
      <c r="K662" s="224"/>
      <c r="L662" s="215"/>
    </row>
    <row r="663">
      <c r="B663" s="20"/>
      <c r="D663" s="20"/>
      <c r="E663" s="215"/>
      <c r="F663" s="215"/>
      <c r="G663" s="215"/>
      <c r="H663" s="215"/>
      <c r="I663" s="215"/>
      <c r="J663" s="224"/>
      <c r="K663" s="224"/>
      <c r="L663" s="215"/>
    </row>
    <row r="664">
      <c r="B664" s="20"/>
      <c r="D664" s="20"/>
      <c r="E664" s="215"/>
      <c r="F664" s="215"/>
      <c r="G664" s="215"/>
      <c r="H664" s="215"/>
      <c r="I664" s="215"/>
      <c r="J664" s="224"/>
      <c r="K664" s="224"/>
      <c r="L664" s="215"/>
    </row>
    <row r="665">
      <c r="B665" s="20"/>
      <c r="D665" s="20"/>
      <c r="E665" s="215"/>
      <c r="F665" s="215"/>
      <c r="G665" s="215"/>
      <c r="H665" s="215"/>
      <c r="I665" s="215"/>
      <c r="J665" s="224"/>
      <c r="K665" s="224"/>
      <c r="L665" s="215"/>
    </row>
    <row r="666">
      <c r="B666" s="20"/>
      <c r="D666" s="20"/>
      <c r="E666" s="215"/>
      <c r="F666" s="215"/>
      <c r="G666" s="215"/>
      <c r="H666" s="215"/>
      <c r="I666" s="215"/>
      <c r="J666" s="224"/>
      <c r="K666" s="224"/>
      <c r="L666" s="215"/>
    </row>
    <row r="667">
      <c r="B667" s="20"/>
      <c r="D667" s="20"/>
      <c r="E667" s="215"/>
      <c r="F667" s="215"/>
      <c r="G667" s="215"/>
      <c r="H667" s="215"/>
      <c r="I667" s="215"/>
      <c r="J667" s="224"/>
      <c r="K667" s="224"/>
      <c r="L667" s="215"/>
    </row>
    <row r="668">
      <c r="B668" s="20"/>
      <c r="D668" s="20"/>
      <c r="E668" s="215"/>
      <c r="F668" s="215"/>
      <c r="G668" s="215"/>
      <c r="H668" s="215"/>
      <c r="I668" s="215"/>
      <c r="J668" s="224"/>
      <c r="K668" s="224"/>
      <c r="L668" s="215"/>
    </row>
    <row r="669">
      <c r="B669" s="20"/>
      <c r="D669" s="20"/>
      <c r="E669" s="215"/>
      <c r="F669" s="215"/>
      <c r="G669" s="215"/>
      <c r="H669" s="215"/>
      <c r="I669" s="215"/>
      <c r="J669" s="224"/>
      <c r="K669" s="224"/>
      <c r="L669" s="215"/>
    </row>
    <row r="670">
      <c r="B670" s="20"/>
      <c r="D670" s="20"/>
      <c r="E670" s="215"/>
      <c r="F670" s="215"/>
      <c r="G670" s="215"/>
      <c r="H670" s="215"/>
      <c r="I670" s="215"/>
      <c r="J670" s="224"/>
      <c r="K670" s="224"/>
      <c r="L670" s="215"/>
    </row>
    <row r="671">
      <c r="B671" s="20"/>
      <c r="D671" s="20"/>
      <c r="E671" s="215"/>
      <c r="F671" s="215"/>
      <c r="G671" s="215"/>
      <c r="H671" s="215"/>
      <c r="I671" s="215"/>
      <c r="J671" s="224"/>
      <c r="K671" s="224"/>
      <c r="L671" s="215"/>
    </row>
    <row r="672">
      <c r="B672" s="20"/>
      <c r="D672" s="20"/>
      <c r="E672" s="215"/>
      <c r="F672" s="215"/>
      <c r="G672" s="215"/>
      <c r="H672" s="215"/>
      <c r="I672" s="215"/>
      <c r="J672" s="224"/>
      <c r="K672" s="224"/>
      <c r="L672" s="215"/>
    </row>
    <row r="673">
      <c r="B673" s="20"/>
      <c r="D673" s="20"/>
      <c r="E673" s="215"/>
      <c r="F673" s="215"/>
      <c r="G673" s="215"/>
      <c r="H673" s="215"/>
      <c r="I673" s="215"/>
      <c r="J673" s="224"/>
      <c r="K673" s="224"/>
      <c r="L673" s="215"/>
    </row>
    <row r="674">
      <c r="B674" s="20"/>
      <c r="D674" s="20"/>
      <c r="E674" s="215"/>
      <c r="F674" s="215"/>
      <c r="G674" s="215"/>
      <c r="H674" s="215"/>
      <c r="I674" s="215"/>
      <c r="J674" s="224"/>
      <c r="K674" s="224"/>
      <c r="L674" s="215"/>
    </row>
    <row r="675">
      <c r="B675" s="20"/>
      <c r="D675" s="20"/>
      <c r="E675" s="215"/>
      <c r="F675" s="215"/>
      <c r="G675" s="215"/>
      <c r="H675" s="215"/>
      <c r="I675" s="215"/>
      <c r="J675" s="224"/>
      <c r="K675" s="224"/>
      <c r="L675" s="215"/>
    </row>
    <row r="676">
      <c r="B676" s="20"/>
      <c r="D676" s="20"/>
      <c r="E676" s="215"/>
      <c r="F676" s="215"/>
      <c r="G676" s="215"/>
      <c r="H676" s="215"/>
      <c r="I676" s="215"/>
      <c r="J676" s="224"/>
      <c r="K676" s="224"/>
      <c r="L676" s="215"/>
    </row>
    <row r="677">
      <c r="B677" s="20"/>
      <c r="D677" s="20"/>
      <c r="E677" s="215"/>
      <c r="F677" s="215"/>
      <c r="G677" s="215"/>
      <c r="H677" s="215"/>
      <c r="I677" s="215"/>
      <c r="J677" s="224"/>
      <c r="K677" s="224"/>
      <c r="L677" s="215"/>
    </row>
    <row r="678">
      <c r="B678" s="20"/>
      <c r="D678" s="20"/>
      <c r="E678" s="215"/>
      <c r="F678" s="215"/>
      <c r="G678" s="215"/>
      <c r="H678" s="215"/>
      <c r="I678" s="215"/>
      <c r="J678" s="224"/>
      <c r="K678" s="224"/>
      <c r="L678" s="215"/>
    </row>
    <row r="679">
      <c r="B679" s="20"/>
      <c r="D679" s="20"/>
      <c r="E679" s="215"/>
      <c r="F679" s="215"/>
      <c r="G679" s="215"/>
      <c r="H679" s="215"/>
      <c r="I679" s="215"/>
      <c r="J679" s="224"/>
      <c r="K679" s="224"/>
      <c r="L679" s="215"/>
    </row>
    <row r="680">
      <c r="B680" s="20"/>
      <c r="D680" s="20"/>
      <c r="E680" s="215"/>
      <c r="F680" s="215"/>
      <c r="G680" s="215"/>
      <c r="H680" s="215"/>
      <c r="I680" s="215"/>
      <c r="J680" s="224"/>
      <c r="K680" s="224"/>
      <c r="L680" s="215"/>
    </row>
    <row r="681">
      <c r="B681" s="20"/>
      <c r="D681" s="20"/>
      <c r="E681" s="215"/>
      <c r="F681" s="215"/>
      <c r="G681" s="215"/>
      <c r="H681" s="215"/>
      <c r="I681" s="215"/>
      <c r="J681" s="224"/>
      <c r="K681" s="224"/>
      <c r="L681" s="215"/>
    </row>
    <row r="682">
      <c r="B682" s="20"/>
      <c r="D682" s="20"/>
      <c r="E682" s="215"/>
      <c r="F682" s="215"/>
      <c r="G682" s="215"/>
      <c r="H682" s="215"/>
      <c r="I682" s="215"/>
      <c r="J682" s="224"/>
      <c r="K682" s="224"/>
      <c r="L682" s="215"/>
    </row>
    <row r="683">
      <c r="B683" s="20"/>
      <c r="D683" s="20"/>
      <c r="E683" s="215"/>
      <c r="F683" s="215"/>
      <c r="G683" s="215"/>
      <c r="H683" s="215"/>
      <c r="I683" s="215"/>
      <c r="J683" s="224"/>
      <c r="K683" s="224"/>
      <c r="L683" s="215"/>
    </row>
    <row r="684">
      <c r="B684" s="20"/>
      <c r="D684" s="20"/>
      <c r="E684" s="215"/>
      <c r="F684" s="215"/>
      <c r="G684" s="215"/>
      <c r="H684" s="215"/>
      <c r="I684" s="215"/>
      <c r="J684" s="224"/>
      <c r="K684" s="224"/>
      <c r="L684" s="215"/>
    </row>
    <row r="685">
      <c r="B685" s="20"/>
      <c r="D685" s="20"/>
      <c r="E685" s="215"/>
      <c r="F685" s="215"/>
      <c r="G685" s="215"/>
      <c r="H685" s="215"/>
      <c r="I685" s="215"/>
      <c r="J685" s="224"/>
      <c r="K685" s="224"/>
      <c r="L685" s="215"/>
    </row>
    <row r="686">
      <c r="B686" s="20"/>
      <c r="D686" s="20"/>
      <c r="E686" s="215"/>
      <c r="F686" s="215"/>
      <c r="G686" s="215"/>
      <c r="H686" s="215"/>
      <c r="I686" s="215"/>
      <c r="J686" s="224"/>
      <c r="K686" s="224"/>
      <c r="L686" s="215"/>
    </row>
    <row r="687">
      <c r="B687" s="20"/>
      <c r="D687" s="20"/>
      <c r="E687" s="215"/>
      <c r="F687" s="215"/>
      <c r="G687" s="215"/>
      <c r="H687" s="215"/>
      <c r="I687" s="215"/>
      <c r="J687" s="224"/>
      <c r="K687" s="224"/>
      <c r="L687" s="215"/>
    </row>
    <row r="688">
      <c r="B688" s="20"/>
      <c r="D688" s="20"/>
      <c r="E688" s="215"/>
      <c r="F688" s="215"/>
      <c r="G688" s="215"/>
      <c r="H688" s="215"/>
      <c r="I688" s="215"/>
      <c r="J688" s="224"/>
      <c r="K688" s="224"/>
      <c r="L688" s="215"/>
    </row>
    <row r="689">
      <c r="B689" s="20"/>
      <c r="D689" s="20"/>
      <c r="E689" s="215"/>
      <c r="F689" s="215"/>
      <c r="G689" s="215"/>
      <c r="H689" s="215"/>
      <c r="I689" s="215"/>
      <c r="J689" s="224"/>
      <c r="K689" s="224"/>
      <c r="L689" s="215"/>
    </row>
    <row r="690">
      <c r="B690" s="20"/>
      <c r="D690" s="20"/>
      <c r="E690" s="215"/>
      <c r="F690" s="215"/>
      <c r="G690" s="215"/>
      <c r="H690" s="215"/>
      <c r="I690" s="215"/>
      <c r="J690" s="224"/>
      <c r="K690" s="224"/>
      <c r="L690" s="215"/>
    </row>
    <row r="691">
      <c r="B691" s="20"/>
      <c r="D691" s="20"/>
      <c r="E691" s="215"/>
      <c r="F691" s="215"/>
      <c r="G691" s="215"/>
      <c r="H691" s="215"/>
      <c r="I691" s="215"/>
      <c r="J691" s="224"/>
      <c r="K691" s="224"/>
      <c r="L691" s="215"/>
    </row>
    <row r="692">
      <c r="B692" s="20"/>
      <c r="D692" s="20"/>
      <c r="E692" s="215"/>
      <c r="F692" s="215"/>
      <c r="G692" s="215"/>
      <c r="H692" s="215"/>
      <c r="I692" s="215"/>
      <c r="J692" s="224"/>
      <c r="K692" s="224"/>
      <c r="L692" s="215"/>
    </row>
    <row r="693">
      <c r="B693" s="20"/>
      <c r="D693" s="20"/>
      <c r="E693" s="215"/>
      <c r="F693" s="215"/>
      <c r="G693" s="215"/>
      <c r="H693" s="215"/>
      <c r="I693" s="215"/>
      <c r="J693" s="224"/>
      <c r="K693" s="224"/>
      <c r="L693" s="215"/>
    </row>
    <row r="694">
      <c r="B694" s="20"/>
      <c r="D694" s="20"/>
      <c r="E694" s="215"/>
      <c r="F694" s="215"/>
      <c r="G694" s="215"/>
      <c r="H694" s="215"/>
      <c r="I694" s="215"/>
      <c r="J694" s="224"/>
      <c r="K694" s="224"/>
      <c r="L694" s="215"/>
    </row>
    <row r="695">
      <c r="B695" s="20"/>
      <c r="D695" s="20"/>
      <c r="E695" s="215"/>
      <c r="F695" s="215"/>
      <c r="G695" s="215"/>
      <c r="H695" s="215"/>
      <c r="I695" s="215"/>
      <c r="J695" s="224"/>
      <c r="K695" s="224"/>
      <c r="L695" s="215"/>
    </row>
    <row r="696">
      <c r="B696" s="20"/>
      <c r="D696" s="20"/>
      <c r="E696" s="215"/>
      <c r="F696" s="215"/>
      <c r="G696" s="215"/>
      <c r="H696" s="215"/>
      <c r="I696" s="215"/>
      <c r="J696" s="224"/>
      <c r="K696" s="224"/>
      <c r="L696" s="215"/>
    </row>
    <row r="697">
      <c r="B697" s="20"/>
      <c r="D697" s="20"/>
      <c r="E697" s="215"/>
      <c r="F697" s="215"/>
      <c r="G697" s="215"/>
      <c r="H697" s="215"/>
      <c r="I697" s="215"/>
      <c r="J697" s="224"/>
      <c r="K697" s="224"/>
      <c r="L697" s="215"/>
    </row>
    <row r="698">
      <c r="B698" s="20"/>
      <c r="D698" s="20"/>
      <c r="E698" s="215"/>
      <c r="F698" s="215"/>
      <c r="G698" s="215"/>
      <c r="H698" s="215"/>
      <c r="I698" s="215"/>
      <c r="J698" s="224"/>
      <c r="K698" s="224"/>
      <c r="L698" s="215"/>
    </row>
    <row r="699">
      <c r="B699" s="20"/>
      <c r="D699" s="20"/>
      <c r="E699" s="215"/>
      <c r="F699" s="215"/>
      <c r="G699" s="215"/>
      <c r="H699" s="215"/>
      <c r="I699" s="215"/>
      <c r="J699" s="224"/>
      <c r="K699" s="224"/>
      <c r="L699" s="215"/>
    </row>
    <row r="700">
      <c r="B700" s="20"/>
      <c r="D700" s="20"/>
      <c r="E700" s="215"/>
      <c r="F700" s="215"/>
      <c r="G700" s="215"/>
      <c r="H700" s="215"/>
      <c r="I700" s="215"/>
      <c r="J700" s="224"/>
      <c r="K700" s="224"/>
      <c r="L700" s="215"/>
    </row>
    <row r="701">
      <c r="B701" s="20"/>
      <c r="D701" s="20"/>
      <c r="E701" s="215"/>
      <c r="F701" s="215"/>
      <c r="G701" s="215"/>
      <c r="H701" s="215"/>
      <c r="I701" s="215"/>
      <c r="J701" s="224"/>
      <c r="K701" s="224"/>
      <c r="L701" s="215"/>
    </row>
    <row r="702">
      <c r="B702" s="20"/>
      <c r="D702" s="20"/>
      <c r="E702" s="215"/>
      <c r="F702" s="215"/>
      <c r="G702" s="215"/>
      <c r="H702" s="215"/>
      <c r="I702" s="215"/>
      <c r="J702" s="224"/>
      <c r="K702" s="224"/>
      <c r="L702" s="215"/>
    </row>
    <row r="703">
      <c r="B703" s="20"/>
      <c r="D703" s="20"/>
      <c r="E703" s="215"/>
      <c r="F703" s="215"/>
      <c r="G703" s="215"/>
      <c r="H703" s="215"/>
      <c r="I703" s="215"/>
      <c r="J703" s="224"/>
      <c r="K703" s="224"/>
      <c r="L703" s="215"/>
    </row>
    <row r="704">
      <c r="B704" s="20"/>
      <c r="D704" s="20"/>
      <c r="E704" s="215"/>
      <c r="F704" s="215"/>
      <c r="G704" s="215"/>
      <c r="H704" s="215"/>
      <c r="I704" s="215"/>
      <c r="J704" s="224"/>
      <c r="K704" s="224"/>
      <c r="L704" s="215"/>
    </row>
    <row r="705">
      <c r="B705" s="20"/>
      <c r="D705" s="20"/>
      <c r="E705" s="215"/>
      <c r="F705" s="215"/>
      <c r="G705" s="215"/>
      <c r="H705" s="215"/>
      <c r="I705" s="215"/>
      <c r="J705" s="224"/>
      <c r="K705" s="224"/>
      <c r="L705" s="215"/>
    </row>
    <row r="706">
      <c r="B706" s="20"/>
      <c r="D706" s="20"/>
      <c r="E706" s="215"/>
      <c r="F706" s="215"/>
      <c r="G706" s="215"/>
      <c r="H706" s="215"/>
      <c r="I706" s="215"/>
      <c r="J706" s="224"/>
      <c r="K706" s="224"/>
      <c r="L706" s="215"/>
    </row>
    <row r="707">
      <c r="B707" s="20"/>
      <c r="D707" s="20"/>
      <c r="E707" s="215"/>
      <c r="F707" s="215"/>
      <c r="G707" s="215"/>
      <c r="H707" s="215"/>
      <c r="I707" s="215"/>
      <c r="J707" s="224"/>
      <c r="K707" s="224"/>
      <c r="L707" s="215"/>
    </row>
    <row r="708">
      <c r="B708" s="20"/>
      <c r="D708" s="20"/>
      <c r="E708" s="215"/>
      <c r="F708" s="215"/>
      <c r="G708" s="215"/>
      <c r="H708" s="215"/>
      <c r="I708" s="215"/>
      <c r="J708" s="224"/>
      <c r="K708" s="224"/>
      <c r="L708" s="215"/>
    </row>
    <row r="709">
      <c r="B709" s="20"/>
      <c r="D709" s="20"/>
      <c r="E709" s="215"/>
      <c r="F709" s="215"/>
      <c r="G709" s="215"/>
      <c r="H709" s="215"/>
      <c r="I709" s="215"/>
      <c r="J709" s="224"/>
      <c r="K709" s="224"/>
      <c r="L709" s="215"/>
    </row>
    <row r="710">
      <c r="B710" s="20"/>
      <c r="D710" s="20"/>
      <c r="E710" s="215"/>
      <c r="F710" s="215"/>
      <c r="G710" s="215"/>
      <c r="H710" s="215"/>
      <c r="I710" s="215"/>
      <c r="J710" s="224"/>
      <c r="K710" s="224"/>
      <c r="L710" s="215"/>
    </row>
    <row r="711">
      <c r="B711" s="20"/>
      <c r="D711" s="20"/>
      <c r="E711" s="215"/>
      <c r="F711" s="215"/>
      <c r="G711" s="215"/>
      <c r="H711" s="215"/>
      <c r="I711" s="215"/>
      <c r="J711" s="224"/>
      <c r="K711" s="224"/>
      <c r="L711" s="215"/>
    </row>
    <row r="712">
      <c r="B712" s="20"/>
      <c r="D712" s="20"/>
      <c r="E712" s="215"/>
      <c r="F712" s="215"/>
      <c r="G712" s="215"/>
      <c r="H712" s="215"/>
      <c r="I712" s="215"/>
      <c r="J712" s="224"/>
      <c r="K712" s="224"/>
      <c r="L712" s="215"/>
    </row>
    <row r="713">
      <c r="B713" s="20"/>
      <c r="D713" s="20"/>
      <c r="E713" s="215"/>
      <c r="F713" s="215"/>
      <c r="G713" s="215"/>
      <c r="H713" s="215"/>
      <c r="I713" s="215"/>
      <c r="J713" s="224"/>
      <c r="K713" s="224"/>
      <c r="L713" s="215"/>
    </row>
    <row r="714">
      <c r="B714" s="20"/>
      <c r="D714" s="20"/>
      <c r="E714" s="215"/>
      <c r="F714" s="215"/>
      <c r="G714" s="215"/>
      <c r="H714" s="215"/>
      <c r="I714" s="215"/>
      <c r="J714" s="224"/>
      <c r="K714" s="224"/>
      <c r="L714" s="215"/>
    </row>
    <row r="715">
      <c r="B715" s="20"/>
      <c r="D715" s="20"/>
      <c r="E715" s="215"/>
      <c r="F715" s="215"/>
      <c r="G715" s="215"/>
      <c r="H715" s="215"/>
      <c r="I715" s="215"/>
      <c r="J715" s="224"/>
      <c r="K715" s="224"/>
      <c r="L715" s="215"/>
    </row>
    <row r="716">
      <c r="B716" s="20"/>
      <c r="D716" s="20"/>
      <c r="E716" s="215"/>
      <c r="F716" s="215"/>
      <c r="G716" s="215"/>
      <c r="H716" s="215"/>
      <c r="I716" s="215"/>
      <c r="J716" s="224"/>
      <c r="K716" s="224"/>
      <c r="L716" s="215"/>
    </row>
    <row r="717">
      <c r="B717" s="20"/>
      <c r="D717" s="20"/>
      <c r="E717" s="215"/>
      <c r="F717" s="215"/>
      <c r="G717" s="215"/>
      <c r="H717" s="215"/>
      <c r="I717" s="215"/>
      <c r="J717" s="224"/>
      <c r="K717" s="224"/>
      <c r="L717" s="215"/>
    </row>
    <row r="718">
      <c r="B718" s="20"/>
      <c r="D718" s="20"/>
      <c r="E718" s="215"/>
      <c r="F718" s="215"/>
      <c r="G718" s="215"/>
      <c r="H718" s="215"/>
      <c r="I718" s="215"/>
      <c r="J718" s="224"/>
      <c r="K718" s="224"/>
      <c r="L718" s="215"/>
    </row>
    <row r="719">
      <c r="B719" s="20"/>
      <c r="D719" s="20"/>
      <c r="E719" s="215"/>
      <c r="F719" s="215"/>
      <c r="G719" s="215"/>
      <c r="H719" s="215"/>
      <c r="I719" s="215"/>
      <c r="J719" s="224"/>
      <c r="K719" s="224"/>
      <c r="L719" s="215"/>
    </row>
    <row r="720">
      <c r="B720" s="20"/>
      <c r="D720" s="20"/>
      <c r="E720" s="215"/>
      <c r="F720" s="215"/>
      <c r="G720" s="215"/>
      <c r="H720" s="215"/>
      <c r="I720" s="215"/>
      <c r="J720" s="224"/>
      <c r="K720" s="224"/>
      <c r="L720" s="215"/>
    </row>
    <row r="721">
      <c r="B721" s="20"/>
      <c r="D721" s="20"/>
      <c r="E721" s="215"/>
      <c r="F721" s="215"/>
      <c r="G721" s="215"/>
      <c r="H721" s="215"/>
      <c r="I721" s="215"/>
      <c r="J721" s="224"/>
      <c r="K721" s="224"/>
      <c r="L721" s="215"/>
    </row>
    <row r="722">
      <c r="B722" s="20"/>
      <c r="D722" s="20"/>
      <c r="E722" s="215"/>
      <c r="F722" s="215"/>
      <c r="G722" s="215"/>
      <c r="H722" s="215"/>
      <c r="I722" s="215"/>
      <c r="J722" s="224"/>
      <c r="K722" s="224"/>
      <c r="L722" s="215"/>
    </row>
    <row r="723">
      <c r="B723" s="20"/>
      <c r="D723" s="20"/>
      <c r="E723" s="215"/>
      <c r="F723" s="215"/>
      <c r="G723" s="215"/>
      <c r="H723" s="215"/>
      <c r="I723" s="215"/>
      <c r="J723" s="224"/>
      <c r="K723" s="224"/>
      <c r="L723" s="215"/>
    </row>
    <row r="724">
      <c r="B724" s="20"/>
      <c r="D724" s="20"/>
      <c r="E724" s="215"/>
      <c r="F724" s="215"/>
      <c r="G724" s="215"/>
      <c r="H724" s="215"/>
      <c r="I724" s="215"/>
      <c r="J724" s="224"/>
      <c r="K724" s="224"/>
      <c r="L724" s="215"/>
    </row>
    <row r="725">
      <c r="B725" s="20"/>
      <c r="D725" s="20"/>
      <c r="E725" s="215"/>
      <c r="F725" s="215"/>
      <c r="G725" s="215"/>
      <c r="H725" s="215"/>
      <c r="I725" s="215"/>
      <c r="J725" s="224"/>
      <c r="K725" s="224"/>
      <c r="L725" s="215"/>
    </row>
    <row r="726">
      <c r="B726" s="20"/>
      <c r="D726" s="20"/>
      <c r="E726" s="215"/>
      <c r="F726" s="215"/>
      <c r="G726" s="215"/>
      <c r="H726" s="215"/>
      <c r="I726" s="215"/>
      <c r="J726" s="224"/>
      <c r="K726" s="224"/>
      <c r="L726" s="215"/>
    </row>
    <row r="727">
      <c r="B727" s="20"/>
      <c r="D727" s="20"/>
      <c r="E727" s="215"/>
      <c r="F727" s="215"/>
      <c r="G727" s="215"/>
      <c r="H727" s="215"/>
      <c r="I727" s="215"/>
      <c r="J727" s="224"/>
      <c r="K727" s="224"/>
      <c r="L727" s="215"/>
    </row>
    <row r="728">
      <c r="B728" s="20"/>
      <c r="D728" s="20"/>
      <c r="E728" s="215"/>
      <c r="F728" s="215"/>
      <c r="G728" s="215"/>
      <c r="H728" s="215"/>
      <c r="I728" s="215"/>
      <c r="J728" s="224"/>
      <c r="K728" s="224"/>
      <c r="L728" s="215"/>
    </row>
    <row r="729">
      <c r="B729" s="20"/>
      <c r="D729" s="20"/>
      <c r="E729" s="215"/>
      <c r="F729" s="215"/>
      <c r="G729" s="215"/>
      <c r="H729" s="215"/>
      <c r="I729" s="215"/>
      <c r="J729" s="224"/>
      <c r="K729" s="224"/>
      <c r="L729" s="215"/>
    </row>
    <row r="730">
      <c r="B730" s="20"/>
      <c r="D730" s="20"/>
      <c r="E730" s="215"/>
      <c r="F730" s="215"/>
      <c r="G730" s="215"/>
      <c r="H730" s="215"/>
      <c r="I730" s="215"/>
      <c r="J730" s="224"/>
      <c r="K730" s="224"/>
      <c r="L730" s="215"/>
    </row>
    <row r="731">
      <c r="B731" s="20"/>
      <c r="D731" s="20"/>
      <c r="E731" s="215"/>
      <c r="F731" s="215"/>
      <c r="G731" s="215"/>
      <c r="H731" s="215"/>
      <c r="I731" s="215"/>
      <c r="J731" s="224"/>
      <c r="K731" s="224"/>
      <c r="L731" s="215"/>
    </row>
    <row r="732">
      <c r="B732" s="20"/>
      <c r="D732" s="20"/>
      <c r="E732" s="215"/>
      <c r="F732" s="215"/>
      <c r="G732" s="215"/>
      <c r="H732" s="215"/>
      <c r="I732" s="215"/>
      <c r="J732" s="224"/>
      <c r="K732" s="224"/>
      <c r="L732" s="215"/>
    </row>
    <row r="733">
      <c r="B733" s="20"/>
      <c r="D733" s="20"/>
      <c r="E733" s="215"/>
      <c r="F733" s="215"/>
      <c r="G733" s="215"/>
      <c r="H733" s="215"/>
      <c r="I733" s="215"/>
      <c r="J733" s="224"/>
      <c r="K733" s="224"/>
      <c r="L733" s="215"/>
    </row>
    <row r="734">
      <c r="B734" s="20"/>
      <c r="D734" s="20"/>
      <c r="E734" s="215"/>
      <c r="F734" s="215"/>
      <c r="G734" s="215"/>
      <c r="H734" s="215"/>
      <c r="I734" s="215"/>
      <c r="J734" s="224"/>
      <c r="K734" s="224"/>
      <c r="L734" s="215"/>
    </row>
    <row r="735">
      <c r="B735" s="20"/>
      <c r="D735" s="20"/>
      <c r="E735" s="215"/>
      <c r="F735" s="215"/>
      <c r="G735" s="215"/>
      <c r="H735" s="215"/>
      <c r="I735" s="215"/>
      <c r="J735" s="224"/>
      <c r="K735" s="224"/>
      <c r="L735" s="215"/>
    </row>
    <row r="736">
      <c r="B736" s="20"/>
      <c r="D736" s="20"/>
      <c r="E736" s="215"/>
      <c r="F736" s="215"/>
      <c r="G736" s="215"/>
      <c r="H736" s="215"/>
      <c r="I736" s="215"/>
      <c r="J736" s="224"/>
      <c r="K736" s="224"/>
      <c r="L736" s="215"/>
    </row>
    <row r="737">
      <c r="B737" s="20"/>
      <c r="D737" s="20"/>
      <c r="E737" s="215"/>
      <c r="F737" s="215"/>
      <c r="G737" s="215"/>
      <c r="H737" s="215"/>
      <c r="I737" s="215"/>
      <c r="J737" s="224"/>
      <c r="K737" s="224"/>
      <c r="L737" s="215"/>
    </row>
    <row r="738">
      <c r="B738" s="20"/>
      <c r="D738" s="20"/>
      <c r="E738" s="215"/>
      <c r="F738" s="215"/>
      <c r="G738" s="215"/>
      <c r="H738" s="215"/>
      <c r="I738" s="215"/>
      <c r="J738" s="224"/>
      <c r="K738" s="224"/>
      <c r="L738" s="215"/>
    </row>
    <row r="739">
      <c r="B739" s="20"/>
      <c r="D739" s="20"/>
      <c r="E739" s="215"/>
      <c r="F739" s="215"/>
      <c r="G739" s="215"/>
      <c r="H739" s="215"/>
      <c r="I739" s="215"/>
      <c r="J739" s="224"/>
      <c r="K739" s="224"/>
      <c r="L739" s="215"/>
    </row>
    <row r="740">
      <c r="B740" s="20"/>
      <c r="D740" s="20"/>
      <c r="E740" s="215"/>
      <c r="F740" s="215"/>
      <c r="G740" s="215"/>
      <c r="H740" s="215"/>
      <c r="I740" s="215"/>
      <c r="J740" s="224"/>
      <c r="K740" s="224"/>
      <c r="L740" s="215"/>
    </row>
    <row r="741">
      <c r="B741" s="20"/>
      <c r="D741" s="20"/>
      <c r="E741" s="215"/>
      <c r="F741" s="215"/>
      <c r="G741" s="215"/>
      <c r="H741" s="215"/>
      <c r="I741" s="215"/>
      <c r="J741" s="224"/>
      <c r="K741" s="224"/>
      <c r="L741" s="215"/>
    </row>
    <row r="742">
      <c r="B742" s="20"/>
      <c r="D742" s="20"/>
      <c r="E742" s="215"/>
      <c r="F742" s="215"/>
      <c r="G742" s="215"/>
      <c r="H742" s="215"/>
      <c r="I742" s="215"/>
      <c r="J742" s="224"/>
      <c r="K742" s="224"/>
      <c r="L742" s="215"/>
    </row>
    <row r="743">
      <c r="B743" s="20"/>
      <c r="D743" s="20"/>
      <c r="E743" s="215"/>
      <c r="F743" s="215"/>
      <c r="G743" s="215"/>
      <c r="H743" s="215"/>
      <c r="I743" s="215"/>
      <c r="J743" s="224"/>
      <c r="K743" s="224"/>
      <c r="L743" s="215"/>
    </row>
    <row r="744">
      <c r="B744" s="20"/>
      <c r="D744" s="20"/>
      <c r="E744" s="215"/>
      <c r="F744" s="215"/>
      <c r="G744" s="215"/>
      <c r="H744" s="215"/>
      <c r="I744" s="215"/>
      <c r="J744" s="224"/>
      <c r="K744" s="224"/>
      <c r="L744" s="215"/>
    </row>
    <row r="745">
      <c r="B745" s="20"/>
      <c r="D745" s="20"/>
      <c r="E745" s="215"/>
      <c r="F745" s="215"/>
      <c r="G745" s="215"/>
      <c r="H745" s="215"/>
      <c r="I745" s="215"/>
      <c r="J745" s="224"/>
      <c r="K745" s="224"/>
      <c r="L745" s="215"/>
    </row>
    <row r="746">
      <c r="B746" s="20"/>
      <c r="D746" s="20"/>
      <c r="E746" s="215"/>
      <c r="F746" s="215"/>
      <c r="G746" s="215"/>
      <c r="H746" s="215"/>
      <c r="I746" s="215"/>
      <c r="J746" s="224"/>
      <c r="K746" s="224"/>
      <c r="L746" s="215"/>
    </row>
    <row r="747">
      <c r="B747" s="20"/>
      <c r="D747" s="20"/>
      <c r="E747" s="215"/>
      <c r="F747" s="215"/>
      <c r="G747" s="215"/>
      <c r="H747" s="215"/>
      <c r="I747" s="215"/>
      <c r="J747" s="224"/>
      <c r="K747" s="224"/>
      <c r="L747" s="215"/>
    </row>
    <row r="748">
      <c r="B748" s="20"/>
      <c r="D748" s="20"/>
      <c r="E748" s="215"/>
      <c r="F748" s="215"/>
      <c r="G748" s="215"/>
      <c r="H748" s="215"/>
      <c r="I748" s="215"/>
      <c r="J748" s="224"/>
      <c r="K748" s="224"/>
      <c r="L748" s="215"/>
    </row>
    <row r="749">
      <c r="B749" s="20"/>
      <c r="D749" s="20"/>
      <c r="E749" s="215"/>
      <c r="F749" s="215"/>
      <c r="G749" s="215"/>
      <c r="H749" s="215"/>
      <c r="I749" s="215"/>
      <c r="J749" s="224"/>
      <c r="K749" s="224"/>
      <c r="L749" s="215"/>
    </row>
    <row r="750">
      <c r="B750" s="20"/>
      <c r="D750" s="20"/>
      <c r="E750" s="215"/>
      <c r="F750" s="215"/>
      <c r="G750" s="215"/>
      <c r="H750" s="215"/>
      <c r="I750" s="215"/>
      <c r="J750" s="224"/>
      <c r="K750" s="224"/>
      <c r="L750" s="215"/>
    </row>
    <row r="751">
      <c r="B751" s="20"/>
      <c r="D751" s="20"/>
      <c r="E751" s="215"/>
      <c r="F751" s="215"/>
      <c r="G751" s="215"/>
      <c r="H751" s="215"/>
      <c r="I751" s="215"/>
      <c r="J751" s="224"/>
      <c r="K751" s="224"/>
      <c r="L751" s="215"/>
    </row>
    <row r="752">
      <c r="B752" s="20"/>
      <c r="D752" s="20"/>
      <c r="E752" s="215"/>
      <c r="F752" s="215"/>
      <c r="G752" s="215"/>
      <c r="H752" s="215"/>
      <c r="I752" s="215"/>
      <c r="J752" s="224"/>
      <c r="K752" s="224"/>
      <c r="L752" s="215"/>
    </row>
    <row r="753">
      <c r="B753" s="20"/>
      <c r="D753" s="20"/>
      <c r="E753" s="215"/>
      <c r="F753" s="215"/>
      <c r="G753" s="215"/>
      <c r="H753" s="215"/>
      <c r="I753" s="215"/>
      <c r="J753" s="224"/>
      <c r="K753" s="224"/>
      <c r="L753" s="215"/>
    </row>
    <row r="754">
      <c r="B754" s="20"/>
      <c r="D754" s="20"/>
      <c r="E754" s="215"/>
      <c r="F754" s="215"/>
      <c r="G754" s="215"/>
      <c r="H754" s="215"/>
      <c r="I754" s="215"/>
      <c r="J754" s="224"/>
      <c r="K754" s="224"/>
      <c r="L754" s="215"/>
    </row>
    <row r="755">
      <c r="B755" s="20"/>
      <c r="D755" s="20"/>
      <c r="E755" s="215"/>
      <c r="F755" s="215"/>
      <c r="G755" s="215"/>
      <c r="H755" s="215"/>
      <c r="I755" s="215"/>
      <c r="J755" s="224"/>
      <c r="K755" s="224"/>
      <c r="L755" s="215"/>
    </row>
    <row r="756">
      <c r="B756" s="20"/>
      <c r="D756" s="20"/>
      <c r="E756" s="215"/>
      <c r="F756" s="215"/>
      <c r="G756" s="215"/>
      <c r="H756" s="215"/>
      <c r="I756" s="215"/>
      <c r="J756" s="224"/>
      <c r="K756" s="224"/>
      <c r="L756" s="215"/>
    </row>
    <row r="757">
      <c r="B757" s="20"/>
      <c r="D757" s="20"/>
      <c r="E757" s="215"/>
      <c r="F757" s="215"/>
      <c r="G757" s="215"/>
      <c r="H757" s="215"/>
      <c r="I757" s="215"/>
      <c r="J757" s="224"/>
      <c r="K757" s="224"/>
      <c r="L757" s="215"/>
    </row>
    <row r="758">
      <c r="B758" s="20"/>
      <c r="D758" s="20"/>
      <c r="E758" s="215"/>
      <c r="F758" s="215"/>
      <c r="G758" s="215"/>
      <c r="H758" s="215"/>
      <c r="I758" s="215"/>
      <c r="J758" s="224"/>
      <c r="K758" s="224"/>
      <c r="L758" s="215"/>
    </row>
    <row r="759">
      <c r="B759" s="20"/>
      <c r="D759" s="20"/>
      <c r="E759" s="215"/>
      <c r="F759" s="215"/>
      <c r="G759" s="215"/>
      <c r="H759" s="215"/>
      <c r="I759" s="215"/>
      <c r="J759" s="224"/>
      <c r="K759" s="224"/>
      <c r="L759" s="215"/>
    </row>
    <row r="760">
      <c r="B760" s="20"/>
      <c r="D760" s="20"/>
      <c r="E760" s="215"/>
      <c r="F760" s="215"/>
      <c r="G760" s="215"/>
      <c r="H760" s="215"/>
      <c r="I760" s="215"/>
      <c r="J760" s="224"/>
      <c r="K760" s="224"/>
      <c r="L760" s="215"/>
    </row>
    <row r="761">
      <c r="B761" s="20"/>
      <c r="D761" s="20"/>
      <c r="E761" s="215"/>
      <c r="F761" s="215"/>
      <c r="G761" s="215"/>
      <c r="H761" s="215"/>
      <c r="I761" s="215"/>
      <c r="J761" s="224"/>
      <c r="K761" s="224"/>
      <c r="L761" s="215"/>
    </row>
    <row r="762">
      <c r="B762" s="20"/>
      <c r="D762" s="20"/>
      <c r="E762" s="215"/>
      <c r="F762" s="215"/>
      <c r="G762" s="215"/>
      <c r="H762" s="215"/>
      <c r="I762" s="215"/>
      <c r="J762" s="224"/>
      <c r="K762" s="224"/>
      <c r="L762" s="215"/>
    </row>
    <row r="763">
      <c r="B763" s="20"/>
      <c r="D763" s="20"/>
      <c r="E763" s="215"/>
      <c r="F763" s="215"/>
      <c r="G763" s="215"/>
      <c r="H763" s="215"/>
      <c r="I763" s="215"/>
      <c r="J763" s="224"/>
      <c r="K763" s="224"/>
      <c r="L763" s="215"/>
    </row>
    <row r="764">
      <c r="B764" s="20"/>
      <c r="D764" s="20"/>
      <c r="E764" s="215"/>
      <c r="F764" s="215"/>
      <c r="G764" s="215"/>
      <c r="H764" s="215"/>
      <c r="I764" s="215"/>
      <c r="J764" s="224"/>
      <c r="K764" s="224"/>
      <c r="L764" s="215"/>
    </row>
    <row r="765">
      <c r="B765" s="20"/>
      <c r="D765" s="20"/>
      <c r="E765" s="215"/>
      <c r="F765" s="215"/>
      <c r="G765" s="215"/>
      <c r="H765" s="215"/>
      <c r="I765" s="215"/>
      <c r="J765" s="224"/>
      <c r="K765" s="224"/>
      <c r="L765" s="215"/>
    </row>
    <row r="766">
      <c r="B766" s="20"/>
      <c r="D766" s="20"/>
      <c r="E766" s="215"/>
      <c r="F766" s="215"/>
      <c r="G766" s="215"/>
      <c r="H766" s="215"/>
      <c r="I766" s="215"/>
      <c r="J766" s="224"/>
      <c r="K766" s="224"/>
      <c r="L766" s="215"/>
    </row>
    <row r="767">
      <c r="B767" s="20"/>
      <c r="D767" s="20"/>
      <c r="E767" s="215"/>
      <c r="F767" s="215"/>
      <c r="G767" s="215"/>
      <c r="H767" s="215"/>
      <c r="I767" s="215"/>
      <c r="J767" s="224"/>
      <c r="K767" s="224"/>
      <c r="L767" s="215"/>
    </row>
    <row r="768">
      <c r="B768" s="20"/>
      <c r="D768" s="20"/>
      <c r="E768" s="215"/>
      <c r="F768" s="215"/>
      <c r="G768" s="215"/>
      <c r="H768" s="215"/>
      <c r="I768" s="215"/>
      <c r="J768" s="224"/>
      <c r="K768" s="224"/>
      <c r="L768" s="215"/>
    </row>
    <row r="769">
      <c r="B769" s="20"/>
      <c r="D769" s="20"/>
      <c r="E769" s="215"/>
      <c r="F769" s="215"/>
      <c r="G769" s="215"/>
      <c r="H769" s="215"/>
      <c r="I769" s="215"/>
      <c r="J769" s="224"/>
      <c r="K769" s="224"/>
      <c r="L769" s="215"/>
    </row>
    <row r="770">
      <c r="B770" s="20"/>
      <c r="D770" s="20"/>
      <c r="E770" s="215"/>
      <c r="F770" s="215"/>
      <c r="G770" s="215"/>
      <c r="H770" s="215"/>
      <c r="I770" s="215"/>
      <c r="J770" s="224"/>
      <c r="K770" s="224"/>
      <c r="L770" s="215"/>
    </row>
    <row r="771">
      <c r="B771" s="20"/>
      <c r="D771" s="20"/>
      <c r="E771" s="215"/>
      <c r="F771" s="215"/>
      <c r="G771" s="215"/>
      <c r="H771" s="215"/>
      <c r="I771" s="215"/>
      <c r="J771" s="224"/>
      <c r="K771" s="224"/>
      <c r="L771" s="215"/>
    </row>
    <row r="772">
      <c r="B772" s="20"/>
      <c r="D772" s="20"/>
      <c r="E772" s="215"/>
      <c r="F772" s="215"/>
      <c r="G772" s="215"/>
      <c r="H772" s="215"/>
      <c r="I772" s="215"/>
      <c r="J772" s="224"/>
      <c r="K772" s="224"/>
      <c r="L772" s="215"/>
    </row>
    <row r="773">
      <c r="B773" s="20"/>
      <c r="D773" s="20"/>
      <c r="E773" s="215"/>
      <c r="F773" s="215"/>
      <c r="G773" s="215"/>
      <c r="H773" s="215"/>
      <c r="I773" s="215"/>
      <c r="J773" s="224"/>
      <c r="K773" s="224"/>
      <c r="L773" s="215"/>
    </row>
    <row r="774">
      <c r="B774" s="20"/>
      <c r="D774" s="20"/>
      <c r="E774" s="215"/>
      <c r="F774" s="215"/>
      <c r="G774" s="215"/>
      <c r="H774" s="215"/>
      <c r="I774" s="215"/>
      <c r="J774" s="224"/>
      <c r="K774" s="224"/>
      <c r="L774" s="215"/>
    </row>
    <row r="775">
      <c r="B775" s="20"/>
      <c r="D775" s="20"/>
      <c r="E775" s="215"/>
      <c r="F775" s="215"/>
      <c r="G775" s="215"/>
      <c r="H775" s="215"/>
      <c r="I775" s="215"/>
      <c r="J775" s="224"/>
      <c r="K775" s="224"/>
      <c r="L775" s="215"/>
    </row>
    <row r="776">
      <c r="B776" s="20"/>
      <c r="D776" s="20"/>
      <c r="E776" s="215"/>
      <c r="F776" s="215"/>
      <c r="G776" s="215"/>
      <c r="H776" s="215"/>
      <c r="I776" s="215"/>
      <c r="J776" s="224"/>
      <c r="K776" s="224"/>
      <c r="L776" s="215"/>
    </row>
    <row r="777">
      <c r="B777" s="20"/>
      <c r="D777" s="20"/>
      <c r="E777" s="215"/>
      <c r="F777" s="215"/>
      <c r="G777" s="215"/>
      <c r="H777" s="215"/>
      <c r="I777" s="215"/>
      <c r="J777" s="224"/>
      <c r="K777" s="224"/>
      <c r="L777" s="215"/>
    </row>
    <row r="778">
      <c r="B778" s="20"/>
      <c r="D778" s="20"/>
      <c r="E778" s="215"/>
      <c r="F778" s="215"/>
      <c r="G778" s="215"/>
      <c r="H778" s="215"/>
      <c r="I778" s="215"/>
      <c r="J778" s="224"/>
      <c r="K778" s="224"/>
      <c r="L778" s="215"/>
    </row>
    <row r="779">
      <c r="B779" s="20"/>
      <c r="D779" s="20"/>
      <c r="E779" s="215"/>
      <c r="F779" s="215"/>
      <c r="G779" s="215"/>
      <c r="H779" s="215"/>
      <c r="I779" s="215"/>
      <c r="J779" s="224"/>
      <c r="K779" s="224"/>
      <c r="L779" s="215"/>
    </row>
    <row r="780">
      <c r="B780" s="20"/>
      <c r="D780" s="20"/>
      <c r="E780" s="215"/>
      <c r="F780" s="215"/>
      <c r="G780" s="215"/>
      <c r="H780" s="215"/>
      <c r="I780" s="215"/>
      <c r="J780" s="224"/>
      <c r="K780" s="224"/>
      <c r="L780" s="215"/>
    </row>
    <row r="781">
      <c r="B781" s="20"/>
      <c r="D781" s="20"/>
      <c r="E781" s="215"/>
      <c r="F781" s="215"/>
      <c r="G781" s="215"/>
      <c r="H781" s="215"/>
      <c r="I781" s="215"/>
      <c r="J781" s="224"/>
      <c r="K781" s="224"/>
      <c r="L781" s="215"/>
    </row>
    <row r="782">
      <c r="B782" s="20"/>
      <c r="D782" s="20"/>
      <c r="E782" s="215"/>
      <c r="F782" s="215"/>
      <c r="G782" s="215"/>
      <c r="H782" s="215"/>
      <c r="I782" s="215"/>
      <c r="J782" s="224"/>
      <c r="K782" s="224"/>
      <c r="L782" s="215"/>
    </row>
    <row r="783">
      <c r="B783" s="20"/>
      <c r="D783" s="20"/>
      <c r="E783" s="215"/>
      <c r="F783" s="215"/>
      <c r="G783" s="215"/>
      <c r="H783" s="215"/>
      <c r="I783" s="215"/>
      <c r="J783" s="224"/>
      <c r="K783" s="224"/>
      <c r="L783" s="215"/>
    </row>
    <row r="784">
      <c r="B784" s="20"/>
      <c r="D784" s="20"/>
      <c r="E784" s="215"/>
      <c r="F784" s="215"/>
      <c r="G784" s="215"/>
      <c r="H784" s="215"/>
      <c r="I784" s="215"/>
      <c r="J784" s="224"/>
      <c r="K784" s="224"/>
      <c r="L784" s="215"/>
    </row>
    <row r="785">
      <c r="B785" s="20"/>
      <c r="D785" s="20"/>
      <c r="E785" s="215"/>
      <c r="F785" s="215"/>
      <c r="G785" s="215"/>
      <c r="H785" s="215"/>
      <c r="I785" s="215"/>
      <c r="J785" s="224"/>
      <c r="K785" s="224"/>
      <c r="L785" s="215"/>
    </row>
    <row r="786">
      <c r="B786" s="20"/>
      <c r="D786" s="20"/>
      <c r="E786" s="215"/>
      <c r="F786" s="215"/>
      <c r="G786" s="215"/>
      <c r="H786" s="215"/>
      <c r="I786" s="215"/>
      <c r="J786" s="224"/>
      <c r="K786" s="224"/>
      <c r="L786" s="215"/>
    </row>
    <row r="787">
      <c r="B787" s="20"/>
      <c r="D787" s="20"/>
      <c r="E787" s="215"/>
      <c r="F787" s="215"/>
      <c r="G787" s="215"/>
      <c r="H787" s="215"/>
      <c r="I787" s="215"/>
      <c r="J787" s="224"/>
      <c r="K787" s="224"/>
      <c r="L787" s="215"/>
    </row>
    <row r="788">
      <c r="B788" s="20"/>
      <c r="D788" s="20"/>
      <c r="E788" s="215"/>
      <c r="F788" s="215"/>
      <c r="G788" s="215"/>
      <c r="H788" s="215"/>
      <c r="I788" s="215"/>
      <c r="J788" s="224"/>
      <c r="K788" s="224"/>
      <c r="L788" s="215"/>
    </row>
    <row r="789">
      <c r="B789" s="20"/>
      <c r="D789" s="20"/>
      <c r="E789" s="215"/>
      <c r="F789" s="215"/>
      <c r="G789" s="215"/>
      <c r="H789" s="215"/>
      <c r="I789" s="215"/>
      <c r="J789" s="224"/>
      <c r="K789" s="224"/>
      <c r="L789" s="215"/>
    </row>
    <row r="790">
      <c r="B790" s="20"/>
      <c r="D790" s="20"/>
      <c r="E790" s="215"/>
      <c r="F790" s="215"/>
      <c r="G790" s="215"/>
      <c r="H790" s="215"/>
      <c r="I790" s="215"/>
      <c r="J790" s="224"/>
      <c r="K790" s="224"/>
      <c r="L790" s="215"/>
    </row>
    <row r="791">
      <c r="B791" s="20"/>
      <c r="D791" s="20"/>
      <c r="E791" s="215"/>
      <c r="F791" s="215"/>
      <c r="G791" s="215"/>
      <c r="H791" s="215"/>
      <c r="I791" s="215"/>
      <c r="J791" s="224"/>
      <c r="K791" s="224"/>
      <c r="L791" s="215"/>
    </row>
    <row r="792">
      <c r="B792" s="20"/>
      <c r="D792" s="20"/>
      <c r="E792" s="215"/>
      <c r="F792" s="215"/>
      <c r="G792" s="215"/>
      <c r="H792" s="215"/>
      <c r="I792" s="215"/>
      <c r="J792" s="224"/>
      <c r="K792" s="224"/>
      <c r="L792" s="215"/>
    </row>
    <row r="793">
      <c r="B793" s="20"/>
      <c r="D793" s="20"/>
      <c r="E793" s="215"/>
      <c r="F793" s="215"/>
      <c r="G793" s="215"/>
      <c r="H793" s="215"/>
      <c r="I793" s="215"/>
      <c r="J793" s="224"/>
      <c r="K793" s="224"/>
      <c r="L793" s="215"/>
    </row>
    <row r="794">
      <c r="B794" s="20"/>
      <c r="D794" s="20"/>
      <c r="E794" s="215"/>
      <c r="F794" s="215"/>
      <c r="G794" s="215"/>
      <c r="H794" s="215"/>
      <c r="I794" s="215"/>
      <c r="J794" s="224"/>
      <c r="K794" s="224"/>
      <c r="L794" s="215"/>
    </row>
    <row r="795">
      <c r="B795" s="20"/>
      <c r="D795" s="20"/>
      <c r="E795" s="215"/>
      <c r="F795" s="215"/>
      <c r="G795" s="215"/>
      <c r="H795" s="215"/>
      <c r="I795" s="215"/>
      <c r="J795" s="224"/>
      <c r="K795" s="224"/>
      <c r="L795" s="215"/>
    </row>
    <row r="796">
      <c r="B796" s="20"/>
      <c r="D796" s="20"/>
      <c r="E796" s="215"/>
      <c r="F796" s="215"/>
      <c r="G796" s="215"/>
      <c r="H796" s="215"/>
      <c r="I796" s="215"/>
      <c r="J796" s="224"/>
      <c r="K796" s="224"/>
      <c r="L796" s="215"/>
    </row>
    <row r="797">
      <c r="B797" s="20"/>
      <c r="D797" s="20"/>
      <c r="E797" s="215"/>
      <c r="F797" s="215"/>
      <c r="G797" s="215"/>
      <c r="H797" s="215"/>
      <c r="I797" s="215"/>
      <c r="J797" s="224"/>
      <c r="K797" s="224"/>
      <c r="L797" s="215"/>
    </row>
    <row r="798">
      <c r="B798" s="20"/>
      <c r="D798" s="20"/>
      <c r="E798" s="215"/>
      <c r="F798" s="215"/>
      <c r="G798" s="215"/>
      <c r="H798" s="215"/>
      <c r="I798" s="215"/>
      <c r="J798" s="224"/>
      <c r="K798" s="224"/>
      <c r="L798" s="215"/>
    </row>
    <row r="799">
      <c r="B799" s="20"/>
      <c r="D799" s="20"/>
      <c r="E799" s="215"/>
      <c r="F799" s="215"/>
      <c r="G799" s="215"/>
      <c r="H799" s="215"/>
      <c r="I799" s="215"/>
      <c r="J799" s="224"/>
      <c r="K799" s="224"/>
      <c r="L799" s="215"/>
    </row>
    <row r="800">
      <c r="B800" s="20"/>
      <c r="D800" s="20"/>
      <c r="E800" s="215"/>
      <c r="F800" s="215"/>
      <c r="G800" s="215"/>
      <c r="H800" s="215"/>
      <c r="I800" s="215"/>
      <c r="J800" s="224"/>
      <c r="K800" s="224"/>
      <c r="L800" s="215"/>
    </row>
    <row r="801">
      <c r="B801" s="20"/>
      <c r="D801" s="20"/>
      <c r="E801" s="215"/>
      <c r="F801" s="215"/>
      <c r="G801" s="215"/>
      <c r="H801" s="215"/>
      <c r="I801" s="215"/>
      <c r="J801" s="224"/>
      <c r="K801" s="224"/>
      <c r="L801" s="215"/>
    </row>
    <row r="802">
      <c r="B802" s="20"/>
      <c r="D802" s="20"/>
      <c r="E802" s="215"/>
      <c r="F802" s="215"/>
      <c r="G802" s="215"/>
      <c r="H802" s="215"/>
      <c r="I802" s="215"/>
      <c r="J802" s="224"/>
      <c r="K802" s="224"/>
      <c r="L802" s="215"/>
    </row>
    <row r="803">
      <c r="B803" s="20"/>
      <c r="D803" s="20"/>
      <c r="E803" s="215"/>
      <c r="F803" s="215"/>
      <c r="G803" s="215"/>
      <c r="H803" s="215"/>
      <c r="I803" s="215"/>
      <c r="J803" s="224"/>
      <c r="K803" s="224"/>
      <c r="L803" s="215"/>
    </row>
    <row r="804">
      <c r="B804" s="20"/>
      <c r="D804" s="20"/>
      <c r="E804" s="33"/>
      <c r="F804" s="33"/>
      <c r="G804" s="33"/>
      <c r="H804" s="33"/>
      <c r="I804" s="33"/>
      <c r="J804" s="225"/>
      <c r="K804" s="225"/>
      <c r="L804" s="33"/>
    </row>
    <row r="805">
      <c r="B805" s="20"/>
      <c r="D805" s="20"/>
      <c r="E805" s="33"/>
      <c r="F805" s="33"/>
      <c r="G805" s="33"/>
      <c r="H805" s="33"/>
      <c r="I805" s="33"/>
      <c r="J805" s="225"/>
      <c r="K805" s="225"/>
      <c r="L805" s="33"/>
    </row>
    <row r="806">
      <c r="B806" s="20"/>
      <c r="D806" s="20"/>
      <c r="E806" s="33"/>
      <c r="F806" s="33"/>
      <c r="G806" s="33"/>
      <c r="H806" s="33"/>
      <c r="I806" s="33"/>
      <c r="J806" s="225"/>
      <c r="K806" s="225"/>
      <c r="L806" s="33"/>
    </row>
    <row r="807">
      <c r="B807" s="20"/>
      <c r="D807" s="20"/>
      <c r="E807" s="33"/>
      <c r="F807" s="33"/>
      <c r="G807" s="33"/>
      <c r="H807" s="33"/>
      <c r="I807" s="33"/>
      <c r="J807" s="225"/>
      <c r="K807" s="225"/>
      <c r="L807" s="33"/>
    </row>
    <row r="808">
      <c r="B808" s="20"/>
      <c r="D808" s="20"/>
      <c r="E808" s="33"/>
      <c r="F808" s="33"/>
      <c r="G808" s="33"/>
      <c r="H808" s="33"/>
      <c r="I808" s="33"/>
      <c r="J808" s="225"/>
      <c r="K808" s="225"/>
      <c r="L808" s="33"/>
    </row>
    <row r="809">
      <c r="B809" s="20"/>
      <c r="D809" s="20"/>
      <c r="E809" s="33"/>
      <c r="F809" s="33"/>
      <c r="G809" s="33"/>
      <c r="H809" s="33"/>
      <c r="I809" s="33"/>
      <c r="J809" s="225"/>
      <c r="K809" s="225"/>
      <c r="L809" s="33"/>
    </row>
    <row r="810">
      <c r="B810" s="20"/>
      <c r="D810" s="20"/>
      <c r="E810" s="33"/>
      <c r="F810" s="33"/>
      <c r="G810" s="33"/>
      <c r="H810" s="33"/>
      <c r="I810" s="33"/>
      <c r="J810" s="225"/>
      <c r="K810" s="225"/>
      <c r="L810" s="33"/>
    </row>
    <row r="811">
      <c r="B811" s="20"/>
      <c r="D811" s="20"/>
      <c r="E811" s="33"/>
      <c r="F811" s="33"/>
      <c r="G811" s="33"/>
      <c r="H811" s="33"/>
      <c r="I811" s="33"/>
      <c r="J811" s="225"/>
      <c r="K811" s="225"/>
      <c r="L811" s="33"/>
    </row>
    <row r="812">
      <c r="B812" s="20"/>
      <c r="D812" s="20"/>
      <c r="E812" s="33"/>
      <c r="F812" s="33"/>
      <c r="G812" s="33"/>
      <c r="H812" s="33"/>
      <c r="I812" s="33"/>
      <c r="J812" s="225"/>
      <c r="K812" s="225"/>
      <c r="L812" s="33"/>
    </row>
    <row r="813">
      <c r="B813" s="20"/>
      <c r="D813" s="20"/>
      <c r="E813" s="33"/>
      <c r="F813" s="33"/>
      <c r="G813" s="33"/>
      <c r="H813" s="33"/>
      <c r="I813" s="33"/>
      <c r="J813" s="225"/>
      <c r="K813" s="225"/>
      <c r="L813" s="33"/>
    </row>
    <row r="814">
      <c r="B814" s="20"/>
      <c r="D814" s="20"/>
      <c r="E814" s="33"/>
      <c r="F814" s="33"/>
      <c r="G814" s="33"/>
      <c r="H814" s="33"/>
      <c r="I814" s="33"/>
      <c r="J814" s="225"/>
      <c r="K814" s="225"/>
      <c r="L814" s="33"/>
    </row>
    <row r="815">
      <c r="B815" s="20"/>
      <c r="D815" s="20"/>
      <c r="E815" s="33"/>
      <c r="F815" s="33"/>
      <c r="G815" s="33"/>
      <c r="H815" s="33"/>
      <c r="I815" s="33"/>
      <c r="J815" s="225"/>
      <c r="K815" s="225"/>
      <c r="L815" s="33"/>
    </row>
    <row r="816">
      <c r="B816" s="20"/>
      <c r="D816" s="20"/>
      <c r="E816" s="33"/>
      <c r="F816" s="33"/>
      <c r="G816" s="33"/>
      <c r="H816" s="33"/>
      <c r="I816" s="33"/>
      <c r="J816" s="225"/>
      <c r="K816" s="225"/>
      <c r="L816" s="33"/>
    </row>
    <row r="817">
      <c r="B817" s="20"/>
      <c r="D817" s="20"/>
      <c r="E817" s="33"/>
      <c r="F817" s="33"/>
      <c r="G817" s="33"/>
      <c r="H817" s="33"/>
      <c r="I817" s="33"/>
      <c r="J817" s="225"/>
      <c r="K817" s="225"/>
      <c r="L817" s="33"/>
    </row>
    <row r="818">
      <c r="B818" s="20"/>
      <c r="D818" s="20"/>
      <c r="E818" s="33"/>
      <c r="F818" s="33"/>
      <c r="G818" s="33"/>
      <c r="H818" s="33"/>
      <c r="I818" s="33"/>
      <c r="J818" s="225"/>
      <c r="K818" s="225"/>
      <c r="L818" s="33"/>
    </row>
    <row r="819">
      <c r="B819" s="20"/>
      <c r="D819" s="20"/>
      <c r="E819" s="33"/>
      <c r="F819" s="33"/>
      <c r="G819" s="33"/>
      <c r="H819" s="33"/>
      <c r="I819" s="33"/>
      <c r="J819" s="225"/>
      <c r="K819" s="225"/>
      <c r="L819" s="33"/>
    </row>
    <row r="820">
      <c r="B820" s="20"/>
      <c r="D820" s="20"/>
      <c r="E820" s="33"/>
      <c r="F820" s="33"/>
      <c r="G820" s="33"/>
      <c r="H820" s="33"/>
      <c r="I820" s="33"/>
      <c r="J820" s="225"/>
      <c r="K820" s="225"/>
      <c r="L820" s="33"/>
    </row>
    <row r="821">
      <c r="B821" s="20"/>
      <c r="D821" s="20"/>
      <c r="E821" s="33"/>
      <c r="F821" s="33"/>
      <c r="G821" s="33"/>
      <c r="H821" s="33"/>
      <c r="I821" s="33"/>
      <c r="J821" s="225"/>
      <c r="K821" s="225"/>
      <c r="L821" s="33"/>
    </row>
    <row r="822">
      <c r="B822" s="20"/>
      <c r="D822" s="20"/>
      <c r="E822" s="33"/>
      <c r="F822" s="33"/>
      <c r="G822" s="33"/>
      <c r="H822" s="33"/>
      <c r="I822" s="33"/>
      <c r="J822" s="225"/>
      <c r="K822" s="225"/>
      <c r="L822" s="33"/>
    </row>
    <row r="823">
      <c r="B823" s="20"/>
      <c r="D823" s="20"/>
      <c r="E823" s="33"/>
      <c r="F823" s="33"/>
      <c r="G823" s="33"/>
      <c r="H823" s="33"/>
      <c r="I823" s="33"/>
      <c r="J823" s="225"/>
      <c r="K823" s="225"/>
      <c r="L823" s="33"/>
    </row>
    <row r="824">
      <c r="B824" s="20"/>
      <c r="D824" s="20"/>
      <c r="E824" s="33"/>
      <c r="F824" s="33"/>
      <c r="G824" s="33"/>
      <c r="H824" s="33"/>
      <c r="I824" s="33"/>
      <c r="J824" s="225"/>
      <c r="K824" s="225"/>
      <c r="L824" s="33"/>
    </row>
    <row r="825">
      <c r="B825" s="20"/>
      <c r="D825" s="20"/>
      <c r="E825" s="33"/>
      <c r="F825" s="33"/>
      <c r="G825" s="33"/>
      <c r="H825" s="33"/>
      <c r="I825" s="33"/>
      <c r="J825" s="225"/>
      <c r="K825" s="225"/>
      <c r="L825" s="33"/>
    </row>
    <row r="826">
      <c r="B826" s="20"/>
      <c r="D826" s="20"/>
      <c r="E826" s="33"/>
      <c r="F826" s="33"/>
      <c r="G826" s="33"/>
      <c r="H826" s="33"/>
      <c r="I826" s="33"/>
      <c r="J826" s="225"/>
      <c r="K826" s="225"/>
      <c r="L826" s="33"/>
    </row>
    <row r="827">
      <c r="B827" s="20"/>
      <c r="D827" s="20"/>
      <c r="E827" s="33"/>
      <c r="F827" s="33"/>
      <c r="G827" s="33"/>
      <c r="H827" s="33"/>
      <c r="I827" s="33"/>
      <c r="J827" s="225"/>
      <c r="K827" s="225"/>
      <c r="L827" s="33"/>
    </row>
    <row r="828">
      <c r="B828" s="20"/>
      <c r="D828" s="20"/>
      <c r="E828" s="33"/>
      <c r="F828" s="33"/>
      <c r="G828" s="33"/>
      <c r="H828" s="33"/>
      <c r="I828" s="33"/>
      <c r="J828" s="225"/>
      <c r="K828" s="225"/>
      <c r="L828" s="33"/>
    </row>
    <row r="829">
      <c r="B829" s="20"/>
      <c r="D829" s="20"/>
      <c r="E829" s="33"/>
      <c r="F829" s="33"/>
      <c r="G829" s="33"/>
      <c r="H829" s="33"/>
      <c r="I829" s="33"/>
      <c r="J829" s="225"/>
      <c r="K829" s="225"/>
      <c r="L829" s="33"/>
    </row>
    <row r="830">
      <c r="B830" s="20"/>
      <c r="D830" s="20"/>
      <c r="E830" s="33"/>
      <c r="F830" s="33"/>
      <c r="G830" s="33"/>
      <c r="H830" s="33"/>
      <c r="I830" s="33"/>
      <c r="J830" s="225"/>
      <c r="K830" s="225"/>
      <c r="L830" s="33"/>
    </row>
    <row r="831">
      <c r="B831" s="20"/>
      <c r="D831" s="20"/>
      <c r="E831" s="33"/>
      <c r="F831" s="33"/>
      <c r="G831" s="33"/>
      <c r="H831" s="33"/>
      <c r="I831" s="33"/>
      <c r="J831" s="225"/>
      <c r="K831" s="225"/>
      <c r="L831" s="33"/>
    </row>
    <row r="832">
      <c r="B832" s="20"/>
      <c r="D832" s="20"/>
      <c r="E832" s="33"/>
      <c r="F832" s="33"/>
      <c r="G832" s="33"/>
      <c r="H832" s="33"/>
      <c r="I832" s="33"/>
      <c r="J832" s="225"/>
      <c r="K832" s="225"/>
      <c r="L832" s="33"/>
    </row>
    <row r="833">
      <c r="B833" s="20"/>
      <c r="D833" s="20"/>
      <c r="E833" s="33"/>
      <c r="F833" s="33"/>
      <c r="G833" s="33"/>
      <c r="H833" s="33"/>
      <c r="I833" s="33"/>
      <c r="J833" s="225"/>
      <c r="K833" s="225"/>
      <c r="L833" s="33"/>
    </row>
    <row r="834">
      <c r="B834" s="20"/>
      <c r="D834" s="20"/>
      <c r="E834" s="33"/>
      <c r="F834" s="33"/>
      <c r="G834" s="33"/>
      <c r="H834" s="33"/>
      <c r="I834" s="33"/>
      <c r="J834" s="225"/>
      <c r="K834" s="225"/>
      <c r="L834" s="33"/>
    </row>
    <row r="835">
      <c r="B835" s="20"/>
      <c r="D835" s="20"/>
      <c r="E835" s="33"/>
      <c r="F835" s="33"/>
      <c r="G835" s="33"/>
      <c r="H835" s="33"/>
      <c r="I835" s="33"/>
      <c r="J835" s="225"/>
      <c r="K835" s="225"/>
      <c r="L835" s="33"/>
    </row>
    <row r="836">
      <c r="B836" s="20"/>
      <c r="D836" s="20"/>
      <c r="E836" s="33"/>
      <c r="F836" s="33"/>
      <c r="G836" s="33"/>
      <c r="H836" s="33"/>
      <c r="I836" s="33"/>
      <c r="J836" s="225"/>
      <c r="K836" s="225"/>
      <c r="L836" s="33"/>
    </row>
    <row r="837">
      <c r="B837" s="20"/>
      <c r="D837" s="20"/>
      <c r="E837" s="33"/>
      <c r="F837" s="33"/>
      <c r="G837" s="33"/>
      <c r="H837" s="33"/>
      <c r="I837" s="33"/>
      <c r="J837" s="225"/>
      <c r="K837" s="225"/>
      <c r="L837" s="33"/>
    </row>
    <row r="838">
      <c r="B838" s="20"/>
      <c r="D838" s="20"/>
      <c r="E838" s="33"/>
      <c r="F838" s="33"/>
      <c r="G838" s="33"/>
      <c r="H838" s="33"/>
      <c r="I838" s="33"/>
      <c r="J838" s="225"/>
      <c r="K838" s="225"/>
      <c r="L838" s="33"/>
    </row>
    <row r="839">
      <c r="B839" s="20"/>
      <c r="D839" s="20"/>
      <c r="E839" s="33"/>
      <c r="F839" s="33"/>
      <c r="G839" s="33"/>
      <c r="H839" s="33"/>
      <c r="I839" s="33"/>
      <c r="J839" s="225"/>
      <c r="K839" s="225"/>
      <c r="L839" s="33"/>
    </row>
    <row r="840">
      <c r="B840" s="20"/>
      <c r="D840" s="20"/>
      <c r="E840" s="33"/>
      <c r="F840" s="33"/>
      <c r="G840" s="33"/>
      <c r="H840" s="33"/>
      <c r="I840" s="33"/>
      <c r="J840" s="225"/>
      <c r="K840" s="225"/>
      <c r="L840" s="33"/>
    </row>
    <row r="841">
      <c r="B841" s="20"/>
      <c r="D841" s="20"/>
      <c r="E841" s="33"/>
      <c r="F841" s="33"/>
      <c r="G841" s="33"/>
      <c r="H841" s="33"/>
      <c r="I841" s="33"/>
      <c r="J841" s="225"/>
      <c r="K841" s="225"/>
      <c r="L841" s="33"/>
    </row>
    <row r="842">
      <c r="B842" s="20"/>
      <c r="D842" s="20"/>
      <c r="E842" s="33"/>
      <c r="F842" s="33"/>
      <c r="G842" s="33"/>
      <c r="H842" s="33"/>
      <c r="I842" s="33"/>
      <c r="J842" s="225"/>
      <c r="K842" s="225"/>
      <c r="L842" s="33"/>
    </row>
    <row r="843">
      <c r="B843" s="20"/>
      <c r="D843" s="20"/>
      <c r="E843" s="33"/>
      <c r="F843" s="33"/>
      <c r="G843" s="33"/>
      <c r="H843" s="33"/>
      <c r="I843" s="33"/>
      <c r="J843" s="225"/>
      <c r="K843" s="225"/>
      <c r="L843" s="33"/>
    </row>
    <row r="844">
      <c r="B844" s="20"/>
      <c r="D844" s="20"/>
      <c r="E844" s="33"/>
      <c r="F844" s="33"/>
      <c r="G844" s="33"/>
      <c r="H844" s="33"/>
      <c r="I844" s="33"/>
      <c r="J844" s="225"/>
      <c r="K844" s="225"/>
      <c r="L844" s="33"/>
    </row>
    <row r="845">
      <c r="B845" s="20"/>
      <c r="D845" s="20"/>
      <c r="E845" s="33"/>
      <c r="F845" s="33"/>
      <c r="G845" s="33"/>
      <c r="H845" s="33"/>
      <c r="I845" s="33"/>
      <c r="J845" s="225"/>
      <c r="K845" s="225"/>
      <c r="L845" s="33"/>
    </row>
    <row r="846">
      <c r="B846" s="20"/>
      <c r="D846" s="20"/>
      <c r="E846" s="33"/>
      <c r="F846" s="33"/>
      <c r="G846" s="33"/>
      <c r="H846" s="33"/>
      <c r="I846" s="33"/>
      <c r="J846" s="225"/>
      <c r="K846" s="225"/>
      <c r="L846" s="33"/>
    </row>
    <row r="847">
      <c r="B847" s="20"/>
      <c r="D847" s="20"/>
      <c r="E847" s="33"/>
      <c r="F847" s="33"/>
      <c r="G847" s="33"/>
      <c r="H847" s="33"/>
      <c r="I847" s="33"/>
      <c r="J847" s="225"/>
      <c r="K847" s="225"/>
      <c r="L847" s="33"/>
    </row>
    <row r="848">
      <c r="B848" s="20"/>
      <c r="D848" s="20"/>
      <c r="E848" s="33"/>
      <c r="F848" s="33"/>
      <c r="G848" s="33"/>
      <c r="H848" s="33"/>
      <c r="I848" s="33"/>
      <c r="J848" s="225"/>
      <c r="K848" s="225"/>
      <c r="L848" s="33"/>
    </row>
    <row r="849">
      <c r="B849" s="20"/>
      <c r="D849" s="20"/>
      <c r="E849" s="33"/>
      <c r="F849" s="33"/>
      <c r="G849" s="33"/>
      <c r="H849" s="33"/>
      <c r="I849" s="33"/>
      <c r="J849" s="225"/>
      <c r="K849" s="225"/>
      <c r="L849" s="33"/>
    </row>
    <row r="850">
      <c r="B850" s="20"/>
      <c r="D850" s="20"/>
      <c r="E850" s="33"/>
      <c r="F850" s="33"/>
      <c r="G850" s="33"/>
      <c r="H850" s="33"/>
      <c r="I850" s="33"/>
      <c r="J850" s="225"/>
      <c r="K850" s="225"/>
      <c r="L850" s="33"/>
    </row>
    <row r="851">
      <c r="B851" s="20"/>
      <c r="D851" s="20"/>
      <c r="E851" s="33"/>
      <c r="F851" s="33"/>
      <c r="G851" s="33"/>
      <c r="H851" s="33"/>
      <c r="I851" s="33"/>
      <c r="J851" s="225"/>
      <c r="K851" s="225"/>
      <c r="L851" s="33"/>
    </row>
    <row r="852">
      <c r="B852" s="20"/>
      <c r="D852" s="20"/>
      <c r="E852" s="33"/>
      <c r="F852" s="33"/>
      <c r="G852" s="33"/>
      <c r="H852" s="33"/>
      <c r="I852" s="33"/>
      <c r="J852" s="225"/>
      <c r="K852" s="225"/>
      <c r="L852" s="33"/>
    </row>
    <row r="853">
      <c r="B853" s="20"/>
      <c r="D853" s="20"/>
      <c r="E853" s="33"/>
      <c r="F853" s="33"/>
      <c r="G853" s="33"/>
      <c r="H853" s="33"/>
      <c r="I853" s="33"/>
      <c r="J853" s="225"/>
      <c r="K853" s="225"/>
      <c r="L853" s="33"/>
    </row>
    <row r="854">
      <c r="B854" s="20"/>
      <c r="D854" s="20"/>
      <c r="E854" s="33"/>
      <c r="F854" s="33"/>
      <c r="G854" s="33"/>
      <c r="H854" s="33"/>
      <c r="I854" s="33"/>
      <c r="J854" s="225"/>
      <c r="K854" s="225"/>
      <c r="L854" s="33"/>
    </row>
    <row r="855">
      <c r="B855" s="20"/>
      <c r="D855" s="20"/>
      <c r="E855" s="33"/>
      <c r="F855" s="33"/>
      <c r="G855" s="33"/>
      <c r="H855" s="33"/>
      <c r="I855" s="33"/>
      <c r="J855" s="225"/>
      <c r="K855" s="225"/>
      <c r="L855" s="33"/>
    </row>
    <row r="856">
      <c r="B856" s="20"/>
      <c r="D856" s="20"/>
      <c r="E856" s="33"/>
      <c r="F856" s="33"/>
      <c r="G856" s="33"/>
      <c r="H856" s="33"/>
      <c r="I856" s="33"/>
      <c r="J856" s="225"/>
      <c r="K856" s="225"/>
      <c r="L856" s="33"/>
    </row>
    <row r="857">
      <c r="B857" s="20"/>
      <c r="D857" s="20"/>
      <c r="E857" s="33"/>
      <c r="F857" s="33"/>
      <c r="G857" s="33"/>
      <c r="H857" s="33"/>
      <c r="I857" s="33"/>
      <c r="J857" s="225"/>
      <c r="K857" s="225"/>
      <c r="L857" s="33"/>
    </row>
    <row r="858">
      <c r="B858" s="20"/>
      <c r="D858" s="20"/>
      <c r="E858" s="33"/>
      <c r="F858" s="33"/>
      <c r="G858" s="33"/>
      <c r="H858" s="33"/>
      <c r="I858" s="33"/>
      <c r="J858" s="225"/>
      <c r="K858" s="225"/>
      <c r="L858" s="33"/>
    </row>
    <row r="859">
      <c r="B859" s="20"/>
      <c r="D859" s="20"/>
      <c r="E859" s="33"/>
      <c r="F859" s="33"/>
      <c r="G859" s="33"/>
      <c r="H859" s="33"/>
      <c r="I859" s="33"/>
      <c r="J859" s="225"/>
      <c r="K859" s="225"/>
      <c r="L859" s="33"/>
    </row>
    <row r="860">
      <c r="B860" s="20"/>
      <c r="D860" s="20"/>
      <c r="E860" s="33"/>
      <c r="F860" s="33"/>
      <c r="G860" s="33"/>
      <c r="H860" s="33"/>
      <c r="I860" s="33"/>
      <c r="J860" s="225"/>
      <c r="K860" s="225"/>
      <c r="L860" s="33"/>
    </row>
    <row r="861">
      <c r="B861" s="20"/>
      <c r="D861" s="20"/>
      <c r="E861" s="33"/>
      <c r="F861" s="33"/>
      <c r="G861" s="33"/>
      <c r="H861" s="33"/>
      <c r="I861" s="33"/>
      <c r="J861" s="225"/>
      <c r="K861" s="225"/>
      <c r="L861" s="33"/>
    </row>
    <row r="862">
      <c r="B862" s="20"/>
      <c r="D862" s="20"/>
      <c r="E862" s="33"/>
      <c r="F862" s="33"/>
      <c r="G862" s="33"/>
      <c r="H862" s="33"/>
      <c r="I862" s="33"/>
      <c r="J862" s="225"/>
      <c r="K862" s="225"/>
      <c r="L862" s="33"/>
    </row>
    <row r="863">
      <c r="B863" s="20"/>
      <c r="D863" s="20"/>
      <c r="E863" s="33"/>
      <c r="F863" s="33"/>
      <c r="G863" s="33"/>
      <c r="H863" s="33"/>
      <c r="I863" s="33"/>
      <c r="J863" s="225"/>
      <c r="K863" s="225"/>
      <c r="L863" s="33"/>
    </row>
    <row r="864">
      <c r="B864" s="20"/>
      <c r="D864" s="20"/>
      <c r="E864" s="33"/>
      <c r="F864" s="33"/>
      <c r="G864" s="33"/>
      <c r="H864" s="33"/>
      <c r="I864" s="33"/>
      <c r="J864" s="225"/>
      <c r="K864" s="225"/>
      <c r="L864" s="33"/>
    </row>
    <row r="865">
      <c r="B865" s="20"/>
      <c r="D865" s="20"/>
      <c r="E865" s="33"/>
      <c r="F865" s="33"/>
      <c r="G865" s="33"/>
      <c r="H865" s="33"/>
      <c r="I865" s="33"/>
      <c r="J865" s="225"/>
      <c r="K865" s="225"/>
      <c r="L865" s="33"/>
    </row>
    <row r="866">
      <c r="B866" s="20"/>
      <c r="D866" s="20"/>
      <c r="E866" s="33"/>
      <c r="F866" s="33"/>
      <c r="G866" s="33"/>
      <c r="H866" s="33"/>
      <c r="I866" s="33"/>
      <c r="J866" s="225"/>
      <c r="K866" s="225"/>
      <c r="L866" s="33"/>
    </row>
    <row r="867">
      <c r="B867" s="20"/>
      <c r="D867" s="20"/>
      <c r="E867" s="33"/>
      <c r="F867" s="33"/>
      <c r="G867" s="33"/>
      <c r="H867" s="33"/>
      <c r="I867" s="33"/>
      <c r="J867" s="225"/>
      <c r="K867" s="225"/>
      <c r="L867" s="33"/>
    </row>
    <row r="868">
      <c r="B868" s="20"/>
      <c r="D868" s="20"/>
      <c r="E868" s="33"/>
      <c r="F868" s="33"/>
      <c r="G868" s="33"/>
      <c r="H868" s="33"/>
      <c r="I868" s="33"/>
      <c r="J868" s="225"/>
      <c r="K868" s="225"/>
      <c r="L868" s="33"/>
    </row>
    <row r="869">
      <c r="B869" s="20"/>
      <c r="D869" s="20"/>
      <c r="E869" s="33"/>
      <c r="F869" s="33"/>
      <c r="G869" s="33"/>
      <c r="H869" s="33"/>
      <c r="I869" s="33"/>
      <c r="J869" s="225"/>
      <c r="K869" s="225"/>
      <c r="L869" s="33"/>
    </row>
    <row r="870">
      <c r="B870" s="20"/>
      <c r="D870" s="20"/>
      <c r="E870" s="33"/>
      <c r="F870" s="33"/>
      <c r="G870" s="33"/>
      <c r="H870" s="33"/>
      <c r="I870" s="33"/>
      <c r="J870" s="225"/>
      <c r="K870" s="225"/>
      <c r="L870" s="33"/>
    </row>
    <row r="871">
      <c r="B871" s="20"/>
      <c r="D871" s="20"/>
      <c r="E871" s="33"/>
      <c r="F871" s="33"/>
      <c r="G871" s="33"/>
      <c r="H871" s="33"/>
      <c r="I871" s="33"/>
      <c r="J871" s="225"/>
      <c r="K871" s="225"/>
      <c r="L871" s="33"/>
    </row>
    <row r="872">
      <c r="B872" s="20"/>
      <c r="D872" s="20"/>
      <c r="E872" s="33"/>
      <c r="F872" s="33"/>
      <c r="G872" s="33"/>
      <c r="H872" s="33"/>
      <c r="I872" s="33"/>
      <c r="J872" s="225"/>
      <c r="K872" s="225"/>
      <c r="L872" s="33"/>
    </row>
    <row r="873">
      <c r="B873" s="20"/>
      <c r="D873" s="20"/>
      <c r="E873" s="33"/>
      <c r="F873" s="33"/>
      <c r="G873" s="33"/>
      <c r="H873" s="33"/>
      <c r="I873" s="33"/>
      <c r="J873" s="225"/>
      <c r="K873" s="225"/>
      <c r="L873" s="33"/>
    </row>
    <row r="874">
      <c r="B874" s="20"/>
      <c r="D874" s="20"/>
      <c r="E874" s="33"/>
      <c r="F874" s="33"/>
      <c r="G874" s="33"/>
      <c r="H874" s="33"/>
      <c r="I874" s="33"/>
      <c r="J874" s="225"/>
      <c r="K874" s="225"/>
      <c r="L874" s="33"/>
    </row>
    <row r="875">
      <c r="B875" s="20"/>
      <c r="D875" s="20"/>
      <c r="E875" s="33"/>
      <c r="F875" s="33"/>
      <c r="G875" s="33"/>
      <c r="H875" s="33"/>
      <c r="I875" s="33"/>
      <c r="J875" s="225"/>
      <c r="K875" s="225"/>
      <c r="L875" s="33"/>
    </row>
    <row r="876">
      <c r="B876" s="20"/>
      <c r="D876" s="20"/>
      <c r="E876" s="33"/>
      <c r="F876" s="33"/>
      <c r="G876" s="33"/>
      <c r="H876" s="33"/>
      <c r="I876" s="33"/>
      <c r="J876" s="225"/>
      <c r="K876" s="225"/>
      <c r="L876" s="33"/>
    </row>
    <row r="877">
      <c r="B877" s="20"/>
      <c r="D877" s="20"/>
      <c r="E877" s="33"/>
      <c r="F877" s="33"/>
      <c r="G877" s="33"/>
      <c r="H877" s="33"/>
      <c r="I877" s="33"/>
      <c r="J877" s="225"/>
      <c r="K877" s="225"/>
      <c r="L877" s="33"/>
    </row>
    <row r="878">
      <c r="B878" s="20"/>
      <c r="D878" s="20"/>
      <c r="E878" s="33"/>
      <c r="F878" s="33"/>
      <c r="G878" s="33"/>
      <c r="H878" s="33"/>
      <c r="I878" s="33"/>
      <c r="J878" s="225"/>
      <c r="K878" s="225"/>
      <c r="L878" s="33"/>
    </row>
    <row r="879">
      <c r="B879" s="20"/>
      <c r="D879" s="20"/>
      <c r="E879" s="33"/>
      <c r="F879" s="33"/>
      <c r="G879" s="33"/>
      <c r="H879" s="33"/>
      <c r="I879" s="33"/>
      <c r="J879" s="225"/>
      <c r="K879" s="225"/>
      <c r="L879" s="33"/>
    </row>
    <row r="880">
      <c r="B880" s="20"/>
      <c r="D880" s="20"/>
      <c r="E880" s="33"/>
      <c r="F880" s="33"/>
      <c r="G880" s="33"/>
      <c r="H880" s="33"/>
      <c r="I880" s="33"/>
      <c r="J880" s="225"/>
      <c r="K880" s="225"/>
      <c r="L880" s="33"/>
    </row>
    <row r="881">
      <c r="B881" s="20"/>
      <c r="D881" s="20"/>
      <c r="E881" s="33"/>
      <c r="F881" s="33"/>
      <c r="G881" s="33"/>
      <c r="H881" s="33"/>
      <c r="I881" s="33"/>
      <c r="J881" s="225"/>
      <c r="K881" s="225"/>
      <c r="L881" s="33"/>
    </row>
    <row r="882">
      <c r="B882" s="20"/>
      <c r="D882" s="20"/>
      <c r="E882" s="33"/>
      <c r="F882" s="33"/>
      <c r="G882" s="33"/>
      <c r="H882" s="33"/>
      <c r="I882" s="33"/>
      <c r="J882" s="225"/>
      <c r="K882" s="225"/>
      <c r="L882" s="33"/>
    </row>
    <row r="883">
      <c r="B883" s="20"/>
      <c r="D883" s="20"/>
      <c r="E883" s="33"/>
      <c r="F883" s="33"/>
      <c r="G883" s="33"/>
      <c r="H883" s="33"/>
      <c r="I883" s="33"/>
      <c r="J883" s="225"/>
      <c r="K883" s="225"/>
      <c r="L883" s="33"/>
    </row>
    <row r="884">
      <c r="B884" s="20"/>
      <c r="D884" s="20"/>
      <c r="E884" s="33"/>
      <c r="F884" s="33"/>
      <c r="G884" s="33"/>
      <c r="H884" s="33"/>
      <c r="I884" s="33"/>
      <c r="J884" s="225"/>
      <c r="K884" s="225"/>
      <c r="L884" s="33"/>
    </row>
    <row r="885">
      <c r="B885" s="20"/>
      <c r="D885" s="20"/>
      <c r="E885" s="33"/>
      <c r="F885" s="33"/>
      <c r="G885" s="33"/>
      <c r="H885" s="33"/>
      <c r="I885" s="33"/>
      <c r="J885" s="225"/>
      <c r="K885" s="225"/>
      <c r="L885" s="33"/>
    </row>
    <row r="886">
      <c r="B886" s="20"/>
      <c r="D886" s="20"/>
      <c r="E886" s="33"/>
      <c r="F886" s="33"/>
      <c r="G886" s="33"/>
      <c r="H886" s="33"/>
      <c r="I886" s="33"/>
      <c r="J886" s="225"/>
      <c r="K886" s="225"/>
      <c r="L886" s="33"/>
    </row>
    <row r="887">
      <c r="B887" s="20"/>
      <c r="D887" s="20"/>
      <c r="E887" s="33"/>
      <c r="F887" s="33"/>
      <c r="G887" s="33"/>
      <c r="H887" s="33"/>
      <c r="I887" s="33"/>
      <c r="J887" s="225"/>
      <c r="K887" s="225"/>
      <c r="L887" s="33"/>
    </row>
    <row r="888">
      <c r="B888" s="20"/>
      <c r="D888" s="20"/>
      <c r="E888" s="33"/>
      <c r="F888" s="33"/>
      <c r="G888" s="33"/>
      <c r="H888" s="33"/>
      <c r="I888" s="33"/>
      <c r="J888" s="225"/>
      <c r="K888" s="225"/>
      <c r="L888" s="33"/>
    </row>
    <row r="889">
      <c r="B889" s="20"/>
      <c r="D889" s="20"/>
      <c r="E889" s="33"/>
      <c r="F889" s="33"/>
      <c r="G889" s="33"/>
      <c r="H889" s="33"/>
      <c r="I889" s="33"/>
      <c r="J889" s="225"/>
      <c r="K889" s="225"/>
      <c r="L889" s="33"/>
    </row>
    <row r="890">
      <c r="B890" s="20"/>
      <c r="D890" s="20"/>
      <c r="E890" s="33"/>
      <c r="F890" s="33"/>
      <c r="G890" s="33"/>
      <c r="H890" s="33"/>
      <c r="I890" s="33"/>
      <c r="J890" s="225"/>
      <c r="K890" s="225"/>
      <c r="L890" s="33"/>
    </row>
    <row r="891">
      <c r="B891" s="20"/>
      <c r="D891" s="20"/>
      <c r="E891" s="33"/>
      <c r="F891" s="33"/>
      <c r="G891" s="33"/>
      <c r="H891" s="33"/>
      <c r="I891" s="33"/>
      <c r="J891" s="225"/>
      <c r="K891" s="225"/>
      <c r="L891" s="33"/>
    </row>
    <row r="892">
      <c r="B892" s="20"/>
      <c r="D892" s="20"/>
      <c r="E892" s="33"/>
      <c r="F892" s="33"/>
      <c r="G892" s="33"/>
      <c r="H892" s="33"/>
      <c r="I892" s="33"/>
      <c r="J892" s="225"/>
      <c r="K892" s="225"/>
      <c r="L892" s="33"/>
    </row>
    <row r="893">
      <c r="B893" s="20"/>
      <c r="D893" s="20"/>
      <c r="E893" s="33"/>
      <c r="F893" s="33"/>
      <c r="G893" s="33"/>
      <c r="H893" s="33"/>
      <c r="I893" s="33"/>
      <c r="J893" s="225"/>
      <c r="K893" s="225"/>
      <c r="L893" s="33"/>
    </row>
    <row r="894">
      <c r="B894" s="20"/>
      <c r="D894" s="20"/>
      <c r="E894" s="33"/>
      <c r="F894" s="33"/>
      <c r="G894" s="33"/>
      <c r="H894" s="33"/>
      <c r="I894" s="33"/>
      <c r="J894" s="225"/>
      <c r="K894" s="225"/>
      <c r="L894" s="33"/>
    </row>
    <row r="895">
      <c r="B895" s="20"/>
      <c r="D895" s="20"/>
      <c r="E895" s="33"/>
      <c r="F895" s="33"/>
      <c r="G895" s="33"/>
      <c r="H895" s="33"/>
      <c r="I895" s="33"/>
      <c r="J895" s="225"/>
      <c r="K895" s="225"/>
      <c r="L895" s="33"/>
    </row>
    <row r="896">
      <c r="B896" s="20"/>
      <c r="D896" s="20"/>
      <c r="E896" s="33"/>
      <c r="F896" s="33"/>
      <c r="G896" s="33"/>
      <c r="H896" s="33"/>
      <c r="I896" s="33"/>
      <c r="J896" s="225"/>
      <c r="K896" s="225"/>
      <c r="L896" s="33"/>
    </row>
    <row r="897">
      <c r="B897" s="20"/>
      <c r="D897" s="20"/>
      <c r="E897" s="33"/>
      <c r="F897" s="33"/>
      <c r="G897" s="33"/>
      <c r="H897" s="33"/>
      <c r="I897" s="33"/>
      <c r="J897" s="225"/>
      <c r="K897" s="225"/>
      <c r="L897" s="33"/>
    </row>
    <row r="898">
      <c r="B898" s="20"/>
      <c r="D898" s="20"/>
      <c r="E898" s="33"/>
      <c r="F898" s="33"/>
      <c r="G898" s="33"/>
      <c r="H898" s="33"/>
      <c r="I898" s="33"/>
      <c r="J898" s="225"/>
      <c r="K898" s="225"/>
      <c r="L898" s="33"/>
    </row>
    <row r="899">
      <c r="B899" s="20"/>
      <c r="D899" s="20"/>
      <c r="E899" s="33"/>
      <c r="F899" s="33"/>
      <c r="G899" s="33"/>
      <c r="H899" s="33"/>
      <c r="I899" s="33"/>
      <c r="J899" s="225"/>
      <c r="K899" s="225"/>
      <c r="L899" s="33"/>
    </row>
    <row r="900">
      <c r="B900" s="20"/>
      <c r="D900" s="20"/>
      <c r="E900" s="33"/>
      <c r="F900" s="33"/>
      <c r="G900" s="33"/>
      <c r="H900" s="33"/>
      <c r="I900" s="33"/>
      <c r="J900" s="225"/>
      <c r="K900" s="225"/>
      <c r="L900" s="33"/>
    </row>
    <row r="901">
      <c r="B901" s="20"/>
      <c r="D901" s="20"/>
      <c r="E901" s="33"/>
      <c r="F901" s="33"/>
      <c r="G901" s="33"/>
      <c r="H901" s="33"/>
      <c r="I901" s="33"/>
      <c r="J901" s="225"/>
      <c r="K901" s="225"/>
      <c r="L901" s="33"/>
    </row>
    <row r="902">
      <c r="B902" s="20"/>
      <c r="D902" s="20"/>
      <c r="E902" s="33"/>
      <c r="F902" s="33"/>
      <c r="G902" s="33"/>
      <c r="H902" s="33"/>
      <c r="I902" s="33"/>
      <c r="J902" s="225"/>
      <c r="K902" s="225"/>
      <c r="L902" s="33"/>
    </row>
    <row r="903">
      <c r="B903" s="20"/>
      <c r="D903" s="20"/>
      <c r="E903" s="33"/>
      <c r="F903" s="33"/>
      <c r="G903" s="33"/>
      <c r="H903" s="33"/>
      <c r="I903" s="33"/>
      <c r="J903" s="225"/>
      <c r="K903" s="225"/>
      <c r="L903" s="33"/>
    </row>
    <row r="904">
      <c r="B904" s="20"/>
      <c r="D904" s="20"/>
      <c r="E904" s="33"/>
      <c r="F904" s="33"/>
      <c r="G904" s="33"/>
      <c r="H904" s="33"/>
      <c r="I904" s="33"/>
      <c r="J904" s="225"/>
      <c r="K904" s="225"/>
      <c r="L904" s="33"/>
    </row>
    <row r="905">
      <c r="B905" s="20"/>
      <c r="D905" s="20"/>
      <c r="E905" s="33"/>
      <c r="F905" s="33"/>
      <c r="G905" s="33"/>
      <c r="H905" s="33"/>
      <c r="I905" s="33"/>
      <c r="J905" s="225"/>
      <c r="K905" s="225"/>
      <c r="L905" s="33"/>
    </row>
    <row r="906">
      <c r="B906" s="20"/>
      <c r="D906" s="20"/>
      <c r="E906" s="33"/>
      <c r="F906" s="33"/>
      <c r="G906" s="33"/>
      <c r="H906" s="33"/>
      <c r="I906" s="33"/>
      <c r="J906" s="225"/>
      <c r="K906" s="225"/>
      <c r="L906" s="33"/>
    </row>
    <row r="907">
      <c r="B907" s="20"/>
      <c r="D907" s="20"/>
      <c r="E907" s="33"/>
      <c r="F907" s="33"/>
      <c r="G907" s="33"/>
      <c r="H907" s="33"/>
      <c r="I907" s="33"/>
      <c r="J907" s="225"/>
      <c r="K907" s="225"/>
      <c r="L907" s="33"/>
    </row>
    <row r="908">
      <c r="B908" s="20"/>
      <c r="D908" s="20"/>
      <c r="E908" s="33"/>
      <c r="F908" s="33"/>
      <c r="G908" s="33"/>
      <c r="H908" s="33"/>
      <c r="I908" s="33"/>
      <c r="J908" s="225"/>
      <c r="K908" s="225"/>
      <c r="L908" s="33"/>
    </row>
    <row r="909">
      <c r="B909" s="20"/>
      <c r="D909" s="20"/>
      <c r="E909" s="33"/>
      <c r="F909" s="33"/>
      <c r="G909" s="33"/>
      <c r="H909" s="33"/>
      <c r="I909" s="33"/>
      <c r="J909" s="225"/>
      <c r="K909" s="225"/>
      <c r="L909" s="33"/>
    </row>
    <row r="910">
      <c r="B910" s="20"/>
      <c r="D910" s="20"/>
      <c r="E910" s="33"/>
      <c r="F910" s="33"/>
      <c r="G910" s="33"/>
      <c r="H910" s="33"/>
      <c r="I910" s="33"/>
      <c r="J910" s="225"/>
      <c r="K910" s="225"/>
      <c r="L910" s="33"/>
    </row>
    <row r="911">
      <c r="B911" s="20"/>
      <c r="D911" s="20"/>
      <c r="E911" s="33"/>
      <c r="F911" s="33"/>
      <c r="G911" s="33"/>
      <c r="H911" s="33"/>
      <c r="I911" s="33"/>
      <c r="J911" s="225"/>
      <c r="K911" s="225"/>
      <c r="L911" s="33"/>
    </row>
    <row r="912">
      <c r="B912" s="20"/>
      <c r="D912" s="20"/>
      <c r="E912" s="33"/>
      <c r="F912" s="33"/>
      <c r="G912" s="33"/>
      <c r="H912" s="33"/>
      <c r="I912" s="33"/>
      <c r="J912" s="225"/>
      <c r="K912" s="225"/>
      <c r="L912" s="33"/>
    </row>
    <row r="913">
      <c r="B913" s="20"/>
      <c r="D913" s="20"/>
      <c r="E913" s="33"/>
      <c r="F913" s="33"/>
      <c r="G913" s="33"/>
      <c r="H913" s="33"/>
      <c r="I913" s="33"/>
      <c r="J913" s="225"/>
      <c r="K913" s="225"/>
      <c r="L913" s="33"/>
    </row>
    <row r="914">
      <c r="B914" s="20"/>
      <c r="D914" s="20"/>
      <c r="E914" s="33"/>
      <c r="F914" s="33"/>
      <c r="G914" s="33"/>
      <c r="H914" s="33"/>
      <c r="I914" s="33"/>
      <c r="J914" s="225"/>
      <c r="K914" s="225"/>
      <c r="L914" s="33"/>
    </row>
    <row r="915">
      <c r="B915" s="20"/>
      <c r="D915" s="20"/>
      <c r="E915" s="33"/>
      <c r="F915" s="33"/>
      <c r="G915" s="33"/>
      <c r="H915" s="33"/>
      <c r="I915" s="33"/>
      <c r="J915" s="225"/>
      <c r="K915" s="225"/>
      <c r="L915" s="33"/>
    </row>
    <row r="916">
      <c r="B916" s="20"/>
      <c r="D916" s="20"/>
      <c r="E916" s="33"/>
      <c r="F916" s="33"/>
      <c r="G916" s="33"/>
      <c r="H916" s="33"/>
      <c r="I916" s="33"/>
      <c r="J916" s="225"/>
      <c r="K916" s="225"/>
      <c r="L916" s="33"/>
    </row>
    <row r="917">
      <c r="B917" s="20"/>
      <c r="D917" s="20"/>
      <c r="E917" s="33"/>
      <c r="F917" s="33"/>
      <c r="G917" s="33"/>
      <c r="H917" s="33"/>
      <c r="I917" s="33"/>
      <c r="J917" s="225"/>
      <c r="K917" s="225"/>
      <c r="L917" s="33"/>
    </row>
    <row r="918">
      <c r="B918" s="20"/>
      <c r="D918" s="20"/>
      <c r="E918" s="33"/>
      <c r="F918" s="33"/>
      <c r="G918" s="33"/>
      <c r="H918" s="33"/>
      <c r="I918" s="33"/>
      <c r="J918" s="225"/>
      <c r="K918" s="225"/>
      <c r="L918" s="33"/>
    </row>
    <row r="919">
      <c r="B919" s="20"/>
      <c r="D919" s="20"/>
      <c r="E919" s="33"/>
      <c r="F919" s="33"/>
      <c r="G919" s="33"/>
      <c r="H919" s="33"/>
      <c r="I919" s="33"/>
      <c r="J919" s="225"/>
      <c r="K919" s="225"/>
      <c r="L919" s="33"/>
    </row>
    <row r="920">
      <c r="B920" s="20"/>
      <c r="D920" s="20"/>
      <c r="E920" s="33"/>
      <c r="F920" s="33"/>
      <c r="G920" s="33"/>
      <c r="H920" s="33"/>
      <c r="I920" s="33"/>
      <c r="J920" s="225"/>
      <c r="K920" s="225"/>
      <c r="L920" s="33"/>
    </row>
    <row r="921">
      <c r="B921" s="20"/>
      <c r="D921" s="20"/>
      <c r="E921" s="33"/>
      <c r="F921" s="33"/>
      <c r="G921" s="33"/>
      <c r="H921" s="33"/>
      <c r="I921" s="33"/>
      <c r="J921" s="225"/>
      <c r="K921" s="225"/>
      <c r="L921" s="33"/>
    </row>
    <row r="922">
      <c r="B922" s="20"/>
      <c r="D922" s="20"/>
      <c r="E922" s="33"/>
      <c r="F922" s="33"/>
      <c r="G922" s="33"/>
      <c r="H922" s="33"/>
      <c r="I922" s="33"/>
      <c r="J922" s="225"/>
      <c r="K922" s="225"/>
      <c r="L922" s="33"/>
    </row>
    <row r="923">
      <c r="B923" s="20"/>
      <c r="D923" s="20"/>
      <c r="E923" s="33"/>
      <c r="F923" s="33"/>
      <c r="G923" s="33"/>
      <c r="H923" s="33"/>
      <c r="I923" s="33"/>
      <c r="J923" s="225"/>
      <c r="K923" s="225"/>
      <c r="L923" s="33"/>
    </row>
    <row r="924">
      <c r="B924" s="20"/>
      <c r="D924" s="20"/>
      <c r="E924" s="33"/>
      <c r="F924" s="33"/>
      <c r="G924" s="33"/>
      <c r="H924" s="33"/>
      <c r="I924" s="33"/>
      <c r="J924" s="225"/>
      <c r="K924" s="225"/>
      <c r="L924" s="33"/>
    </row>
    <row r="925">
      <c r="B925" s="20"/>
      <c r="D925" s="20"/>
      <c r="E925" s="33"/>
      <c r="F925" s="33"/>
      <c r="G925" s="33"/>
      <c r="H925" s="33"/>
      <c r="I925" s="33"/>
      <c r="J925" s="225"/>
      <c r="K925" s="225"/>
      <c r="L925" s="33"/>
    </row>
    <row r="926">
      <c r="B926" s="20"/>
      <c r="D926" s="20"/>
      <c r="E926" s="33"/>
      <c r="F926" s="33"/>
      <c r="G926" s="33"/>
      <c r="H926" s="33"/>
      <c r="I926" s="33"/>
      <c r="J926" s="225"/>
      <c r="K926" s="225"/>
      <c r="L926" s="33"/>
    </row>
    <row r="927">
      <c r="B927" s="20"/>
      <c r="D927" s="20"/>
      <c r="E927" s="33"/>
      <c r="F927" s="33"/>
      <c r="G927" s="33"/>
      <c r="H927" s="33"/>
      <c r="I927" s="33"/>
      <c r="J927" s="225"/>
      <c r="K927" s="225"/>
      <c r="L927" s="33"/>
    </row>
    <row r="928">
      <c r="B928" s="20"/>
      <c r="D928" s="20"/>
      <c r="E928" s="33"/>
      <c r="F928" s="33"/>
      <c r="G928" s="33"/>
      <c r="H928" s="33"/>
      <c r="I928" s="33"/>
      <c r="J928" s="225"/>
      <c r="K928" s="225"/>
      <c r="L928" s="33"/>
    </row>
    <row r="929">
      <c r="B929" s="20"/>
      <c r="D929" s="20"/>
      <c r="E929" s="33"/>
      <c r="F929" s="33"/>
      <c r="G929" s="33"/>
      <c r="H929" s="33"/>
      <c r="I929" s="33"/>
      <c r="J929" s="225"/>
      <c r="K929" s="225"/>
      <c r="L929" s="33"/>
    </row>
    <row r="930">
      <c r="B930" s="20"/>
      <c r="D930" s="20"/>
      <c r="E930" s="33"/>
      <c r="F930" s="33"/>
      <c r="G930" s="33"/>
      <c r="H930" s="33"/>
      <c r="I930" s="33"/>
      <c r="J930" s="225"/>
      <c r="K930" s="225"/>
      <c r="L930" s="33"/>
    </row>
    <row r="931">
      <c r="B931" s="20"/>
      <c r="D931" s="20"/>
      <c r="E931" s="33"/>
      <c r="F931" s="33"/>
      <c r="G931" s="33"/>
      <c r="H931" s="33"/>
      <c r="I931" s="33"/>
      <c r="J931" s="225"/>
      <c r="K931" s="225"/>
      <c r="L931" s="33"/>
    </row>
    <row r="932">
      <c r="B932" s="20"/>
      <c r="D932" s="20"/>
      <c r="E932" s="33"/>
      <c r="F932" s="33"/>
      <c r="G932" s="33"/>
      <c r="H932" s="33"/>
      <c r="I932" s="33"/>
      <c r="J932" s="225"/>
      <c r="K932" s="225"/>
      <c r="L932" s="33"/>
    </row>
    <row r="933">
      <c r="B933" s="20"/>
      <c r="D933" s="20"/>
      <c r="E933" s="33"/>
      <c r="F933" s="33"/>
      <c r="G933" s="33"/>
      <c r="H933" s="33"/>
      <c r="I933" s="33"/>
      <c r="J933" s="225"/>
      <c r="K933" s="225"/>
      <c r="L933" s="33"/>
    </row>
    <row r="934">
      <c r="B934" s="20"/>
      <c r="D934" s="20"/>
      <c r="E934" s="33"/>
      <c r="F934" s="33"/>
      <c r="G934" s="33"/>
      <c r="H934" s="33"/>
      <c r="I934" s="33"/>
      <c r="J934" s="225"/>
      <c r="K934" s="225"/>
      <c r="L934" s="33"/>
    </row>
    <row r="935">
      <c r="B935" s="20"/>
      <c r="D935" s="20"/>
      <c r="E935" s="33"/>
      <c r="F935" s="33"/>
      <c r="G935" s="33"/>
      <c r="H935" s="33"/>
      <c r="I935" s="33"/>
      <c r="J935" s="225"/>
      <c r="K935" s="225"/>
      <c r="L935" s="33"/>
    </row>
    <row r="936">
      <c r="B936" s="20"/>
      <c r="D936" s="20"/>
      <c r="E936" s="33"/>
      <c r="F936" s="33"/>
      <c r="G936" s="33"/>
      <c r="H936" s="33"/>
      <c r="I936" s="33"/>
      <c r="J936" s="225"/>
      <c r="K936" s="225"/>
      <c r="L936" s="33"/>
    </row>
    <row r="937">
      <c r="B937" s="20"/>
      <c r="D937" s="20"/>
      <c r="E937" s="33"/>
      <c r="F937" s="33"/>
      <c r="G937" s="33"/>
      <c r="H937" s="33"/>
      <c r="I937" s="33"/>
      <c r="J937" s="225"/>
      <c r="K937" s="225"/>
      <c r="L937" s="33"/>
    </row>
    <row r="938">
      <c r="B938" s="20"/>
      <c r="D938" s="20"/>
      <c r="E938" s="33"/>
      <c r="F938" s="33"/>
      <c r="G938" s="33"/>
      <c r="H938" s="33"/>
      <c r="I938" s="33"/>
      <c r="J938" s="225"/>
      <c r="K938" s="225"/>
      <c r="L938" s="33"/>
    </row>
    <row r="939">
      <c r="B939" s="20"/>
      <c r="D939" s="20"/>
      <c r="E939" s="33"/>
      <c r="F939" s="33"/>
      <c r="G939" s="33"/>
      <c r="H939" s="33"/>
      <c r="I939" s="33"/>
      <c r="J939" s="225"/>
      <c r="K939" s="225"/>
      <c r="L939" s="33"/>
    </row>
    <row r="940">
      <c r="B940" s="20"/>
      <c r="D940" s="20"/>
      <c r="E940" s="33"/>
      <c r="F940" s="33"/>
      <c r="G940" s="33"/>
      <c r="H940" s="33"/>
      <c r="I940" s="33"/>
      <c r="J940" s="225"/>
      <c r="K940" s="225"/>
      <c r="L940" s="33"/>
    </row>
    <row r="941">
      <c r="B941" s="20"/>
      <c r="D941" s="20"/>
      <c r="E941" s="33"/>
      <c r="F941" s="33"/>
      <c r="G941" s="33"/>
      <c r="H941" s="33"/>
      <c r="I941" s="33"/>
      <c r="J941" s="225"/>
      <c r="K941" s="225"/>
      <c r="L941" s="33"/>
    </row>
    <row r="942">
      <c r="B942" s="20"/>
      <c r="D942" s="20"/>
      <c r="E942" s="33"/>
      <c r="F942" s="33"/>
      <c r="G942" s="33"/>
      <c r="H942" s="33"/>
      <c r="I942" s="33"/>
      <c r="J942" s="225"/>
      <c r="K942" s="225"/>
      <c r="L942" s="33"/>
    </row>
    <row r="943">
      <c r="B943" s="20"/>
      <c r="D943" s="20"/>
      <c r="E943" s="33"/>
      <c r="F943" s="33"/>
      <c r="G943" s="33"/>
      <c r="H943" s="33"/>
      <c r="I943" s="33"/>
      <c r="J943" s="225"/>
      <c r="K943" s="225"/>
      <c r="L943" s="33"/>
    </row>
    <row r="944">
      <c r="B944" s="20"/>
      <c r="D944" s="20"/>
      <c r="E944" s="33"/>
      <c r="F944" s="33"/>
      <c r="G944" s="33"/>
      <c r="H944" s="33"/>
      <c r="I944" s="33"/>
      <c r="J944" s="225"/>
      <c r="K944" s="225"/>
      <c r="L944" s="33"/>
    </row>
    <row r="945">
      <c r="B945" s="20"/>
      <c r="D945" s="20"/>
      <c r="E945" s="33"/>
      <c r="F945" s="33"/>
      <c r="G945" s="33"/>
      <c r="H945" s="33"/>
      <c r="I945" s="33"/>
      <c r="J945" s="225"/>
      <c r="K945" s="225"/>
      <c r="L945" s="33"/>
    </row>
    <row r="946">
      <c r="B946" s="20"/>
      <c r="D946" s="20"/>
      <c r="E946" s="33"/>
      <c r="F946" s="33"/>
      <c r="G946" s="33"/>
      <c r="H946" s="33"/>
      <c r="I946" s="33"/>
      <c r="J946" s="225"/>
      <c r="K946" s="225"/>
      <c r="L946" s="33"/>
    </row>
    <row r="947">
      <c r="B947" s="20"/>
      <c r="D947" s="20"/>
      <c r="E947" s="33"/>
      <c r="F947" s="33"/>
      <c r="G947" s="33"/>
      <c r="H947" s="33"/>
      <c r="I947" s="33"/>
      <c r="J947" s="225"/>
      <c r="K947" s="225"/>
      <c r="L947" s="33"/>
    </row>
    <row r="948">
      <c r="B948" s="20"/>
      <c r="D948" s="20"/>
      <c r="E948" s="33"/>
      <c r="F948" s="33"/>
      <c r="G948" s="33"/>
      <c r="H948" s="33"/>
      <c r="I948" s="33"/>
      <c r="J948" s="225"/>
      <c r="K948" s="225"/>
      <c r="L948" s="33"/>
    </row>
    <row r="949">
      <c r="B949" s="20"/>
      <c r="D949" s="20"/>
      <c r="E949" s="33"/>
      <c r="F949" s="33"/>
      <c r="G949" s="33"/>
      <c r="H949" s="33"/>
      <c r="I949" s="33"/>
      <c r="J949" s="225"/>
      <c r="K949" s="225"/>
      <c r="L949" s="33"/>
    </row>
    <row r="950">
      <c r="B950" s="20"/>
      <c r="D950" s="20"/>
      <c r="E950" s="33"/>
      <c r="F950" s="33"/>
      <c r="G950" s="33"/>
      <c r="H950" s="33"/>
      <c r="I950" s="33"/>
      <c r="J950" s="225"/>
      <c r="K950" s="225"/>
      <c r="L950" s="33"/>
    </row>
    <row r="951">
      <c r="B951" s="20"/>
      <c r="D951" s="20"/>
      <c r="E951" s="33"/>
      <c r="F951" s="33"/>
      <c r="G951" s="33"/>
      <c r="H951" s="33"/>
      <c r="I951" s="33"/>
      <c r="J951" s="225"/>
      <c r="K951" s="225"/>
      <c r="L951" s="33"/>
    </row>
    <row r="952">
      <c r="B952" s="20"/>
      <c r="D952" s="20"/>
      <c r="E952" s="33"/>
      <c r="F952" s="33"/>
      <c r="G952" s="33"/>
      <c r="H952" s="33"/>
      <c r="I952" s="33"/>
      <c r="J952" s="225"/>
      <c r="K952" s="225"/>
      <c r="L952" s="33"/>
    </row>
    <row r="953">
      <c r="B953" s="20"/>
      <c r="D953" s="20"/>
      <c r="E953" s="33"/>
      <c r="F953" s="33"/>
      <c r="G953" s="33"/>
      <c r="H953" s="33"/>
      <c r="I953" s="33"/>
      <c r="J953" s="225"/>
      <c r="K953" s="225"/>
      <c r="L953" s="33"/>
    </row>
    <row r="954">
      <c r="B954" s="20"/>
      <c r="D954" s="20"/>
      <c r="E954" s="33"/>
      <c r="F954" s="33"/>
      <c r="G954" s="33"/>
      <c r="H954" s="33"/>
      <c r="I954" s="33"/>
      <c r="J954" s="225"/>
      <c r="K954" s="225"/>
      <c r="L954" s="33"/>
    </row>
    <row r="955">
      <c r="B955" s="20"/>
      <c r="D955" s="20"/>
      <c r="E955" s="33"/>
      <c r="F955" s="33"/>
      <c r="G955" s="33"/>
      <c r="H955" s="33"/>
      <c r="I955" s="33"/>
      <c r="J955" s="225"/>
      <c r="K955" s="225"/>
      <c r="L955" s="33"/>
    </row>
    <row r="956">
      <c r="B956" s="20"/>
      <c r="D956" s="20"/>
      <c r="E956" s="33"/>
      <c r="F956" s="33"/>
      <c r="G956" s="33"/>
      <c r="H956" s="33"/>
      <c r="I956" s="33"/>
      <c r="J956" s="225"/>
      <c r="K956" s="225"/>
      <c r="L956" s="33"/>
    </row>
    <row r="957">
      <c r="B957" s="20"/>
      <c r="D957" s="20"/>
      <c r="E957" s="33"/>
      <c r="F957" s="33"/>
      <c r="G957" s="33"/>
      <c r="H957" s="33"/>
      <c r="I957" s="33"/>
      <c r="J957" s="225"/>
      <c r="K957" s="225"/>
      <c r="L957" s="33"/>
    </row>
    <row r="958">
      <c r="B958" s="20"/>
      <c r="D958" s="20"/>
      <c r="E958" s="33"/>
      <c r="F958" s="33"/>
      <c r="G958" s="33"/>
      <c r="H958" s="33"/>
      <c r="I958" s="33"/>
      <c r="J958" s="225"/>
      <c r="K958" s="225"/>
      <c r="L958" s="33"/>
    </row>
    <row r="959">
      <c r="B959" s="20"/>
      <c r="D959" s="20"/>
      <c r="E959" s="33"/>
      <c r="F959" s="33"/>
      <c r="G959" s="33"/>
      <c r="H959" s="33"/>
      <c r="I959" s="33"/>
      <c r="J959" s="225"/>
      <c r="K959" s="225"/>
      <c r="L959" s="33"/>
    </row>
    <row r="960">
      <c r="B960" s="20"/>
      <c r="D960" s="20"/>
      <c r="E960" s="33"/>
      <c r="F960" s="33"/>
      <c r="G960" s="33"/>
      <c r="H960" s="33"/>
      <c r="I960" s="33"/>
      <c r="J960" s="225"/>
      <c r="K960" s="225"/>
      <c r="L960" s="33"/>
    </row>
    <row r="961">
      <c r="B961" s="20"/>
      <c r="D961" s="20"/>
      <c r="E961" s="33"/>
      <c r="F961" s="33"/>
      <c r="G961" s="33"/>
      <c r="H961" s="33"/>
      <c r="I961" s="33"/>
      <c r="J961" s="225"/>
      <c r="K961" s="225"/>
      <c r="L961" s="33"/>
    </row>
    <row r="962">
      <c r="B962" s="20"/>
      <c r="D962" s="20"/>
      <c r="E962" s="33"/>
      <c r="F962" s="33"/>
      <c r="G962" s="33"/>
      <c r="H962" s="33"/>
      <c r="I962" s="33"/>
      <c r="J962" s="225"/>
      <c r="K962" s="225"/>
      <c r="L962" s="33"/>
    </row>
    <row r="963">
      <c r="B963" s="20"/>
      <c r="D963" s="20"/>
      <c r="E963" s="33"/>
      <c r="F963" s="33"/>
      <c r="G963" s="33"/>
      <c r="H963" s="33"/>
      <c r="I963" s="33"/>
      <c r="J963" s="225"/>
      <c r="K963" s="225"/>
      <c r="L963" s="33"/>
    </row>
    <row r="964">
      <c r="B964" s="20"/>
      <c r="D964" s="20"/>
      <c r="E964" s="33"/>
      <c r="F964" s="33"/>
      <c r="G964" s="33"/>
      <c r="H964" s="33"/>
      <c r="I964" s="33"/>
      <c r="J964" s="225"/>
      <c r="K964" s="225"/>
      <c r="L964" s="33"/>
    </row>
    <row r="965">
      <c r="B965" s="20"/>
      <c r="D965" s="20"/>
      <c r="E965" s="33"/>
      <c r="F965" s="33"/>
      <c r="G965" s="33"/>
      <c r="H965" s="33"/>
      <c r="I965" s="33"/>
      <c r="J965" s="225"/>
      <c r="K965" s="225"/>
      <c r="L965" s="33"/>
    </row>
    <row r="966">
      <c r="B966" s="20"/>
      <c r="D966" s="20"/>
      <c r="E966" s="33"/>
      <c r="F966" s="33"/>
      <c r="G966" s="33"/>
      <c r="H966" s="33"/>
      <c r="I966" s="33"/>
      <c r="J966" s="225"/>
      <c r="K966" s="225"/>
      <c r="L966" s="33"/>
      <c r="M966" s="225"/>
      <c r="N966" s="33"/>
    </row>
    <row r="967">
      <c r="B967" s="20"/>
      <c r="D967" s="20"/>
      <c r="E967" s="33"/>
      <c r="F967" s="33"/>
      <c r="G967" s="33"/>
      <c r="H967" s="33"/>
      <c r="I967" s="33"/>
      <c r="J967" s="225"/>
      <c r="K967" s="225"/>
      <c r="L967" s="33"/>
      <c r="M967" s="225"/>
      <c r="N967" s="33"/>
    </row>
    <row r="968">
      <c r="B968" s="20"/>
      <c r="D968" s="20"/>
      <c r="E968" s="33"/>
      <c r="F968" s="33"/>
      <c r="G968" s="33"/>
      <c r="H968" s="33"/>
      <c r="I968" s="33"/>
      <c r="J968" s="225"/>
      <c r="K968" s="225"/>
      <c r="L968" s="33"/>
      <c r="M968" s="225"/>
      <c r="N968" s="33"/>
    </row>
  </sheetData>
  <autoFilter ref="$D$1:$O$89">
    <sortState ref="D1:O89">
      <sortCondition ref="L1:L89"/>
    </sortState>
  </autoFilter>
  <conditionalFormatting sqref="H6:J49 K6:K10 F9:G62 K13:K20 E19:E62 C22:D65 K23:K26">
    <cfRule type="cellIs" dxfId="0" priority="1" operator="equal">
      <formula>"Void"</formula>
    </cfRule>
  </conditionalFormatting>
  <conditionalFormatting sqref="H6:J49 K6:K10 F9:G62 K13:K20 E19:E62 C22:D65 K23:K26">
    <cfRule type="cellIs" dxfId="1" priority="2" operator="equal">
      <formula>"Divine"</formula>
    </cfRule>
  </conditionalFormatting>
  <conditionalFormatting sqref="H6:J49 K6:K10 F9:G62 K13:K20 E19:E62 C22:D65 K23:K26">
    <cfRule type="cellIs" dxfId="2" priority="3" operator="equal">
      <formula>"Mortal"</formula>
    </cfRule>
  </conditionalFormatting>
  <conditionalFormatting sqref="H6:J49 K6:K10 F9:G62 K13:K20 E19:E62 C22:D65 K23:K26">
    <cfRule type="cellIs" dxfId="3" priority="4" operator="equal">
      <formula>"Elemental"</formula>
    </cfRule>
  </conditionalFormatting>
  <conditionalFormatting sqref="H6:I13 J6:J12 K6:K10 F9:G15 K13:K20 H16:I23 J16:J22 E19:F26 G19:G25 C22:D28 K23:K26 H26:H33 I26:I29 E29:F36 G29:G35 C32:D38 H36:H39 E39:F42">
    <cfRule type="cellIs" dxfId="4" priority="5" operator="equal">
      <formula>"Nature"</formula>
    </cfRule>
  </conditionalFormatting>
  <conditionalFormatting sqref="F18:I18">
    <cfRule type="cellIs" dxfId="0" priority="6" operator="equal">
      <formula>"Void"</formula>
    </cfRule>
  </conditionalFormatting>
  <conditionalFormatting sqref="F18:I18">
    <cfRule type="cellIs" dxfId="1" priority="7" operator="equal">
      <formula>"Divine"</formula>
    </cfRule>
  </conditionalFormatting>
  <conditionalFormatting sqref="F18:I18">
    <cfRule type="cellIs" dxfId="2" priority="8" operator="equal">
      <formula>"Mortal"</formula>
    </cfRule>
  </conditionalFormatting>
  <conditionalFormatting sqref="F18:I18">
    <cfRule type="cellIs" dxfId="3" priority="9" operator="equal">
      <formula>"Elemental"</formula>
    </cfRule>
  </conditionalFormatting>
  <conditionalFormatting sqref="F18:I18">
    <cfRule type="cellIs" dxfId="4" priority="10" operator="equal">
      <formula>"Nature"</formula>
    </cfRule>
  </conditionalFormatting>
  <conditionalFormatting sqref="F17:I17">
    <cfRule type="cellIs" dxfId="0" priority="11" operator="equal">
      <formula>"Void"</formula>
    </cfRule>
  </conditionalFormatting>
  <conditionalFormatting sqref="F17:I17">
    <cfRule type="cellIs" dxfId="1" priority="12" operator="equal">
      <formula>"Divine"</formula>
    </cfRule>
  </conditionalFormatting>
  <conditionalFormatting sqref="F17:I17">
    <cfRule type="cellIs" dxfId="2" priority="13" operator="equal">
      <formula>"Mortal"</formula>
    </cfRule>
  </conditionalFormatting>
  <conditionalFormatting sqref="F17:I17">
    <cfRule type="cellIs" dxfId="3" priority="14" operator="equal">
      <formula>"Elemental"</formula>
    </cfRule>
  </conditionalFormatting>
  <conditionalFormatting sqref="F17:I17">
    <cfRule type="cellIs" dxfId="4" priority="15" operator="equal">
      <formula>"Nature"</formula>
    </cfRule>
  </conditionalFormatting>
  <conditionalFormatting sqref="F16:I16">
    <cfRule type="cellIs" dxfId="0" priority="16" operator="equal">
      <formula>"Void"</formula>
    </cfRule>
  </conditionalFormatting>
  <conditionalFormatting sqref="F16:I16">
    <cfRule type="cellIs" dxfId="1" priority="17" operator="equal">
      <formula>"Divine"</formula>
    </cfRule>
  </conditionalFormatting>
  <conditionalFormatting sqref="F16:I16">
    <cfRule type="cellIs" dxfId="2" priority="18" operator="equal">
      <formula>"Mortal"</formula>
    </cfRule>
  </conditionalFormatting>
  <conditionalFormatting sqref="F16:I16">
    <cfRule type="cellIs" dxfId="3" priority="19" operator="equal">
      <formula>"Elemental"</formula>
    </cfRule>
  </conditionalFormatting>
  <conditionalFormatting sqref="F16:I16">
    <cfRule type="cellIs" dxfId="4" priority="20" operator="equal">
      <formula>"Nature"</formula>
    </cfRule>
  </conditionalFormatting>
  <conditionalFormatting sqref="H10:I16 J10:K13 F13:G16">
    <cfRule type="cellIs" dxfId="0" priority="21" operator="equal">
      <formula>"Void"</formula>
    </cfRule>
  </conditionalFormatting>
  <conditionalFormatting sqref="H10:I16 J10:K13 F13:G16">
    <cfRule type="cellIs" dxfId="1" priority="22" operator="equal">
      <formula>"Divine"</formula>
    </cfRule>
  </conditionalFormatting>
  <conditionalFormatting sqref="H10:I16 J10:K13 F13:G16">
    <cfRule type="cellIs" dxfId="2" priority="23" operator="equal">
      <formula>"Mortal"</formula>
    </cfRule>
  </conditionalFormatting>
  <conditionalFormatting sqref="H10:I16 J10:K13 F13:G16">
    <cfRule type="cellIs" dxfId="3" priority="24" operator="equal">
      <formula>"Elemental"</formula>
    </cfRule>
  </conditionalFormatting>
  <conditionalFormatting sqref="H10:I16 J10:K13 F13:G16">
    <cfRule type="cellIs" dxfId="4" priority="25" operator="equal">
      <formula>"Nature"</formula>
    </cfRule>
  </conditionalFormatting>
  <conditionalFormatting sqref="F12:I12">
    <cfRule type="cellIs" dxfId="0" priority="26" operator="equal">
      <formula>"Void"</formula>
    </cfRule>
  </conditionalFormatting>
  <conditionalFormatting sqref="F12:I12">
    <cfRule type="cellIs" dxfId="1" priority="27" operator="equal">
      <formula>"Divine"</formula>
    </cfRule>
  </conditionalFormatting>
  <conditionalFormatting sqref="F12:I12">
    <cfRule type="cellIs" dxfId="2" priority="28" operator="equal">
      <formula>"Mortal"</formula>
    </cfRule>
  </conditionalFormatting>
  <conditionalFormatting sqref="F12:I12">
    <cfRule type="cellIs" dxfId="3" priority="29" operator="equal">
      <formula>"Elemental"</formula>
    </cfRule>
  </conditionalFormatting>
  <conditionalFormatting sqref="F12:I12">
    <cfRule type="cellIs" dxfId="4" priority="30" operator="equal">
      <formula>"Nature"</formula>
    </cfRule>
  </conditionalFormatting>
  <conditionalFormatting sqref="F11:I11">
    <cfRule type="cellIs" dxfId="0" priority="31" operator="equal">
      <formula>"Void"</formula>
    </cfRule>
  </conditionalFormatting>
  <conditionalFormatting sqref="F11:I11">
    <cfRule type="cellIs" dxfId="1" priority="32" operator="equal">
      <formula>"Divine"</formula>
    </cfRule>
  </conditionalFormatting>
  <conditionalFormatting sqref="F11:I11">
    <cfRule type="cellIs" dxfId="2" priority="33" operator="equal">
      <formula>"Mortal"</formula>
    </cfRule>
  </conditionalFormatting>
  <conditionalFormatting sqref="F11:I11">
    <cfRule type="cellIs" dxfId="3" priority="34" operator="equal">
      <formula>"Elemental"</formula>
    </cfRule>
  </conditionalFormatting>
  <conditionalFormatting sqref="F11:I11">
    <cfRule type="cellIs" dxfId="4" priority="35" operator="equal">
      <formula>"Nature"</formula>
    </cfRule>
  </conditionalFormatting>
  <conditionalFormatting sqref="F10:I10">
    <cfRule type="cellIs" dxfId="0" priority="36" operator="equal">
      <formula>"Void"</formula>
    </cfRule>
  </conditionalFormatting>
  <conditionalFormatting sqref="F10:I10">
    <cfRule type="cellIs" dxfId="1" priority="37" operator="equal">
      <formula>"Divine"</formula>
    </cfRule>
  </conditionalFormatting>
  <conditionalFormatting sqref="F10:I10">
    <cfRule type="cellIs" dxfId="2" priority="38" operator="equal">
      <formula>"Mortal"</formula>
    </cfRule>
  </conditionalFormatting>
  <conditionalFormatting sqref="F10:I10">
    <cfRule type="cellIs" dxfId="3" priority="39" operator="equal">
      <formula>"Elemental"</formula>
    </cfRule>
  </conditionalFormatting>
  <conditionalFormatting sqref="F10:I10">
    <cfRule type="cellIs" dxfId="4" priority="40" operator="equal">
      <formula>"Nature"</formula>
    </cfRule>
  </conditionalFormatting>
  <conditionalFormatting sqref="F9:I9">
    <cfRule type="cellIs" dxfId="0" priority="41" operator="equal">
      <formula>"Void"</formula>
    </cfRule>
  </conditionalFormatting>
  <conditionalFormatting sqref="F9:I9">
    <cfRule type="cellIs" dxfId="1" priority="42" operator="equal">
      <formula>"Divine"</formula>
    </cfRule>
  </conditionalFormatting>
  <conditionalFormatting sqref="F9:I9">
    <cfRule type="cellIs" dxfId="2" priority="43" operator="equal">
      <formula>"Mortal"</formula>
    </cfRule>
  </conditionalFormatting>
  <conditionalFormatting sqref="F9:I9">
    <cfRule type="cellIs" dxfId="3" priority="44" operator="equal">
      <formula>"Elemental"</formula>
    </cfRule>
  </conditionalFormatting>
  <conditionalFormatting sqref="F9:I9">
    <cfRule type="cellIs" dxfId="4" priority="45" operator="equal">
      <formula>"Nature"</formula>
    </cfRule>
  </conditionalFormatting>
  <conditionalFormatting sqref="F8:I8">
    <cfRule type="cellIs" dxfId="0" priority="46" operator="equal">
      <formula>"Void"</formula>
    </cfRule>
  </conditionalFormatting>
  <conditionalFormatting sqref="F8:I8">
    <cfRule type="cellIs" dxfId="1" priority="47" operator="equal">
      <formula>"Divine"</formula>
    </cfRule>
  </conditionalFormatting>
  <conditionalFormatting sqref="F8:I8">
    <cfRule type="cellIs" dxfId="2" priority="48" operator="equal">
      <formula>"Mortal"</formula>
    </cfRule>
  </conditionalFormatting>
  <conditionalFormatting sqref="F8:I8">
    <cfRule type="cellIs" dxfId="3" priority="49" operator="equal">
      <formula>"Elemental"</formula>
    </cfRule>
  </conditionalFormatting>
  <conditionalFormatting sqref="F8:I8">
    <cfRule type="cellIs" dxfId="4" priority="50" operator="equal">
      <formula>"Nature"</formula>
    </cfRule>
  </conditionalFormatting>
  <conditionalFormatting sqref="F6:I8">
    <cfRule type="cellIs" dxfId="0" priority="51" operator="equal">
      <formula>"Void"</formula>
    </cfRule>
  </conditionalFormatting>
  <conditionalFormatting sqref="F6:I8">
    <cfRule type="cellIs" dxfId="1" priority="52" operator="equal">
      <formula>"Divine"</formula>
    </cfRule>
  </conditionalFormatting>
  <conditionalFormatting sqref="F6:I8">
    <cfRule type="cellIs" dxfId="2" priority="53" operator="equal">
      <formula>"Mortal"</formula>
    </cfRule>
  </conditionalFormatting>
  <conditionalFormatting sqref="F6:I8">
    <cfRule type="cellIs" dxfId="3" priority="54" operator="equal">
      <formula>"Elemental"</formula>
    </cfRule>
  </conditionalFormatting>
  <conditionalFormatting sqref="F6:I8">
    <cfRule type="cellIs" dxfId="4" priority="55" operator="equal">
      <formula>"Nature"</formula>
    </cfRule>
  </conditionalFormatting>
  <conditionalFormatting sqref="H1:K246 L1:L276 M1:M243 N1:N233 O1:O263 E2:G6 E12:G246 C15:D19">
    <cfRule type="cellIs" dxfId="0" priority="56" operator="equal">
      <formula>"Void"</formula>
    </cfRule>
  </conditionalFormatting>
  <conditionalFormatting sqref="H1:K246 L1:L276 M1:M243 N1:N233 O1:O263 E2:G6 E12:G246 C15:D19">
    <cfRule type="cellIs" dxfId="1" priority="57" operator="equal">
      <formula>"Divine"</formula>
    </cfRule>
  </conditionalFormatting>
  <conditionalFormatting sqref="H1:K246 L1:L276 M1:M243 N1:N233 O1:O263 E2:G6 E12:G246 C15:D19">
    <cfRule type="cellIs" dxfId="2" priority="58" operator="equal">
      <formula>"Mortal"</formula>
    </cfRule>
  </conditionalFormatting>
  <conditionalFormatting sqref="H1:K246 L1:L276 M1:M243 N1:N233 O1:O263 E2:G6 E12:G246 C15:D19">
    <cfRule type="cellIs" dxfId="3" priority="59" operator="equal">
      <formula>"Elemental"</formula>
    </cfRule>
  </conditionalFormatting>
  <conditionalFormatting sqref="H1:K246 L1:L276 M1:M243 N1:N233 O1:O263 E2:G6 E12:G246 C15:D19">
    <cfRule type="cellIs" dxfId="4" priority="60" operator="equal">
      <formula>"Nature"</formula>
    </cfRule>
  </conditionalFormatting>
  <dataValidations>
    <dataValidation type="list" allowBlank="1" showErrorMessage="1" sqref="G2:G352 D366:D968">
      <formula1>"Alternative,Default"</formula1>
    </dataValidation>
    <dataValidation type="list" allowBlank="1" showErrorMessage="1" sqref="E2:E352 B366:B968">
      <formula1>"SD1: Cinderguard,SD2: Tainted Jade,SD3: Ivoryscar,SD4: Shardhorde"</formula1>
    </dataValidation>
  </dataValidations>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0"/>
  <cols>
    <col customWidth="1" min="1" max="1" width="25.0"/>
    <col customWidth="1" min="2" max="2" width="16.0"/>
    <col customWidth="1" min="5" max="5" width="87.14"/>
  </cols>
  <sheetData>
    <row r="1">
      <c r="A1" s="226" t="s">
        <v>0</v>
      </c>
      <c r="B1" s="204" t="s">
        <v>1</v>
      </c>
      <c r="C1" s="227" t="s">
        <v>3</v>
      </c>
      <c r="D1" s="204" t="s">
        <v>2845</v>
      </c>
      <c r="E1" s="204" t="s">
        <v>4</v>
      </c>
      <c r="F1" s="204" t="s">
        <v>5</v>
      </c>
      <c r="G1" s="227" t="s">
        <v>6</v>
      </c>
      <c r="H1" s="227" t="s">
        <v>7</v>
      </c>
      <c r="I1" s="228" t="s">
        <v>8</v>
      </c>
      <c r="J1" s="229" t="s">
        <v>2846</v>
      </c>
    </row>
    <row r="2">
      <c r="A2" s="16" t="s">
        <v>2847</v>
      </c>
      <c r="B2" s="230" t="s">
        <v>2848</v>
      </c>
      <c r="C2" s="56" t="s">
        <v>1970</v>
      </c>
      <c r="D2" s="51"/>
      <c r="E2" s="51" t="s">
        <v>2849</v>
      </c>
      <c r="F2" s="54" t="s">
        <v>2850</v>
      </c>
      <c r="G2" s="56">
        <v>1.0</v>
      </c>
      <c r="H2" s="56" t="s">
        <v>85</v>
      </c>
      <c r="I2" s="56" t="s">
        <v>62</v>
      </c>
    </row>
    <row r="3">
      <c r="A3" s="51" t="s">
        <v>2851</v>
      </c>
      <c r="B3" s="230" t="s">
        <v>2848</v>
      </c>
      <c r="C3" s="56" t="s">
        <v>28</v>
      </c>
      <c r="D3" s="51" t="s">
        <v>2852</v>
      </c>
      <c r="E3" s="231" t="s">
        <v>2853</v>
      </c>
      <c r="F3" s="54" t="s">
        <v>2850</v>
      </c>
      <c r="G3" s="56">
        <v>1.0</v>
      </c>
      <c r="H3" s="56" t="s">
        <v>49</v>
      </c>
      <c r="I3" s="56" t="s">
        <v>32</v>
      </c>
    </row>
    <row r="4">
      <c r="A4" s="51" t="s">
        <v>2854</v>
      </c>
      <c r="B4" s="230" t="s">
        <v>2848</v>
      </c>
      <c r="C4" s="56" t="s">
        <v>2855</v>
      </c>
      <c r="D4" s="51" t="s">
        <v>2852</v>
      </c>
      <c r="E4" s="51" t="s">
        <v>2856</v>
      </c>
      <c r="F4" s="54" t="s">
        <v>2850</v>
      </c>
      <c r="G4" s="56">
        <v>3.0</v>
      </c>
      <c r="H4" s="56" t="s">
        <v>224</v>
      </c>
      <c r="I4" s="56" t="s">
        <v>62</v>
      </c>
    </row>
    <row r="5">
      <c r="A5" s="51" t="s">
        <v>2857</v>
      </c>
      <c r="B5" s="232" t="s">
        <v>2848</v>
      </c>
      <c r="C5" s="56" t="s">
        <v>70</v>
      </c>
      <c r="D5" s="51" t="s">
        <v>2858</v>
      </c>
      <c r="E5" s="51" t="s">
        <v>2859</v>
      </c>
      <c r="F5" s="54" t="s">
        <v>2850</v>
      </c>
      <c r="G5" s="56">
        <v>5.0</v>
      </c>
      <c r="H5" s="56" t="s">
        <v>2860</v>
      </c>
      <c r="I5" s="56" t="s">
        <v>32</v>
      </c>
    </row>
    <row r="6">
      <c r="A6" s="28" t="s">
        <v>2861</v>
      </c>
      <c r="B6" s="233" t="s">
        <v>2862</v>
      </c>
      <c r="C6" s="67" t="s">
        <v>355</v>
      </c>
      <c r="D6" s="28"/>
      <c r="E6" s="28" t="s">
        <v>2863</v>
      </c>
      <c r="F6" s="29" t="s">
        <v>2850</v>
      </c>
      <c r="G6" s="67">
        <v>0.0</v>
      </c>
      <c r="H6" s="67" t="s">
        <v>2864</v>
      </c>
      <c r="I6" s="67" t="s">
        <v>32</v>
      </c>
    </row>
    <row r="7">
      <c r="A7" s="51" t="s">
        <v>2865</v>
      </c>
      <c r="B7" s="234" t="s">
        <v>2862</v>
      </c>
      <c r="C7" s="56" t="s">
        <v>1970</v>
      </c>
      <c r="D7" s="51"/>
      <c r="E7" s="51" t="s">
        <v>2866</v>
      </c>
      <c r="F7" s="54" t="s">
        <v>2850</v>
      </c>
      <c r="G7" s="56">
        <v>3.0</v>
      </c>
      <c r="H7" s="56" t="s">
        <v>1003</v>
      </c>
      <c r="I7" s="56" t="s">
        <v>62</v>
      </c>
    </row>
    <row r="8">
      <c r="A8" s="51" t="s">
        <v>2867</v>
      </c>
      <c r="B8" s="234" t="s">
        <v>2862</v>
      </c>
      <c r="C8" s="56" t="s">
        <v>355</v>
      </c>
      <c r="D8" s="51"/>
      <c r="E8" s="51" t="s">
        <v>2868</v>
      </c>
      <c r="F8" s="54" t="s">
        <v>2850</v>
      </c>
      <c r="G8" s="56">
        <v>4.0</v>
      </c>
      <c r="H8" s="56" t="s">
        <v>465</v>
      </c>
      <c r="I8" s="56" t="s">
        <v>26</v>
      </c>
    </row>
    <row r="9">
      <c r="A9" s="51" t="s">
        <v>2869</v>
      </c>
      <c r="B9" s="234" t="s">
        <v>2862</v>
      </c>
      <c r="C9" s="56" t="s">
        <v>1970</v>
      </c>
      <c r="D9" s="51"/>
      <c r="E9" s="51" t="s">
        <v>2870</v>
      </c>
      <c r="F9" s="54" t="s">
        <v>2850</v>
      </c>
      <c r="G9" s="56">
        <v>5.0</v>
      </c>
      <c r="H9" s="56" t="s">
        <v>470</v>
      </c>
      <c r="I9" s="56" t="s">
        <v>32</v>
      </c>
    </row>
    <row r="10">
      <c r="A10" s="51" t="s">
        <v>660</v>
      </c>
      <c r="B10" s="233" t="s">
        <v>2862</v>
      </c>
      <c r="C10" s="67" t="s">
        <v>609</v>
      </c>
      <c r="D10" s="28"/>
      <c r="E10" s="28" t="s">
        <v>2871</v>
      </c>
      <c r="F10" s="29" t="s">
        <v>2850</v>
      </c>
      <c r="G10" s="67">
        <v>6.0</v>
      </c>
      <c r="H10" s="67" t="s">
        <v>2872</v>
      </c>
      <c r="I10" s="67" t="s">
        <v>62</v>
      </c>
    </row>
    <row r="11">
      <c r="A11" s="51"/>
      <c r="B11" s="235" t="s">
        <v>2873</v>
      </c>
      <c r="C11" s="56" t="s">
        <v>609</v>
      </c>
      <c r="D11" s="51"/>
      <c r="E11" s="51" t="s">
        <v>2874</v>
      </c>
      <c r="F11" s="54" t="s">
        <v>2850</v>
      </c>
      <c r="G11" s="56">
        <v>1.0</v>
      </c>
      <c r="H11" s="56" t="s">
        <v>1583</v>
      </c>
      <c r="I11" s="56" t="s">
        <v>32</v>
      </c>
    </row>
    <row r="12">
      <c r="A12" s="51" t="s">
        <v>2875</v>
      </c>
      <c r="B12" s="235" t="s">
        <v>2873</v>
      </c>
      <c r="C12" s="56" t="s">
        <v>609</v>
      </c>
      <c r="D12" s="51"/>
      <c r="E12" s="51" t="s">
        <v>2876</v>
      </c>
      <c r="F12" s="54" t="s">
        <v>2850</v>
      </c>
      <c r="G12" s="56">
        <v>2.0</v>
      </c>
      <c r="H12" s="56" t="s">
        <v>1577</v>
      </c>
      <c r="I12" s="56" t="s">
        <v>32</v>
      </c>
    </row>
    <row r="13">
      <c r="A13" s="51" t="s">
        <v>2877</v>
      </c>
      <c r="B13" s="235" t="s">
        <v>2873</v>
      </c>
      <c r="C13" s="56" t="s">
        <v>2878</v>
      </c>
      <c r="D13" s="51"/>
      <c r="E13" s="236" t="s">
        <v>2879</v>
      </c>
      <c r="F13" s="54" t="s">
        <v>2850</v>
      </c>
      <c r="G13" s="56">
        <v>3.0</v>
      </c>
      <c r="H13" s="56" t="s">
        <v>1583</v>
      </c>
      <c r="I13" s="56" t="s">
        <v>62</v>
      </c>
    </row>
    <row r="14">
      <c r="A14" s="28" t="s">
        <v>2880</v>
      </c>
      <c r="B14" s="237" t="s">
        <v>2873</v>
      </c>
      <c r="C14" s="56" t="s">
        <v>70</v>
      </c>
      <c r="D14" s="51"/>
      <c r="E14" s="51" t="s">
        <v>2881</v>
      </c>
      <c r="F14" s="54" t="s">
        <v>2850</v>
      </c>
      <c r="G14" s="56">
        <v>4.0</v>
      </c>
      <c r="H14" s="56" t="s">
        <v>1470</v>
      </c>
      <c r="I14" s="56" t="s">
        <v>26</v>
      </c>
    </row>
    <row r="15">
      <c r="A15" s="51" t="s">
        <v>2882</v>
      </c>
      <c r="B15" s="235" t="s">
        <v>2873</v>
      </c>
      <c r="C15" s="56" t="s">
        <v>1340</v>
      </c>
      <c r="D15" s="51"/>
      <c r="E15" s="29" t="s">
        <v>2883</v>
      </c>
      <c r="F15" s="29" t="s">
        <v>2850</v>
      </c>
      <c r="G15" s="56">
        <v>6.0</v>
      </c>
      <c r="H15" s="56" t="s">
        <v>1806</v>
      </c>
      <c r="I15" s="56" t="s">
        <v>62</v>
      </c>
    </row>
    <row r="16">
      <c r="A16" s="16" t="s">
        <v>2884</v>
      </c>
      <c r="B16" s="91" t="s">
        <v>2873</v>
      </c>
      <c r="C16" s="15" t="s">
        <v>2885</v>
      </c>
      <c r="F16" s="16" t="s">
        <v>2850</v>
      </c>
      <c r="G16" s="35"/>
      <c r="I16" s="15" t="s">
        <v>32</v>
      </c>
    </row>
    <row r="17">
      <c r="A17" s="51" t="s">
        <v>1413</v>
      </c>
      <c r="B17" s="238" t="s">
        <v>2886</v>
      </c>
      <c r="C17" s="56" t="s">
        <v>37</v>
      </c>
      <c r="D17" s="51"/>
      <c r="E17" s="236" t="s">
        <v>2887</v>
      </c>
      <c r="F17" s="54" t="s">
        <v>2850</v>
      </c>
      <c r="G17" s="56">
        <v>1.0</v>
      </c>
      <c r="H17" s="56" t="s">
        <v>1885</v>
      </c>
      <c r="I17" s="56" t="s">
        <v>62</v>
      </c>
    </row>
    <row r="18">
      <c r="A18" s="51" t="s">
        <v>2888</v>
      </c>
      <c r="B18" s="238" t="s">
        <v>2886</v>
      </c>
      <c r="C18" s="56" t="s">
        <v>1681</v>
      </c>
      <c r="D18" s="51"/>
      <c r="E18" s="51" t="s">
        <v>2889</v>
      </c>
      <c r="F18" s="54" t="s">
        <v>2850</v>
      </c>
      <c r="G18" s="56">
        <v>1.0</v>
      </c>
      <c r="H18" s="56" t="s">
        <v>2077</v>
      </c>
      <c r="I18" s="56" t="s">
        <v>32</v>
      </c>
    </row>
    <row r="19">
      <c r="A19" s="7" t="s">
        <v>2890</v>
      </c>
      <c r="B19" s="87"/>
      <c r="C19" s="15"/>
      <c r="E19" s="16"/>
      <c r="F19" s="16" t="s">
        <v>2850</v>
      </c>
      <c r="G19" s="15"/>
      <c r="H19" s="15"/>
      <c r="I19" s="9"/>
    </row>
    <row r="20">
      <c r="A20" s="24" t="s">
        <v>2891</v>
      </c>
      <c r="B20" s="87" t="s">
        <v>2873</v>
      </c>
      <c r="C20" s="21" t="s">
        <v>334</v>
      </c>
      <c r="D20" s="7"/>
      <c r="E20" s="7" t="s">
        <v>2892</v>
      </c>
      <c r="F20" s="7"/>
      <c r="G20" s="9">
        <v>2.0</v>
      </c>
      <c r="H20" s="9" t="s">
        <v>1446</v>
      </c>
      <c r="I20" s="21" t="s">
        <v>26</v>
      </c>
    </row>
    <row r="21">
      <c r="A21" s="16" t="s">
        <v>2893</v>
      </c>
      <c r="B21" s="14" t="s">
        <v>2848</v>
      </c>
      <c r="C21" s="15" t="s">
        <v>28</v>
      </c>
      <c r="D21" s="16" t="s">
        <v>2894</v>
      </c>
      <c r="E21" s="16" t="s">
        <v>2895</v>
      </c>
      <c r="G21" s="15">
        <v>2.0</v>
      </c>
      <c r="I21" s="35"/>
    </row>
    <row r="22">
      <c r="A22" s="16" t="s">
        <v>2896</v>
      </c>
      <c r="B22" s="16" t="s">
        <v>2897</v>
      </c>
      <c r="C22" s="35"/>
      <c r="G22" s="35"/>
      <c r="I22" s="15" t="s">
        <v>62</v>
      </c>
    </row>
    <row r="23">
      <c r="A23" s="16" t="s">
        <v>2898</v>
      </c>
      <c r="B23" s="16" t="s">
        <v>2899</v>
      </c>
      <c r="C23" s="35"/>
      <c r="G23" s="35"/>
      <c r="I23" s="35"/>
    </row>
    <row r="24">
      <c r="A24" s="16" t="s">
        <v>2891</v>
      </c>
      <c r="B24" s="16" t="s">
        <v>2873</v>
      </c>
      <c r="C24" s="15"/>
      <c r="G24" s="15"/>
      <c r="H24" s="15"/>
      <c r="I24" s="15"/>
    </row>
    <row r="25">
      <c r="A25" s="16" t="s">
        <v>2900</v>
      </c>
      <c r="B25" s="91" t="s">
        <v>2873</v>
      </c>
      <c r="C25" s="15" t="s">
        <v>2901</v>
      </c>
      <c r="E25" s="16" t="s">
        <v>2902</v>
      </c>
      <c r="F25" s="16" t="s">
        <v>1694</v>
      </c>
      <c r="G25" s="15">
        <v>0.0</v>
      </c>
      <c r="H25" s="15" t="s">
        <v>1608</v>
      </c>
      <c r="I25" s="15" t="s">
        <v>26</v>
      </c>
    </row>
    <row r="26">
      <c r="A26" s="16" t="s">
        <v>2903</v>
      </c>
    </row>
    <row r="27">
      <c r="C27" s="35"/>
      <c r="E27" s="16" t="s">
        <v>2904</v>
      </c>
    </row>
    <row r="28">
      <c r="E28" s="16" t="s">
        <v>2905</v>
      </c>
    </row>
    <row r="29">
      <c r="E29" s="16" t="s">
        <v>2906</v>
      </c>
    </row>
    <row r="30">
      <c r="E30" s="16" t="s">
        <v>2907</v>
      </c>
    </row>
    <row r="31">
      <c r="E31" s="16" t="s">
        <v>2908</v>
      </c>
    </row>
    <row r="32">
      <c r="E32" s="16" t="s">
        <v>2909</v>
      </c>
    </row>
    <row r="33">
      <c r="E33" s="16" t="s">
        <v>2910</v>
      </c>
    </row>
    <row r="34">
      <c r="E34" s="16" t="s">
        <v>2911</v>
      </c>
    </row>
    <row r="35">
      <c r="A35" s="16" t="s">
        <v>2912</v>
      </c>
      <c r="B35" s="81" t="s">
        <v>2913</v>
      </c>
      <c r="C35" s="9" t="s">
        <v>2914</v>
      </c>
      <c r="D35" s="24"/>
      <c r="E35" s="7" t="s">
        <v>2915</v>
      </c>
      <c r="F35" s="7" t="s">
        <v>607</v>
      </c>
      <c r="G35" s="9">
        <v>2.0</v>
      </c>
      <c r="H35" s="9" t="s">
        <v>1107</v>
      </c>
      <c r="I35" s="9" t="s">
        <v>62</v>
      </c>
    </row>
    <row r="36">
      <c r="A36" s="16" t="s">
        <v>2916</v>
      </c>
      <c r="B36" s="79" t="s">
        <v>2913</v>
      </c>
      <c r="C36" s="15" t="s">
        <v>1970</v>
      </c>
      <c r="D36" s="16" t="s">
        <v>24</v>
      </c>
      <c r="F36" s="15">
        <v>2.0</v>
      </c>
      <c r="G36" s="15" t="s">
        <v>995</v>
      </c>
      <c r="H36" s="15" t="s">
        <v>62</v>
      </c>
    </row>
    <row r="37">
      <c r="A37" s="51" t="s">
        <v>1413</v>
      </c>
      <c r="B37" s="16" t="s">
        <v>2917</v>
      </c>
      <c r="C37" s="16" t="s">
        <v>37</v>
      </c>
      <c r="D37" s="16" t="s">
        <v>2918</v>
      </c>
      <c r="F37" s="15">
        <v>0.0</v>
      </c>
      <c r="G37" s="15" t="s">
        <v>1415</v>
      </c>
      <c r="H37" s="15" t="s">
        <v>62</v>
      </c>
      <c r="I37" s="16" t="s">
        <v>2919</v>
      </c>
    </row>
    <row r="38">
      <c r="E38" s="16" t="s">
        <v>2920</v>
      </c>
    </row>
    <row r="39">
      <c r="E39" s="16" t="s">
        <v>2921</v>
      </c>
    </row>
    <row r="41">
      <c r="E41" s="20" t="s">
        <v>2904</v>
      </c>
    </row>
    <row r="42">
      <c r="E42" s="20" t="s">
        <v>2905</v>
      </c>
    </row>
    <row r="43">
      <c r="E43" s="20" t="s">
        <v>2906</v>
      </c>
    </row>
    <row r="44">
      <c r="E44" s="20" t="s">
        <v>2907</v>
      </c>
    </row>
    <row r="45">
      <c r="E45" s="20" t="s">
        <v>2908</v>
      </c>
    </row>
    <row r="46">
      <c r="E46" s="16" t="s">
        <v>2922</v>
      </c>
    </row>
    <row r="47">
      <c r="E47" s="16" t="s">
        <v>2923</v>
      </c>
    </row>
    <row r="48">
      <c r="E48" s="16" t="s">
        <v>2924</v>
      </c>
    </row>
    <row r="50">
      <c r="E50" s="16" t="s">
        <v>2925</v>
      </c>
    </row>
    <row r="51">
      <c r="E51" s="16" t="s">
        <v>2926</v>
      </c>
    </row>
    <row r="52">
      <c r="E52" s="16" t="s">
        <v>1983</v>
      </c>
    </row>
    <row r="53">
      <c r="A53" s="16" t="s">
        <v>2927</v>
      </c>
      <c r="E53" s="16" t="s">
        <v>2928</v>
      </c>
    </row>
    <row r="54">
      <c r="E54" s="16" t="s">
        <v>2929</v>
      </c>
    </row>
    <row r="55">
      <c r="A55" s="16" t="s">
        <v>2930</v>
      </c>
      <c r="E55" s="16" t="s">
        <v>2931</v>
      </c>
    </row>
    <row r="56">
      <c r="A56" s="16" t="s">
        <v>1994</v>
      </c>
      <c r="E56" s="16" t="s">
        <v>1995</v>
      </c>
    </row>
    <row r="58">
      <c r="E58" s="16" t="s">
        <v>2932</v>
      </c>
    </row>
    <row r="59">
      <c r="E59" s="16" t="s">
        <v>2933</v>
      </c>
    </row>
    <row r="61">
      <c r="E61" s="16" t="s">
        <v>2934</v>
      </c>
    </row>
    <row r="63">
      <c r="E63" s="16" t="s">
        <v>2935</v>
      </c>
    </row>
    <row r="64">
      <c r="E64" s="16" t="s">
        <v>2936</v>
      </c>
    </row>
    <row r="65">
      <c r="B65" s="16" t="s">
        <v>2937</v>
      </c>
    </row>
    <row r="67">
      <c r="E67" s="16" t="s">
        <v>2938</v>
      </c>
    </row>
    <row r="68">
      <c r="A68" s="16" t="s">
        <v>2939</v>
      </c>
      <c r="E68" s="16" t="s">
        <v>2940</v>
      </c>
    </row>
    <row r="69">
      <c r="E69" s="16" t="s">
        <v>2941</v>
      </c>
    </row>
    <row r="70">
      <c r="E70" s="16" t="s">
        <v>2942</v>
      </c>
    </row>
    <row r="71">
      <c r="A71" s="16" t="s">
        <v>1566</v>
      </c>
      <c r="E71" s="16" t="s">
        <v>2943</v>
      </c>
    </row>
    <row r="72">
      <c r="E72" s="16" t="s">
        <v>2944</v>
      </c>
    </row>
    <row r="73">
      <c r="E73" s="16" t="s">
        <v>2945</v>
      </c>
    </row>
    <row r="74">
      <c r="E74" s="16" t="s">
        <v>2946</v>
      </c>
    </row>
    <row r="75">
      <c r="E75" s="16" t="s">
        <v>2947</v>
      </c>
    </row>
    <row r="76">
      <c r="E76" s="16" t="s">
        <v>2948</v>
      </c>
    </row>
    <row r="77">
      <c r="E77" s="16" t="s">
        <v>2949</v>
      </c>
    </row>
    <row r="78">
      <c r="E78" s="16" t="s">
        <v>2950</v>
      </c>
    </row>
    <row r="80">
      <c r="E80" s="16" t="s">
        <v>2951</v>
      </c>
    </row>
    <row r="82">
      <c r="E82" s="16" t="s">
        <v>2952</v>
      </c>
    </row>
    <row r="83">
      <c r="E83" s="16" t="s">
        <v>2953</v>
      </c>
    </row>
    <row r="84">
      <c r="E84" s="16" t="s">
        <v>2954</v>
      </c>
    </row>
    <row r="85">
      <c r="E85" s="16" t="s">
        <v>2955</v>
      </c>
    </row>
    <row r="86">
      <c r="E86" s="16" t="s">
        <v>2956</v>
      </c>
    </row>
    <row r="87">
      <c r="E87" s="16" t="s">
        <v>2957</v>
      </c>
    </row>
    <row r="89">
      <c r="E89" s="16" t="s">
        <v>2958</v>
      </c>
    </row>
    <row r="90">
      <c r="E90" s="16" t="s">
        <v>2959</v>
      </c>
    </row>
    <row r="92">
      <c r="E92" s="16" t="s">
        <v>2960</v>
      </c>
    </row>
    <row r="93">
      <c r="E93" s="16" t="s">
        <v>2961</v>
      </c>
    </row>
    <row r="94">
      <c r="A94" s="16" t="s">
        <v>2962</v>
      </c>
      <c r="E94" s="16" t="s">
        <v>2963</v>
      </c>
    </row>
    <row r="95">
      <c r="E95" s="29" t="s">
        <v>1944</v>
      </c>
    </row>
    <row r="96">
      <c r="E96" s="16" t="s">
        <v>2964</v>
      </c>
    </row>
    <row r="97">
      <c r="A97" s="16" t="s">
        <v>2965</v>
      </c>
      <c r="E97" s="16" t="s">
        <v>2966</v>
      </c>
    </row>
    <row r="98">
      <c r="E98" s="239" t="s">
        <v>2967</v>
      </c>
    </row>
    <row r="100">
      <c r="A100" s="16" t="s">
        <v>2968</v>
      </c>
    </row>
    <row r="102">
      <c r="A102" s="24"/>
      <c r="B102" s="16" t="s">
        <v>2969</v>
      </c>
      <c r="E102" s="16" t="s">
        <v>2970</v>
      </c>
      <c r="F102" s="7"/>
      <c r="G102" s="7"/>
      <c r="H102" s="7"/>
      <c r="I102" s="240"/>
      <c r="J102" s="9"/>
      <c r="K102" s="241"/>
      <c r="L102" s="21"/>
    </row>
    <row r="103">
      <c r="A103" s="16" t="s">
        <v>2971</v>
      </c>
    </row>
    <row r="104">
      <c r="A104" s="20" t="s">
        <v>2972</v>
      </c>
      <c r="B104" s="20" t="s">
        <v>2913</v>
      </c>
      <c r="C104" s="20" t="s">
        <v>1949</v>
      </c>
      <c r="E104" s="20" t="s">
        <v>2973</v>
      </c>
      <c r="G104" s="20">
        <v>2.0</v>
      </c>
      <c r="H104" s="20" t="s">
        <v>989</v>
      </c>
      <c r="I104" s="16" t="s">
        <v>32</v>
      </c>
    </row>
    <row r="105">
      <c r="A105" s="22" t="s">
        <v>2974</v>
      </c>
      <c r="B105" s="98" t="s">
        <v>1663</v>
      </c>
      <c r="C105" s="9" t="s">
        <v>1681</v>
      </c>
      <c r="E105" s="7" t="s">
        <v>2975</v>
      </c>
      <c r="G105" s="9">
        <v>0.0</v>
      </c>
      <c r="H105" s="9" t="s">
        <v>2976</v>
      </c>
      <c r="I105" s="9" t="s">
        <v>32</v>
      </c>
    </row>
    <row r="106">
      <c r="A106" s="16" t="s">
        <v>2977</v>
      </c>
      <c r="B106" s="91" t="s">
        <v>1444</v>
      </c>
      <c r="C106" s="15" t="s">
        <v>355</v>
      </c>
      <c r="E106" s="16" t="s">
        <v>2978</v>
      </c>
      <c r="G106" s="15">
        <v>0.0</v>
      </c>
      <c r="H106" s="15" t="s">
        <v>1466</v>
      </c>
      <c r="I106" s="15" t="s">
        <v>62</v>
      </c>
    </row>
    <row r="107">
      <c r="A107" s="7" t="s">
        <v>2979</v>
      </c>
      <c r="B107" s="8" t="s">
        <v>21</v>
      </c>
      <c r="C107" s="9" t="s">
        <v>28</v>
      </c>
      <c r="E107" s="29" t="s">
        <v>77</v>
      </c>
      <c r="G107" s="9">
        <v>6.0</v>
      </c>
      <c r="H107" s="9" t="s">
        <v>56</v>
      </c>
      <c r="I107" s="9" t="s">
        <v>26</v>
      </c>
    </row>
    <row r="108">
      <c r="A108" s="16" t="s">
        <v>2980</v>
      </c>
      <c r="C108" s="16" t="s">
        <v>1552</v>
      </c>
      <c r="E108" s="16" t="s">
        <v>2981</v>
      </c>
      <c r="I108" s="16" t="s">
        <v>62</v>
      </c>
    </row>
  </sheetData>
  <drawing r:id="rId1"/>
</worksheet>
</file>